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เปิ้ลพัสดุ (มทร.อีสาน)\ประกวดราคา ปี 2567\ก่อสร้างอาคารร้อยเอ็ด\"/>
    </mc:Choice>
  </mc:AlternateContent>
  <bookViews>
    <workbookView xWindow="0" yWindow="0" windowWidth="21525" windowHeight="10710" tabRatio="813" firstSheet="3" activeTab="10"/>
  </bookViews>
  <sheets>
    <sheet name="XXXXXXX" sheetId="16" state="veryHidden" r:id="rId1"/>
    <sheet name="ผ่อง" sheetId="23" state="veryHidden" r:id="rId2"/>
    <sheet name="รายละเอียดค่าใช้จ่ายพิเศษ" sheetId="65" r:id="rId3"/>
    <sheet name="ปร.1" sheetId="7" r:id="rId4"/>
    <sheet name="ปร.2" sheetId="8" r:id="rId5"/>
    <sheet name="ปร.3" sheetId="9" r:id="rId6"/>
    <sheet name="ปร.4 (พ)" sheetId="69" r:id="rId7"/>
    <sheet name="ปร.4" sheetId="70" r:id="rId8"/>
    <sheet name="ปร.5(ก)" sheetId="62" r:id="rId9"/>
    <sheet name="ปร.5(ข)" sheetId="64" r:id="rId10"/>
    <sheet name="ปร.6" sheetId="63" r:id="rId11"/>
    <sheet name="ชื่อโครงการ" sheetId="71" r:id="rId12"/>
  </sheets>
  <externalReferences>
    <externalReference r:id="rId13"/>
    <externalReference r:id="rId14"/>
  </externalReferences>
  <definedNames>
    <definedName name="_day1" localSheetId="6">#REF!</definedName>
    <definedName name="_day1">#REF!</definedName>
    <definedName name="_day10" localSheetId="6">#REF!</definedName>
    <definedName name="_day10">#REF!</definedName>
    <definedName name="_day11" localSheetId="6">#REF!</definedName>
    <definedName name="_day11">#REF!</definedName>
    <definedName name="_day12" localSheetId="6">#REF!</definedName>
    <definedName name="_day12">#REF!</definedName>
    <definedName name="_day13" localSheetId="6">#REF!</definedName>
    <definedName name="_day13">#REF!</definedName>
    <definedName name="_day19" localSheetId="6">#REF!</definedName>
    <definedName name="_day19">#REF!</definedName>
    <definedName name="_day2" localSheetId="6">#REF!</definedName>
    <definedName name="_day2">#REF!</definedName>
    <definedName name="_day3" localSheetId="6">#REF!</definedName>
    <definedName name="_day3">#REF!</definedName>
    <definedName name="_day4" localSheetId="6">#REF!</definedName>
    <definedName name="_day4">#REF!</definedName>
    <definedName name="_day5" localSheetId="6">#REF!</definedName>
    <definedName name="_day5">#REF!</definedName>
    <definedName name="_day6" localSheetId="6">#REF!</definedName>
    <definedName name="_day6">#REF!</definedName>
    <definedName name="_day7" localSheetId="6">#REF!</definedName>
    <definedName name="_day7">#REF!</definedName>
    <definedName name="_day8" localSheetId="6">#REF!</definedName>
    <definedName name="_day8">#REF!</definedName>
    <definedName name="_day9" localSheetId="6">#REF!</definedName>
    <definedName name="_day9">#REF!</definedName>
    <definedName name="cost1" localSheetId="6">#REF!</definedName>
    <definedName name="cost1">#REF!</definedName>
    <definedName name="cost10" localSheetId="6">#REF!</definedName>
    <definedName name="cost10">#REF!</definedName>
    <definedName name="cost11" localSheetId="6">#REF!</definedName>
    <definedName name="cost11">#REF!</definedName>
    <definedName name="cost12" localSheetId="6">#REF!</definedName>
    <definedName name="cost12">#REF!</definedName>
    <definedName name="cost13" localSheetId="6">#REF!</definedName>
    <definedName name="cost13">#REF!</definedName>
    <definedName name="cost2" localSheetId="6">#REF!</definedName>
    <definedName name="cost2">#REF!</definedName>
    <definedName name="cost3" localSheetId="6">#REF!</definedName>
    <definedName name="cost3">#REF!</definedName>
    <definedName name="cost4" localSheetId="6">#REF!</definedName>
    <definedName name="cost4">#REF!</definedName>
    <definedName name="cost5" localSheetId="6">#REF!</definedName>
    <definedName name="cost5">#REF!</definedName>
    <definedName name="cost6" localSheetId="6">#REF!</definedName>
    <definedName name="cost6">#REF!</definedName>
    <definedName name="cost7" localSheetId="6">#REF!</definedName>
    <definedName name="cost7">#REF!</definedName>
    <definedName name="cost8" localSheetId="6">#REF!</definedName>
    <definedName name="cost8">#REF!</definedName>
    <definedName name="cost9" localSheetId="6">#REF!</definedName>
    <definedName name="cost9">#REF!</definedName>
    <definedName name="LLOOO" localSheetId="6">#REF!</definedName>
    <definedName name="LLOOO">#REF!</definedName>
    <definedName name="_xlnm.Print_Area" localSheetId="3">ปร.1!$A$1:$G$41</definedName>
    <definedName name="_xlnm.Print_Area" localSheetId="4">ปร.2!$A$1:$R$24</definedName>
    <definedName name="_xlnm.Print_Area" localSheetId="5">ปร.3!$A$1:$H$41</definedName>
    <definedName name="_xlnm.Print_Area" localSheetId="7">ปร.4!$A$1:$J$415</definedName>
    <definedName name="_xlnm.Print_Area" localSheetId="6">'ปร.4 (พ)'!$A$2:$F$26</definedName>
    <definedName name="_xlnm.Print_Area" localSheetId="8">'ปร.5(ก)'!$A$1:$F$39</definedName>
    <definedName name="_xlnm.Print_Area" localSheetId="9">'ปร.5(ข)'!$A$1:$F$32</definedName>
    <definedName name="_xlnm.Print_Area" localSheetId="10">ปร.6!$A$1:$D$35</definedName>
    <definedName name="_xlnm.Print_Area" localSheetId="2">รายละเอียดค่าใช้จ่ายพิเศษ!$A$1:$K$40</definedName>
    <definedName name="_xlnm.Print_Area">#REF!</definedName>
    <definedName name="PRINT_AREA_MI" localSheetId="6">#REF!</definedName>
    <definedName name="PRINT_AREA_MI">#REF!</definedName>
    <definedName name="_xlnm.Print_Titles" localSheetId="7">ปร.4!$1:$9</definedName>
    <definedName name="กกกกก" localSheetId="6">#REF!</definedName>
    <definedName name="กกกกก">#REF!</definedName>
    <definedName name="งานทั่วไป" localSheetId="6">[1]ภูมิทัศน์!#REF!</definedName>
    <definedName name="งานทั่วไป">[1]ภูมิทัศน์!#REF!</definedName>
    <definedName name="งานบัวเชิงผนัง" localSheetId="6">[1]ภูมิทัศน์!#REF!</definedName>
    <definedName name="งานบัวเชิงผนัง">[1]ภูมิทัศน์!#REF!</definedName>
    <definedName name="งานประตูหน้าต่าง" localSheetId="6">[1]ภูมิทัศน์!#REF!</definedName>
    <definedName name="งานประตูหน้าต่าง">[1]ภูมิทัศน์!#REF!</definedName>
    <definedName name="งานผนัง" localSheetId="6">[1]ภูมิทัศน์!#REF!</definedName>
    <definedName name="งานผนัง">[1]ภูมิทัศน์!#REF!</definedName>
    <definedName name="งานฝ้าเพดาน" localSheetId="6">[1]ภูมิทัศน์!#REF!</definedName>
    <definedName name="งานฝ้าเพดาน">[1]ภูมิทัศน์!#REF!</definedName>
    <definedName name="งานพื้น" localSheetId="6">[1]ภูมิทัศน์!#REF!</definedName>
    <definedName name="งานพื้น">[1]ภูมิทัศน์!#REF!</definedName>
    <definedName name="งานสุขภัณฑ์" localSheetId="6">[1]ภูมิทัศน์!#REF!</definedName>
    <definedName name="งานสุขภัณฑ์">[1]ภูมิทัศน์!#REF!</definedName>
    <definedName name="งานหลังคา" localSheetId="6">[1]ภูมิทัศน์!#REF!</definedName>
    <definedName name="งานหลังคา">[1]ภูมิทัศน์!#REF!</definedName>
    <definedName name="จัดสร้าง" localSheetId="6">#REF!</definedName>
    <definedName name="จัดสร้าง">#REF!</definedName>
    <definedName name="ใช่" localSheetId="6">#REF!</definedName>
    <definedName name="ใช่">#REF!</definedName>
    <definedName name="ดด" localSheetId="6">#REF!</definedName>
    <definedName name="ดด">#REF!</definedName>
    <definedName name="วววววววว" localSheetId="6">#REF!</definedName>
    <definedName name="วววววววว">#REF!</definedName>
    <definedName name="ววววววววว" localSheetId="6">#REF!</definedName>
    <definedName name="ววววววววว">#REF!</definedName>
    <definedName name="ศาลปกครอง" localSheetId="6">#REF!</definedName>
    <definedName name="ศาลปกครอ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63" l="1"/>
  <c r="E58" i="70" l="1"/>
  <c r="F58" i="70"/>
  <c r="E84" i="70"/>
  <c r="E71" i="70"/>
  <c r="H100" i="70" l="1"/>
  <c r="H73" i="70"/>
  <c r="F73" i="70"/>
  <c r="H60" i="70"/>
  <c r="F60" i="70"/>
  <c r="H45" i="70"/>
  <c r="E45" i="70"/>
  <c r="F45" i="70" s="1"/>
  <c r="H44" i="70"/>
  <c r="F44" i="70"/>
  <c r="C357" i="70"/>
  <c r="I73" i="70" l="1"/>
  <c r="I60" i="70"/>
  <c r="I45" i="70"/>
  <c r="I44" i="70"/>
  <c r="H212" i="70" l="1"/>
  <c r="F212" i="70"/>
  <c r="H211" i="70"/>
  <c r="F211" i="70"/>
  <c r="H210" i="70"/>
  <c r="F210" i="70"/>
  <c r="H209" i="70"/>
  <c r="F209" i="70"/>
  <c r="H208" i="70"/>
  <c r="F208" i="70"/>
  <c r="H207" i="70"/>
  <c r="F207" i="70"/>
  <c r="H206" i="70"/>
  <c r="F206" i="70"/>
  <c r="I208" i="70" l="1"/>
  <c r="I209" i="70"/>
  <c r="I211" i="70"/>
  <c r="I207" i="70"/>
  <c r="I206" i="70"/>
  <c r="I210" i="70"/>
  <c r="I212" i="70"/>
  <c r="G301" i="70"/>
  <c r="F403" i="70"/>
  <c r="H403" i="70"/>
  <c r="F399" i="70"/>
  <c r="H399" i="70"/>
  <c r="F395" i="70"/>
  <c r="H395" i="70"/>
  <c r="H404" i="70"/>
  <c r="F404" i="70"/>
  <c r="H402" i="70"/>
  <c r="F402" i="70"/>
  <c r="H401" i="70"/>
  <c r="F401" i="70"/>
  <c r="H396" i="70"/>
  <c r="F396" i="70"/>
  <c r="H394" i="70"/>
  <c r="F394" i="70"/>
  <c r="H393" i="70"/>
  <c r="F393" i="70"/>
  <c r="H397" i="70"/>
  <c r="F397" i="70"/>
  <c r="H400" i="70"/>
  <c r="F400" i="70"/>
  <c r="H398" i="70"/>
  <c r="F398" i="70"/>
  <c r="H297" i="70"/>
  <c r="F297" i="70"/>
  <c r="E99" i="70"/>
  <c r="E94" i="70"/>
  <c r="C99" i="70"/>
  <c r="H99" i="70" s="1"/>
  <c r="C98" i="70"/>
  <c r="H98" i="70" s="1"/>
  <c r="C97" i="70"/>
  <c r="H97" i="70" s="1"/>
  <c r="C96" i="70"/>
  <c r="H96" i="70" s="1"/>
  <c r="C95" i="70"/>
  <c r="H95" i="70" s="1"/>
  <c r="C94" i="70"/>
  <c r="H94" i="70" s="1"/>
  <c r="C100" i="70"/>
  <c r="F100" i="70" s="1"/>
  <c r="G300" i="70"/>
  <c r="H204" i="70"/>
  <c r="F204" i="70"/>
  <c r="H203" i="70"/>
  <c r="F203" i="70"/>
  <c r="H202" i="70"/>
  <c r="F202" i="70"/>
  <c r="H201" i="70"/>
  <c r="F201" i="70"/>
  <c r="H198" i="70"/>
  <c r="F198" i="70"/>
  <c r="H197" i="70"/>
  <c r="F197" i="70"/>
  <c r="H196" i="70"/>
  <c r="F196" i="70"/>
  <c r="H194" i="70"/>
  <c r="F194" i="70"/>
  <c r="H193" i="70"/>
  <c r="F193" i="70"/>
  <c r="H192" i="70"/>
  <c r="F192" i="70"/>
  <c r="H191" i="70"/>
  <c r="F191" i="70"/>
  <c r="H190" i="70"/>
  <c r="F190" i="70"/>
  <c r="H189" i="70"/>
  <c r="F189" i="70"/>
  <c r="F188" i="70"/>
  <c r="I188" i="70" s="1"/>
  <c r="H187" i="70"/>
  <c r="F187" i="70"/>
  <c r="H186" i="70"/>
  <c r="F186" i="70"/>
  <c r="H185" i="70"/>
  <c r="F185" i="70"/>
  <c r="H184" i="70"/>
  <c r="E184" i="70"/>
  <c r="F184" i="70" s="1"/>
  <c r="H183" i="70"/>
  <c r="E183" i="70"/>
  <c r="F183" i="70" s="1"/>
  <c r="H182" i="70"/>
  <c r="E182" i="70"/>
  <c r="F182" i="70" s="1"/>
  <c r="H181" i="70"/>
  <c r="E181" i="70"/>
  <c r="F181" i="70" s="1"/>
  <c r="H180" i="70"/>
  <c r="E180" i="70"/>
  <c r="F180" i="70" s="1"/>
  <c r="H179" i="70"/>
  <c r="F179" i="70"/>
  <c r="H173" i="70"/>
  <c r="F173" i="70"/>
  <c r="H167" i="70"/>
  <c r="F167" i="70"/>
  <c r="H166" i="70"/>
  <c r="F166" i="70"/>
  <c r="H165" i="70"/>
  <c r="F165" i="70"/>
  <c r="H164" i="70"/>
  <c r="F164" i="70"/>
  <c r="H163" i="70"/>
  <c r="E163" i="70"/>
  <c r="F163" i="70" s="1"/>
  <c r="H160" i="70"/>
  <c r="F160" i="70"/>
  <c r="H159" i="70"/>
  <c r="F159" i="70"/>
  <c r="H158" i="70"/>
  <c r="F158" i="70"/>
  <c r="H157" i="70"/>
  <c r="F157" i="70"/>
  <c r="H156" i="70"/>
  <c r="F156" i="70"/>
  <c r="H155" i="70"/>
  <c r="F155" i="70"/>
  <c r="H154" i="70"/>
  <c r="F154" i="70"/>
  <c r="H153" i="70"/>
  <c r="F153" i="70"/>
  <c r="H152" i="70"/>
  <c r="F152" i="70"/>
  <c r="H151" i="70"/>
  <c r="F151" i="70"/>
  <c r="H150" i="70"/>
  <c r="F150" i="70"/>
  <c r="H149" i="70"/>
  <c r="F149" i="70"/>
  <c r="H148" i="70"/>
  <c r="F148" i="70"/>
  <c r="H147" i="70"/>
  <c r="F147" i="70"/>
  <c r="H146" i="70"/>
  <c r="F146" i="70"/>
  <c r="H144" i="70"/>
  <c r="F144" i="70"/>
  <c r="H143" i="70"/>
  <c r="F143" i="70"/>
  <c r="H142" i="70"/>
  <c r="F142" i="70"/>
  <c r="H141" i="70"/>
  <c r="F141" i="70"/>
  <c r="H140" i="70"/>
  <c r="F140" i="70"/>
  <c r="H139" i="70"/>
  <c r="F139" i="70"/>
  <c r="H138" i="70"/>
  <c r="F138" i="70"/>
  <c r="H135" i="70"/>
  <c r="F135" i="70"/>
  <c r="H134" i="70"/>
  <c r="F134" i="70"/>
  <c r="G133" i="70"/>
  <c r="H133" i="70" s="1"/>
  <c r="H132" i="70"/>
  <c r="F132" i="70"/>
  <c r="H131" i="70"/>
  <c r="E131" i="70"/>
  <c r="E133" i="70" s="1"/>
  <c r="F133" i="70" s="1"/>
  <c r="I133" i="70" s="1"/>
  <c r="H129" i="70"/>
  <c r="F129" i="70"/>
  <c r="H128" i="70"/>
  <c r="F128" i="70"/>
  <c r="H127" i="70"/>
  <c r="F127" i="70"/>
  <c r="H125" i="70"/>
  <c r="F125" i="70"/>
  <c r="H124" i="70"/>
  <c r="F124" i="70"/>
  <c r="H123" i="70"/>
  <c r="F123" i="70"/>
  <c r="H122" i="70"/>
  <c r="F122" i="70"/>
  <c r="H120" i="70"/>
  <c r="F120" i="70"/>
  <c r="H119" i="70"/>
  <c r="F119" i="70"/>
  <c r="H118" i="70"/>
  <c r="F118" i="70"/>
  <c r="H115" i="70"/>
  <c r="F115" i="70"/>
  <c r="H114" i="70"/>
  <c r="F114" i="70"/>
  <c r="H113" i="70"/>
  <c r="F113" i="70"/>
  <c r="H112" i="70"/>
  <c r="F112" i="70"/>
  <c r="H111" i="70"/>
  <c r="F111" i="70"/>
  <c r="H110" i="70"/>
  <c r="F110" i="70"/>
  <c r="E29" i="70"/>
  <c r="F29" i="70" s="1"/>
  <c r="G29" i="70"/>
  <c r="H29" i="70" s="1"/>
  <c r="F30" i="70"/>
  <c r="H30" i="70"/>
  <c r="F32" i="70"/>
  <c r="H32" i="70"/>
  <c r="F33" i="70"/>
  <c r="H33" i="70"/>
  <c r="F34" i="70"/>
  <c r="H34" i="70"/>
  <c r="F35" i="70"/>
  <c r="H35" i="70"/>
  <c r="F37" i="70"/>
  <c r="H37" i="70"/>
  <c r="F38" i="70"/>
  <c r="H38" i="70"/>
  <c r="F39" i="70"/>
  <c r="H39" i="70"/>
  <c r="F40" i="70"/>
  <c r="H40" i="70"/>
  <c r="F41" i="70"/>
  <c r="H41" i="70"/>
  <c r="F42" i="70"/>
  <c r="H42" i="70"/>
  <c r="F46" i="70"/>
  <c r="H46" i="70"/>
  <c r="F48" i="70"/>
  <c r="H48" i="70"/>
  <c r="E50" i="70"/>
  <c r="F50" i="70" s="1"/>
  <c r="H50" i="70"/>
  <c r="E51" i="70"/>
  <c r="F51" i="70" s="1"/>
  <c r="H51" i="70"/>
  <c r="F52" i="70"/>
  <c r="H52" i="70"/>
  <c r="F53" i="70"/>
  <c r="H53" i="70"/>
  <c r="F54" i="70"/>
  <c r="H54" i="70"/>
  <c r="F55" i="70"/>
  <c r="H55" i="70"/>
  <c r="F56" i="70"/>
  <c r="H56" i="70"/>
  <c r="G58" i="70"/>
  <c r="E61" i="70"/>
  <c r="F61" i="70" s="1"/>
  <c r="G61" i="70"/>
  <c r="H61" i="70" s="1"/>
  <c r="G63" i="70"/>
  <c r="H63" i="70" s="1"/>
  <c r="E64" i="70"/>
  <c r="F64" i="70" s="1"/>
  <c r="G64" i="70"/>
  <c r="H64" i="70" s="1"/>
  <c r="F65" i="70"/>
  <c r="H65" i="70"/>
  <c r="F66" i="70"/>
  <c r="G66" i="70"/>
  <c r="H66" i="70" s="1"/>
  <c r="E67" i="70"/>
  <c r="F67" i="70" s="1"/>
  <c r="H67" i="70"/>
  <c r="E68" i="70"/>
  <c r="F68" i="70" s="1"/>
  <c r="H68" i="70"/>
  <c r="F70" i="70"/>
  <c r="F77" i="70"/>
  <c r="H77" i="70"/>
  <c r="F78" i="70"/>
  <c r="H78" i="70"/>
  <c r="F79" i="70"/>
  <c r="H79" i="70"/>
  <c r="F80" i="70"/>
  <c r="H81" i="70"/>
  <c r="H82" i="70"/>
  <c r="G88" i="70"/>
  <c r="H88" i="70" s="1"/>
  <c r="F89" i="70"/>
  <c r="H89" i="70"/>
  <c r="F90" i="70"/>
  <c r="H91" i="70"/>
  <c r="H92" i="70"/>
  <c r="E95" i="70"/>
  <c r="E96" i="70"/>
  <c r="E97" i="70"/>
  <c r="F102" i="70"/>
  <c r="H102" i="70"/>
  <c r="F103" i="70"/>
  <c r="H103" i="70"/>
  <c r="F104" i="70"/>
  <c r="H104" i="70"/>
  <c r="H214" i="70" l="1"/>
  <c r="H58" i="70"/>
  <c r="G70" i="70"/>
  <c r="H70" i="70" s="1"/>
  <c r="I401" i="70"/>
  <c r="I404" i="70"/>
  <c r="I403" i="70"/>
  <c r="F96" i="70"/>
  <c r="I96" i="70" s="1"/>
  <c r="I396" i="70"/>
  <c r="I394" i="70"/>
  <c r="I402" i="70"/>
  <c r="I395" i="70"/>
  <c r="I399" i="70"/>
  <c r="I197" i="70"/>
  <c r="I393" i="70"/>
  <c r="I397" i="70"/>
  <c r="I398" i="70"/>
  <c r="I400" i="70"/>
  <c r="F95" i="70"/>
  <c r="I95" i="70" s="1"/>
  <c r="F99" i="70"/>
  <c r="I193" i="70"/>
  <c r="I198" i="70"/>
  <c r="I297" i="70"/>
  <c r="F97" i="70"/>
  <c r="I97" i="70" s="1"/>
  <c r="I155" i="70"/>
  <c r="I113" i="70"/>
  <c r="I119" i="70"/>
  <c r="I124" i="70"/>
  <c r="I187" i="70"/>
  <c r="G76" i="70"/>
  <c r="H76" i="70" s="1"/>
  <c r="I139" i="70"/>
  <c r="I192" i="70"/>
  <c r="F98" i="70"/>
  <c r="I98" i="70" s="1"/>
  <c r="F94" i="70"/>
  <c r="I94" i="70" s="1"/>
  <c r="I103" i="70"/>
  <c r="I143" i="70"/>
  <c r="I152" i="70"/>
  <c r="I118" i="70"/>
  <c r="I167" i="70"/>
  <c r="I189" i="70"/>
  <c r="I159" i="70"/>
  <c r="I70" i="70"/>
  <c r="I67" i="70"/>
  <c r="E63" i="70"/>
  <c r="F63" i="70" s="1"/>
  <c r="I63" i="70" s="1"/>
  <c r="I125" i="70"/>
  <c r="I128" i="70"/>
  <c r="I156" i="70"/>
  <c r="I160" i="70"/>
  <c r="I164" i="70"/>
  <c r="I166" i="70"/>
  <c r="I190" i="70"/>
  <c r="I66" i="70"/>
  <c r="I134" i="70"/>
  <c r="I138" i="70"/>
  <c r="I144" i="70"/>
  <c r="I147" i="70"/>
  <c r="I149" i="70"/>
  <c r="I151" i="70"/>
  <c r="I153" i="70"/>
  <c r="I123" i="70"/>
  <c r="I150" i="70"/>
  <c r="I111" i="70"/>
  <c r="I185" i="70"/>
  <c r="I110" i="70"/>
  <c r="I112" i="70"/>
  <c r="I114" i="70"/>
  <c r="I142" i="70"/>
  <c r="I163" i="70"/>
  <c r="I182" i="70"/>
  <c r="I184" i="70"/>
  <c r="I186" i="70"/>
  <c r="I201" i="70"/>
  <c r="I203" i="70"/>
  <c r="I181" i="70"/>
  <c r="I115" i="70"/>
  <c r="I135" i="70"/>
  <c r="I154" i="70"/>
  <c r="I165" i="70"/>
  <c r="I180" i="70"/>
  <c r="I191" i="70"/>
  <c r="E81" i="70"/>
  <c r="F81" i="70" s="1"/>
  <c r="I81" i="70" s="1"/>
  <c r="I122" i="70"/>
  <c r="I141" i="70"/>
  <c r="I158" i="70"/>
  <c r="I179" i="70"/>
  <c r="I196" i="70"/>
  <c r="I120" i="70"/>
  <c r="I127" i="70"/>
  <c r="I129" i="70"/>
  <c r="I132" i="70"/>
  <c r="I140" i="70"/>
  <c r="I146" i="70"/>
  <c r="I148" i="70"/>
  <c r="I157" i="70"/>
  <c r="I173" i="70"/>
  <c r="I183" i="70"/>
  <c r="I194" i="70"/>
  <c r="I202" i="70"/>
  <c r="I204" i="70"/>
  <c r="F131" i="70"/>
  <c r="I131" i="70" s="1"/>
  <c r="E88" i="70"/>
  <c r="F88" i="70" s="1"/>
  <c r="I88" i="70" s="1"/>
  <c r="G74" i="70"/>
  <c r="H74" i="70" s="1"/>
  <c r="I99" i="70"/>
  <c r="I104" i="70"/>
  <c r="G71" i="70"/>
  <c r="I55" i="70"/>
  <c r="I48" i="70"/>
  <c r="I35" i="70"/>
  <c r="I79" i="70"/>
  <c r="I32" i="70"/>
  <c r="I52" i="70"/>
  <c r="I65" i="70"/>
  <c r="I42" i="70"/>
  <c r="I38" i="70"/>
  <c r="I29" i="70"/>
  <c r="C101" i="70"/>
  <c r="F101" i="70" s="1"/>
  <c r="G80" i="70"/>
  <c r="I46" i="70"/>
  <c r="I41" i="70"/>
  <c r="I39" i="70"/>
  <c r="I100" i="70"/>
  <c r="E82" i="70"/>
  <c r="F82" i="70" s="1"/>
  <c r="I82" i="70" s="1"/>
  <c r="I30" i="70"/>
  <c r="I102" i="70"/>
  <c r="I54" i="70"/>
  <c r="I77" i="70"/>
  <c r="I53" i="70"/>
  <c r="I51" i="70"/>
  <c r="I37" i="70"/>
  <c r="I89" i="70"/>
  <c r="I78" i="70"/>
  <c r="I68" i="70"/>
  <c r="I56" i="70"/>
  <c r="I40" i="70"/>
  <c r="I33" i="70"/>
  <c r="I64" i="70"/>
  <c r="I50" i="70"/>
  <c r="I34" i="70"/>
  <c r="I61" i="70"/>
  <c r="E74" i="70"/>
  <c r="H285" i="70"/>
  <c r="F285" i="70"/>
  <c r="H284" i="70"/>
  <c r="F284" i="70"/>
  <c r="G282" i="70"/>
  <c r="H282" i="70" s="1"/>
  <c r="E282" i="70"/>
  <c r="F282" i="70" s="1"/>
  <c r="G281" i="70"/>
  <c r="H281" i="70" s="1"/>
  <c r="E281" i="70"/>
  <c r="F281" i="70" s="1"/>
  <c r="G280" i="70"/>
  <c r="H280" i="70" s="1"/>
  <c r="F280" i="70"/>
  <c r="H279" i="70"/>
  <c r="F279" i="70"/>
  <c r="H278" i="70"/>
  <c r="F278" i="70"/>
  <c r="H277" i="70"/>
  <c r="F277" i="70"/>
  <c r="H275" i="70"/>
  <c r="E275" i="70"/>
  <c r="F275" i="70" s="1"/>
  <c r="H273" i="70"/>
  <c r="F273" i="70"/>
  <c r="H272" i="70"/>
  <c r="F272" i="70"/>
  <c r="H271" i="70"/>
  <c r="E271" i="70"/>
  <c r="F271" i="70" s="1"/>
  <c r="H270" i="70"/>
  <c r="F270" i="70"/>
  <c r="H269" i="70"/>
  <c r="F269" i="70"/>
  <c r="H267" i="70"/>
  <c r="F267" i="70"/>
  <c r="H266" i="70"/>
  <c r="F266" i="70"/>
  <c r="H264" i="70"/>
  <c r="F264" i="70"/>
  <c r="H262" i="70"/>
  <c r="F262" i="70"/>
  <c r="H260" i="70"/>
  <c r="F260" i="70"/>
  <c r="H258" i="70"/>
  <c r="F258" i="70"/>
  <c r="H257" i="70"/>
  <c r="F257" i="70"/>
  <c r="H255" i="70"/>
  <c r="F255" i="70"/>
  <c r="H253" i="70"/>
  <c r="F253" i="70"/>
  <c r="H252" i="70"/>
  <c r="F252" i="70"/>
  <c r="H250" i="70"/>
  <c r="F250" i="70"/>
  <c r="G247" i="70"/>
  <c r="H247" i="70" s="1"/>
  <c r="E247" i="70"/>
  <c r="F247" i="70" s="1"/>
  <c r="G246" i="70"/>
  <c r="H246" i="70" s="1"/>
  <c r="E246" i="70"/>
  <c r="F246" i="70" s="1"/>
  <c r="G245" i="70"/>
  <c r="H245" i="70" s="1"/>
  <c r="E245" i="70"/>
  <c r="F245" i="70" s="1"/>
  <c r="G244" i="70"/>
  <c r="H244" i="70" s="1"/>
  <c r="E244" i="70"/>
  <c r="F244" i="70" s="1"/>
  <c r="H241" i="70"/>
  <c r="F241" i="70"/>
  <c r="H240" i="70"/>
  <c r="F240" i="70"/>
  <c r="H239" i="70"/>
  <c r="F239" i="70"/>
  <c r="H237" i="70"/>
  <c r="F237" i="70"/>
  <c r="H236" i="70"/>
  <c r="F236" i="70"/>
  <c r="H235" i="70"/>
  <c r="F235" i="70"/>
  <c r="H234" i="70"/>
  <c r="F234" i="70"/>
  <c r="H232" i="70"/>
  <c r="F232" i="70"/>
  <c r="H231" i="70"/>
  <c r="F231" i="70"/>
  <c r="H230" i="70"/>
  <c r="F230" i="70"/>
  <c r="H227" i="70"/>
  <c r="F227" i="70"/>
  <c r="E228" i="70" s="1"/>
  <c r="F228" i="70" s="1"/>
  <c r="G224" i="70"/>
  <c r="H224" i="70" s="1"/>
  <c r="E224" i="70"/>
  <c r="F224" i="70" s="1"/>
  <c r="H223" i="70"/>
  <c r="F223" i="70"/>
  <c r="H220" i="70"/>
  <c r="F220" i="70"/>
  <c r="H219" i="70"/>
  <c r="F219" i="70"/>
  <c r="H218" i="70"/>
  <c r="F218" i="70"/>
  <c r="H106" i="70" l="1"/>
  <c r="I58" i="70"/>
  <c r="F214" i="70"/>
  <c r="I214" i="70"/>
  <c r="E91" i="70"/>
  <c r="F91" i="70" s="1"/>
  <c r="I91" i="70" s="1"/>
  <c r="F84" i="70"/>
  <c r="E76" i="70"/>
  <c r="F76" i="70" s="1"/>
  <c r="I76" i="70" s="1"/>
  <c r="H101" i="70"/>
  <c r="I101" i="70" s="1"/>
  <c r="G86" i="70"/>
  <c r="H86" i="70" s="1"/>
  <c r="H71" i="70"/>
  <c r="G84" i="70"/>
  <c r="H84" i="70" s="1"/>
  <c r="E225" i="70"/>
  <c r="F225" i="70" s="1"/>
  <c r="I231" i="70"/>
  <c r="I252" i="70"/>
  <c r="I271" i="70"/>
  <c r="I273" i="70"/>
  <c r="E92" i="70"/>
  <c r="F92" i="70" s="1"/>
  <c r="I92" i="70" s="1"/>
  <c r="H80" i="70"/>
  <c r="I80" i="70" s="1"/>
  <c r="G90" i="70"/>
  <c r="H90" i="70" s="1"/>
  <c r="I90" i="70" s="1"/>
  <c r="E86" i="70"/>
  <c r="F86" i="70" s="1"/>
  <c r="F74" i="70"/>
  <c r="I74" i="70" s="1"/>
  <c r="I232" i="70"/>
  <c r="I250" i="70"/>
  <c r="I270" i="70"/>
  <c r="I220" i="70"/>
  <c r="I278" i="70"/>
  <c r="I280" i="70"/>
  <c r="I284" i="70"/>
  <c r="I247" i="70"/>
  <c r="G221" i="70"/>
  <c r="H221" i="70" s="1"/>
  <c r="I240" i="70"/>
  <c r="I262" i="70"/>
  <c r="I269" i="70"/>
  <c r="I219" i="70"/>
  <c r="G228" i="70"/>
  <c r="H228" i="70" s="1"/>
  <c r="I228" i="70" s="1"/>
  <c r="I236" i="70"/>
  <c r="I239" i="70"/>
  <c r="I241" i="70"/>
  <c r="I257" i="70"/>
  <c r="I260" i="70"/>
  <c r="I264" i="70"/>
  <c r="I267" i="70"/>
  <c r="I282" i="70"/>
  <c r="I223" i="70"/>
  <c r="I230" i="70"/>
  <c r="I227" i="70"/>
  <c r="I235" i="70"/>
  <c r="I237" i="70"/>
  <c r="I255" i="70"/>
  <c r="I258" i="70"/>
  <c r="I272" i="70"/>
  <c r="I277" i="70"/>
  <c r="I279" i="70"/>
  <c r="I281" i="70"/>
  <c r="I285" i="70"/>
  <c r="I234" i="70"/>
  <c r="I253" i="70"/>
  <c r="I266" i="70"/>
  <c r="I275" i="70"/>
  <c r="G225" i="70"/>
  <c r="H225" i="70" s="1"/>
  <c r="I224" i="70"/>
  <c r="I246" i="70"/>
  <c r="G248" i="70"/>
  <c r="H248" i="70" s="1"/>
  <c r="I244" i="70"/>
  <c r="E248" i="70"/>
  <c r="F248" i="70" s="1"/>
  <c r="I245" i="70"/>
  <c r="I218" i="70"/>
  <c r="E221" i="70"/>
  <c r="F221" i="70" s="1"/>
  <c r="F71" i="70" l="1"/>
  <c r="I86" i="70"/>
  <c r="I225" i="70"/>
  <c r="I84" i="70"/>
  <c r="I221" i="70"/>
  <c r="I248" i="70"/>
  <c r="I71" i="70" l="1"/>
  <c r="I106" i="70" s="1"/>
  <c r="F106" i="70"/>
  <c r="H392" i="70"/>
  <c r="F392" i="70"/>
  <c r="I392" i="70" l="1"/>
  <c r="H308" i="70"/>
  <c r="F308" i="70"/>
  <c r="H342" i="70"/>
  <c r="F342" i="70"/>
  <c r="H339" i="70"/>
  <c r="F339" i="70"/>
  <c r="H326" i="70"/>
  <c r="F326" i="70"/>
  <c r="H327" i="70"/>
  <c r="F327" i="70"/>
  <c r="I342" i="70" l="1"/>
  <c r="I308" i="70"/>
  <c r="I339" i="70"/>
  <c r="I327" i="70"/>
  <c r="I326" i="70"/>
  <c r="H328" i="70" l="1"/>
  <c r="F328" i="70"/>
  <c r="I328" i="70" l="1"/>
  <c r="H369" i="70"/>
  <c r="F369" i="70"/>
  <c r="I369" i="70" l="1"/>
  <c r="F365" i="70" l="1"/>
  <c r="H352" i="70"/>
  <c r="F352" i="70"/>
  <c r="H351" i="70"/>
  <c r="F351" i="70"/>
  <c r="H350" i="70"/>
  <c r="F350" i="70"/>
  <c r="I351" i="70" l="1"/>
  <c r="I352" i="70"/>
  <c r="I350" i="70"/>
  <c r="H302" i="70" l="1"/>
  <c r="F347" i="70" l="1"/>
  <c r="H347" i="70"/>
  <c r="I347" i="70" l="1"/>
  <c r="H357" i="70" l="1"/>
  <c r="F357" i="70"/>
  <c r="I357" i="70" l="1"/>
  <c r="H349" i="70"/>
  <c r="F349" i="70"/>
  <c r="H348" i="70"/>
  <c r="F348" i="70"/>
  <c r="H358" i="70"/>
  <c r="H356" i="70"/>
  <c r="F356" i="70"/>
  <c r="H355" i="70"/>
  <c r="F355" i="70"/>
  <c r="H354" i="70"/>
  <c r="F354" i="70"/>
  <c r="H353" i="70"/>
  <c r="F353" i="70"/>
  <c r="H390" i="70"/>
  <c r="F390" i="70"/>
  <c r="H389" i="70"/>
  <c r="F389" i="70"/>
  <c r="H376" i="70"/>
  <c r="H385" i="70"/>
  <c r="H337" i="70"/>
  <c r="H336" i="70"/>
  <c r="F336" i="70"/>
  <c r="H335" i="70"/>
  <c r="F335" i="70"/>
  <c r="H345" i="70"/>
  <c r="F406" i="70" l="1"/>
  <c r="E358" i="70"/>
  <c r="F358" i="70" s="1"/>
  <c r="I358" i="70" s="1"/>
  <c r="I348" i="70"/>
  <c r="I390" i="70"/>
  <c r="I389" i="70"/>
  <c r="I353" i="70"/>
  <c r="I355" i="70"/>
  <c r="I354" i="70"/>
  <c r="I356" i="70"/>
  <c r="I349" i="70"/>
  <c r="H406" i="70"/>
  <c r="I336" i="70"/>
  <c r="I335" i="70"/>
  <c r="I406" i="70" l="1"/>
  <c r="C13" i="64"/>
  <c r="B16" i="70" l="1"/>
  <c r="B18" i="62" s="1"/>
  <c r="B15" i="70"/>
  <c r="B17" i="62" s="1"/>
  <c r="B14" i="70"/>
  <c r="B16" i="62" s="1"/>
  <c r="B13" i="70"/>
  <c r="B15" i="62" s="1"/>
  <c r="B12" i="70"/>
  <c r="H362" i="70"/>
  <c r="F362" i="70"/>
  <c r="H363" i="70"/>
  <c r="F363" i="70"/>
  <c r="H365" i="70"/>
  <c r="I364" i="70"/>
  <c r="H361" i="70"/>
  <c r="F361" i="70"/>
  <c r="B387" i="70"/>
  <c r="H384" i="70"/>
  <c r="F384" i="70"/>
  <c r="H383" i="70"/>
  <c r="F383" i="70"/>
  <c r="H382" i="70"/>
  <c r="F382" i="70"/>
  <c r="H381" i="70"/>
  <c r="F381" i="70"/>
  <c r="H380" i="70"/>
  <c r="F380" i="70"/>
  <c r="H379" i="70"/>
  <c r="E379" i="70"/>
  <c r="F379" i="70" s="1"/>
  <c r="H375" i="70"/>
  <c r="F375" i="70"/>
  <c r="H374" i="70"/>
  <c r="F374" i="70"/>
  <c r="H373" i="70"/>
  <c r="F373" i="70"/>
  <c r="H372" i="70"/>
  <c r="F372" i="70"/>
  <c r="H371" i="70"/>
  <c r="F371" i="70"/>
  <c r="H370" i="70"/>
  <c r="F370" i="70"/>
  <c r="H368" i="70"/>
  <c r="F368" i="70"/>
  <c r="H367" i="70"/>
  <c r="F367" i="70"/>
  <c r="H344" i="70"/>
  <c r="F344" i="70"/>
  <c r="H343" i="70"/>
  <c r="F343" i="70"/>
  <c r="H334" i="70"/>
  <c r="F334" i="70"/>
  <c r="H333" i="70"/>
  <c r="F333" i="70"/>
  <c r="H341" i="70"/>
  <c r="F341" i="70"/>
  <c r="H340" i="70"/>
  <c r="F340" i="70"/>
  <c r="H332" i="70"/>
  <c r="F332" i="70"/>
  <c r="H331" i="70"/>
  <c r="F331" i="70"/>
  <c r="H330" i="70"/>
  <c r="F330" i="70"/>
  <c r="H329" i="70"/>
  <c r="F329" i="70"/>
  <c r="H324" i="70"/>
  <c r="F324" i="70"/>
  <c r="H323" i="70"/>
  <c r="F323" i="70"/>
  <c r="H322" i="70"/>
  <c r="F322" i="70"/>
  <c r="H321" i="70"/>
  <c r="F321" i="70"/>
  <c r="H319" i="70"/>
  <c r="F319" i="70"/>
  <c r="H318" i="70"/>
  <c r="F318" i="70"/>
  <c r="H317" i="70"/>
  <c r="F317" i="70"/>
  <c r="H316" i="70"/>
  <c r="F316" i="70"/>
  <c r="H315" i="70"/>
  <c r="F315" i="70"/>
  <c r="H314" i="70"/>
  <c r="F314" i="70"/>
  <c r="H313" i="70"/>
  <c r="F313" i="70"/>
  <c r="H312" i="70"/>
  <c r="F312" i="70"/>
  <c r="H311" i="70"/>
  <c r="F311" i="70"/>
  <c r="H310" i="70"/>
  <c r="F310" i="70"/>
  <c r="H307" i="70"/>
  <c r="F307" i="70"/>
  <c r="H306" i="70"/>
  <c r="F306" i="70"/>
  <c r="H305" i="70"/>
  <c r="F305" i="70"/>
  <c r="H304" i="70"/>
  <c r="F304" i="70"/>
  <c r="H301" i="70"/>
  <c r="F301" i="70"/>
  <c r="H300" i="70"/>
  <c r="F300" i="70"/>
  <c r="B293" i="70"/>
  <c r="H286" i="70"/>
  <c r="H293" i="70" s="1"/>
  <c r="F286" i="70"/>
  <c r="F293" i="70" s="1"/>
  <c r="B106" i="70"/>
  <c r="B25" i="70"/>
  <c r="H23" i="70"/>
  <c r="F23" i="70"/>
  <c r="A10" i="65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H387" i="70" l="1"/>
  <c r="E345" i="70"/>
  <c r="F345" i="70" s="1"/>
  <c r="I345" i="70" s="1"/>
  <c r="E385" i="70"/>
  <c r="F385" i="70" s="1"/>
  <c r="I385" i="70" s="1"/>
  <c r="E302" i="70"/>
  <c r="E337" i="70"/>
  <c r="F337" i="70" s="1"/>
  <c r="I337" i="70" s="1"/>
  <c r="E376" i="70"/>
  <c r="F376" i="70" s="1"/>
  <c r="I376" i="70" s="1"/>
  <c r="F25" i="70"/>
  <c r="E12" i="70" s="1"/>
  <c r="F12" i="70" s="1"/>
  <c r="H25" i="70"/>
  <c r="G12" i="70" s="1"/>
  <c r="H12" i="70" s="1"/>
  <c r="I307" i="70"/>
  <c r="I313" i="70"/>
  <c r="I367" i="70"/>
  <c r="I318" i="70"/>
  <c r="I368" i="70"/>
  <c r="I373" i="70"/>
  <c r="I315" i="70"/>
  <c r="I319" i="70"/>
  <c r="I333" i="70"/>
  <c r="I344" i="70"/>
  <c r="I361" i="70"/>
  <c r="I304" i="70"/>
  <c r="I306" i="70"/>
  <c r="I310" i="70"/>
  <c r="I312" i="70"/>
  <c r="I314" i="70"/>
  <c r="I324" i="70"/>
  <c r="I375" i="70"/>
  <c r="I331" i="70"/>
  <c r="I370" i="70"/>
  <c r="I363" i="70"/>
  <c r="I330" i="70"/>
  <c r="I332" i="70"/>
  <c r="I334" i="70"/>
  <c r="I343" i="70"/>
  <c r="I323" i="70"/>
  <c r="I329" i="70"/>
  <c r="I341" i="70"/>
  <c r="I379" i="70"/>
  <c r="I317" i="70"/>
  <c r="I372" i="70"/>
  <c r="I374" i="70"/>
  <c r="I381" i="70"/>
  <c r="I382" i="70"/>
  <c r="I305" i="70"/>
  <c r="I316" i="70"/>
  <c r="I322" i="70"/>
  <c r="I371" i="70"/>
  <c r="I380" i="70"/>
  <c r="I365" i="70"/>
  <c r="I362" i="70"/>
  <c r="I301" i="70"/>
  <c r="I311" i="70"/>
  <c r="I321" i="70"/>
  <c r="I340" i="70"/>
  <c r="I383" i="70"/>
  <c r="I384" i="70"/>
  <c r="I300" i="70"/>
  <c r="I286" i="70"/>
  <c r="I293" i="70" s="1"/>
  <c r="I23" i="70"/>
  <c r="A6" i="70"/>
  <c r="A5" i="70"/>
  <c r="A4" i="70"/>
  <c r="A3" i="70"/>
  <c r="A2" i="70"/>
  <c r="A9" i="62"/>
  <c r="A7" i="62"/>
  <c r="A5" i="62"/>
  <c r="A4" i="62"/>
  <c r="A3" i="62"/>
  <c r="A9" i="64"/>
  <c r="A7" i="64"/>
  <c r="A5" i="64"/>
  <c r="A4" i="64"/>
  <c r="A3" i="64"/>
  <c r="A9" i="63"/>
  <c r="A7" i="63"/>
  <c r="A5" i="63"/>
  <c r="A6" i="62"/>
  <c r="F302" i="70" l="1"/>
  <c r="G15" i="70"/>
  <c r="H15" i="70" s="1"/>
  <c r="G13" i="70"/>
  <c r="H13" i="70" s="1"/>
  <c r="E15" i="70"/>
  <c r="F15" i="70" s="1"/>
  <c r="E14" i="70"/>
  <c r="F14" i="70" s="1"/>
  <c r="I12" i="70"/>
  <c r="C14" i="62" s="1"/>
  <c r="I25" i="70"/>
  <c r="G14" i="70"/>
  <c r="H14" i="70" s="1"/>
  <c r="I302" i="70" l="1"/>
  <c r="I387" i="70" s="1"/>
  <c r="F387" i="70"/>
  <c r="E16" i="70" s="1"/>
  <c r="F16" i="70" s="1"/>
  <c r="C18" i="62"/>
  <c r="G16" i="70"/>
  <c r="H16" i="70" s="1"/>
  <c r="I14" i="70"/>
  <c r="C16" i="62" s="1"/>
  <c r="E16" i="62" s="1"/>
  <c r="I15" i="70"/>
  <c r="C17" i="62" s="1"/>
  <c r="E17" i="62" s="1"/>
  <c r="I16" i="70" l="1"/>
  <c r="E18" i="62" s="1"/>
  <c r="E13" i="70"/>
  <c r="F13" i="70" s="1"/>
  <c r="I13" i="70" l="1"/>
  <c r="C15" i="62" s="1"/>
  <c r="F18" i="70"/>
  <c r="H18" i="70"/>
  <c r="E15" i="62" l="1"/>
  <c r="C21" i="62"/>
  <c r="I18" i="70"/>
  <c r="A8" i="64"/>
  <c r="E14" i="62" l="1"/>
  <c r="E27" i="62" s="1"/>
  <c r="E21" i="62" s="1"/>
  <c r="E13" i="64" l="1"/>
  <c r="E21" i="64" s="1"/>
  <c r="C13" i="63" l="1"/>
  <c r="C14" i="63"/>
  <c r="C21" i="63" l="1"/>
  <c r="C22" i="63" s="1"/>
  <c r="B24" i="63" l="1"/>
</calcChain>
</file>

<file path=xl/sharedStrings.xml><?xml version="1.0" encoding="utf-8"?>
<sst xmlns="http://schemas.openxmlformats.org/spreadsheetml/2006/main" count="984" uniqueCount="478">
  <si>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</si>
  <si>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</si>
  <si>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</si>
  <si>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</si>
  <si>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</si>
  <si>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</si>
  <si>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</si>
  <si>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</si>
  <si>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</si>
  <si>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</si>
  <si>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</si>
  <si>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</si>
  <si>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</si>
  <si>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</si>
  <si>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</si>
  <si>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</si>
  <si>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</si>
  <si>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</si>
  <si>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</si>
  <si>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</si>
  <si>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</si>
  <si>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</si>
  <si>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</si>
  <si>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</si>
  <si>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</si>
  <si>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</si>
  <si>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</si>
  <si>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</si>
  <si>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</si>
  <si>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</si>
  <si>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</si>
  <si>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</si>
  <si>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</si>
  <si>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</si>
  <si>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</si>
  <si>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</si>
  <si>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</si>
  <si>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</si>
  <si>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</si>
  <si>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</si>
  <si>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</si>
  <si>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</si>
  <si>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</si>
  <si>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</si>
  <si>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</si>
  <si>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</si>
  <si>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</si>
  <si>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</si>
  <si>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</si>
  <si>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</si>
  <si>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</si>
  <si>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</si>
  <si>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</si>
  <si>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</si>
  <si>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</si>
  <si>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</si>
  <si>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</si>
  <si>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</si>
  <si>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</si>
  <si>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</si>
  <si>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</si>
  <si>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</si>
  <si>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</si>
  <si>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</si>
  <si>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</si>
  <si>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</si>
  <si>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</si>
  <si>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</si>
  <si>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</si>
  <si>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</si>
  <si>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</si>
  <si>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</si>
  <si>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</si>
  <si>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</si>
  <si>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</si>
  <si>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</si>
  <si>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</si>
  <si>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</si>
  <si>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</si>
  <si>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</si>
  <si>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</si>
  <si>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</si>
  <si>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</si>
  <si>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</si>
  <si>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</si>
  <si>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</si>
  <si>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</si>
  <si>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</si>
  <si>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</si>
  <si>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 xml:space="preserve">                      ราคากลาง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</si>
  <si>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</si>
  <si>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</si>
  <si>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</si>
  <si>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</si>
  <si>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ชุด</t>
  </si>
  <si>
    <t>ตัว</t>
  </si>
  <si>
    <t>จุด</t>
  </si>
  <si>
    <t>เหมา</t>
  </si>
  <si>
    <t>เครื่อง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</si>
  <si>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</si>
  <si>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</si>
  <si>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</si>
  <si>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</si>
  <si>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</si>
  <si>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ถัง</t>
  </si>
  <si>
    <t>งาน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</si>
  <si>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</si>
  <si>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</si>
  <si>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</si>
  <si>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</si>
  <si>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</si>
  <si>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แท่ง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</si>
  <si>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</si>
  <si>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</si>
  <si>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</si>
  <si>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</si>
  <si>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</si>
  <si>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</si>
  <si>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</si>
  <si>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</si>
  <si>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</si>
  <si>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สำนักงานบริหารสินทรัพย์  มหาวิทยาลัยเทคโนโลยีราชมงคลอีสาน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</si>
  <si>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</si>
  <si>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</si>
  <si>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</si>
  <si>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</si>
  <si>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</si>
  <si>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</si>
  <si>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 xml:space="preserve">สรุปปริมาณราคางานอาคารสำนักงานวิทยาเขตร้อยเอ็ด ณ ทุ่งกุลาร้องไห้ (พื้นที่ศูนย์เบญจคาม) </t>
  </si>
  <si>
    <t>กลุ่มงานที่ 1</t>
  </si>
  <si>
    <t>รวมสรุปปริมาณงาน</t>
  </si>
  <si>
    <t>หมวดงานเตรียมการก่อสร้าง</t>
  </si>
  <si>
    <t>งานเตรียมการก่อสร้าง</t>
  </si>
  <si>
    <t>งานสำรวจผังบริเวณ</t>
  </si>
  <si>
    <t>หมวดงานวิศวกรรมโครงสร้าง</t>
  </si>
  <si>
    <t>งานเสาเข็ม</t>
  </si>
  <si>
    <t xml:space="preserve"> - เสาเข็มตัน [/] ขนาด 0.22 x 0.22 m.</t>
  </si>
  <si>
    <t xml:space="preserve"> - งานสกัดหัวเสาเข็ม</t>
  </si>
  <si>
    <t>งานโครงสร้างฐานราก</t>
  </si>
  <si>
    <t xml:space="preserve"> - งานขุดหลุมทำฐานราก แล้วถมคืน</t>
  </si>
  <si>
    <t>ลบ.ม</t>
  </si>
  <si>
    <t xml:space="preserve"> - ทรายหยาบอัดแน่น</t>
  </si>
  <si>
    <t xml:space="preserve"> - เหล็กเส้นกลมผิวข้ออ้อย (DB) SD40</t>
  </si>
  <si>
    <t xml:space="preserve">         ขนาด 12 mm.</t>
  </si>
  <si>
    <t>กก.</t>
  </si>
  <si>
    <t xml:space="preserve">         ขนาด 16 mm.</t>
  </si>
  <si>
    <t xml:space="preserve"> - ไม้แบบหล่อคอนกรีต</t>
  </si>
  <si>
    <t>ลบ.ฟ.</t>
  </si>
  <si>
    <t xml:space="preserve"> - ค่าแรงไม้แบบทั่วไป</t>
  </si>
  <si>
    <t xml:space="preserve"> - ตะปู</t>
  </si>
  <si>
    <t xml:space="preserve"> - ลวดผูกเหล็ก</t>
  </si>
  <si>
    <t>งานโครงสร้างคาน</t>
  </si>
  <si>
    <t xml:space="preserve"> - เหล็กเส้นกลมผิวเรียบ (RB) SR24</t>
  </si>
  <si>
    <t xml:space="preserve">         ขนาด 9 mm.</t>
  </si>
  <si>
    <t xml:space="preserve">         ขนาด 20 mm.</t>
  </si>
  <si>
    <t>งานโครงสร้างเสา</t>
  </si>
  <si>
    <t xml:space="preserve"> - เหล็กเส้นกลมผิวข้ออ้อย (DB) ขนาด 20 มม. SD40</t>
  </si>
  <si>
    <t>งานโครงสร้างพื้น</t>
  </si>
  <si>
    <t xml:space="preserve"> - คอนกรีตทับหน้า Topping</t>
  </si>
  <si>
    <t xml:space="preserve"> - เหล็กตะแกรง 6mm.@0.20 m.</t>
  </si>
  <si>
    <t xml:space="preserve"> - แผ่นพื้นสำเร็จรูป (PS)</t>
  </si>
  <si>
    <t>งานโครงสร้างบันได</t>
  </si>
  <si>
    <t>งานโครงสร้างเหล็ก</t>
  </si>
  <si>
    <t xml:space="preserve"> - STEEL PLATES </t>
  </si>
  <si>
    <t>แผ่น</t>
  </si>
  <si>
    <t xml:space="preserve"> - Bolt </t>
  </si>
  <si>
    <t xml:space="preserve"> - Non shrink mortar </t>
  </si>
  <si>
    <t>ถุง</t>
  </si>
  <si>
    <t xml:space="preserve">ฐานบ่อบำบัด </t>
  </si>
  <si>
    <t>ฐานวางถังน้ำบนดิน+ฐานวางปั้มน้ำ</t>
  </si>
  <si>
    <t>หมวดงานสถาปัตยกรรม</t>
  </si>
  <si>
    <t>งานพื้นและผิวพื้น</t>
  </si>
  <si>
    <t>งานผนังและผิวผนัง</t>
  </si>
  <si>
    <t>งานผนัง</t>
  </si>
  <si>
    <t xml:space="preserve"> - งานก่ออิฐมอญ (ผนังห้องน้ำ)</t>
  </si>
  <si>
    <t xml:space="preserve"> - เสาเอ็น-ทับหลัง</t>
  </si>
  <si>
    <t>ม.</t>
  </si>
  <si>
    <t>งานผิวผนัง</t>
  </si>
  <si>
    <t xml:space="preserve"> - ฉาบปูนเรียบภายใน</t>
  </si>
  <si>
    <t xml:space="preserve"> - ฉาบปูนเรียบภายนอก</t>
  </si>
  <si>
    <t>งานฝ้าเพดาน</t>
  </si>
  <si>
    <t xml:space="preserve"> - C1 ฝ้าคสล. แต่งเปลือย</t>
  </si>
  <si>
    <t xml:space="preserve"> - C2 ฝ้ายิปซั่มบอร์ด ฉาบเรียบหนา 9 มม. โครงคร่าวเหล็กชุมสังกะสี @0.60x1.20 ม.</t>
  </si>
  <si>
    <t>งานบันไดและราวกันตก</t>
  </si>
  <si>
    <t xml:space="preserve"> - ลูกตั้ง ลูกนอน ขัดมัน</t>
  </si>
  <si>
    <t xml:space="preserve"> - จมูกพีวีซี</t>
  </si>
  <si>
    <t xml:space="preserve"> - ชานพัก ขัดมัน</t>
  </si>
  <si>
    <t>งานประตู-หน้าต่าง</t>
  </si>
  <si>
    <t>ประตู</t>
  </si>
  <si>
    <t>หน้าต่าง</t>
  </si>
  <si>
    <t>W1 หน้าต่างบานเปิดพร้อมช่องแสงติดตาย</t>
  </si>
  <si>
    <t>W3 หน้าต่างบานเปิดพร้อมช่องแสงติดตาย</t>
  </si>
  <si>
    <t>W4 หน้าต่างบานกระทุ้งพร้อมช่องแสงติดตาย</t>
  </si>
  <si>
    <t>W5 หน้าต่างบานกระทุ้ง</t>
  </si>
  <si>
    <t>W14 หน้าต่างบานเลื่อนสลับพร้อมช่องแสงติดตาย</t>
  </si>
  <si>
    <t xml:space="preserve">งานสุขภัณฑ์ </t>
  </si>
  <si>
    <t xml:space="preserve">งานสุขภัณฑ์ พร้อมอุปกรณ์ครบชุด  </t>
  </si>
  <si>
    <t xml:space="preserve"> - โถชักโครกสุขภัณท์ พร้อมฟลัชแทงค์</t>
  </si>
  <si>
    <t xml:space="preserve"> - โถชักโครกสุขภัณท์สองชิ้น (ห้องผู้พิการ)</t>
  </si>
  <si>
    <t xml:space="preserve"> - สายฉีดชำระ รวมStop Valve</t>
  </si>
  <si>
    <t xml:space="preserve"> - ที่ใส่กระดาษชำระ</t>
  </si>
  <si>
    <t xml:space="preserve"> - อ่างล้างหน้าแบบฝังเคาน์เตอร์</t>
  </si>
  <si>
    <t xml:space="preserve">     • ก๊อกน้ำเดี่ยวอ่างล้างหน้า </t>
  </si>
  <si>
    <t>Incl.</t>
  </si>
  <si>
    <t xml:space="preserve">     • ท่อน้ำทิ้งอ่างล้างหน้า  </t>
  </si>
  <si>
    <t xml:space="preserve">     • สะดืออ่างล้างหน้าแบบกด</t>
  </si>
  <si>
    <t xml:space="preserve">     • สายน้ำดีอ่างล้างหน้า</t>
  </si>
  <si>
    <t xml:space="preserve">     •  Stop Valve</t>
  </si>
  <si>
    <t xml:space="preserve"> - อ่างล้างหน้าแบบแขวนผนัง  (ห้องผู้พิการ)</t>
  </si>
  <si>
    <t>บาน</t>
  </si>
  <si>
    <t xml:space="preserve"> - กระจกเงาติดผนัง ขนาด 1.15 x 1.00 ม. หนา 6 มม. </t>
  </si>
  <si>
    <t xml:space="preserve"> - กระจกเงาติดผนัง ขนาด 1.70 x 1.00 ม. หนา 6 มม. </t>
  </si>
  <si>
    <t xml:space="preserve"> - กระจกเงาติดผนัง ขนาด 1.95 x 1.00 ม. หนา 6 มม. </t>
  </si>
  <si>
    <t xml:space="preserve"> - กระจกเงาติดผนัง ขนาด 2.00 x 1.00 ม. หนา 6 มม. </t>
  </si>
  <si>
    <t xml:space="preserve"> - กระจกเงาติดผนัง ขนาด 1.40 x 1.00 ม. หนา 6 มม.</t>
  </si>
  <si>
    <t xml:space="preserve"> - โถปัสสาวะชาย พร้อมฟลัชวาล์ว</t>
  </si>
  <si>
    <t xml:space="preserve"> - ราวทรงตัว รูปตัวแอล (คนพิการ) </t>
  </si>
  <si>
    <t xml:space="preserve"> - ราวทรงตัว รูปตัวที (คนพิการ) </t>
  </si>
  <si>
    <t xml:space="preserve"> - ตะแกรง (FD)</t>
  </si>
  <si>
    <t xml:space="preserve"> - งานหล่อเคาน์เตอร์</t>
  </si>
  <si>
    <t>งานทาสี</t>
  </si>
  <si>
    <t xml:space="preserve"> - ทาสีผนัง สำหรับทาภายใน</t>
  </si>
  <si>
    <t xml:space="preserve"> - ทาสีผนัง สำหรับทาภายนอก </t>
  </si>
  <si>
    <t xml:space="preserve"> - ทาสีฝ้าเพดาน </t>
  </si>
  <si>
    <t>งานหลังคา</t>
  </si>
  <si>
    <t xml:space="preserve"> - หลังคาแผ่นใส</t>
  </si>
  <si>
    <t>รวมราคาหมวดงานสถาปัตยกรรม</t>
  </si>
  <si>
    <t>หมวดงานระบบสุขาภิบาล</t>
  </si>
  <si>
    <t>เดินท่อส้วม PVC.-8.5</t>
  </si>
  <si>
    <t xml:space="preserve"> - Dia. 6"</t>
  </si>
  <si>
    <t>ท่อน</t>
  </si>
  <si>
    <t xml:space="preserve"> - Dia. 4"</t>
  </si>
  <si>
    <t xml:space="preserve"> - Dia. 2"</t>
  </si>
  <si>
    <t xml:space="preserve"> - อุปกรณ์ประกอบท่อ เหล็กยึดท่อ ทดสอบ ทาสี</t>
  </si>
  <si>
    <t xml:space="preserve">เดินท่อน้ำทิ้ง PVC. 8.5 </t>
  </si>
  <si>
    <t xml:space="preserve"> - Dia. 3"</t>
  </si>
  <si>
    <t xml:space="preserve">เดินท่อระบายอากาศ PVC. 8.5 </t>
  </si>
  <si>
    <t xml:space="preserve"> - Dia. 1"</t>
  </si>
  <si>
    <t xml:space="preserve">FLOOR CLEAN OUT </t>
  </si>
  <si>
    <t xml:space="preserve">CLEAN OUT    </t>
  </si>
  <si>
    <t>FLOOR DRAIN  Dia. 2"</t>
  </si>
  <si>
    <t xml:space="preserve">FLEXIBLE RUBBER   </t>
  </si>
  <si>
    <t>ถังบำบัดน้ำเสียสำเร็จรูป ชนิดเติมอากาศ พร้อมอุปกรณ์</t>
  </si>
  <si>
    <t xml:space="preserve"> - รองรับปริมาณน้ำเสียไม่น้อยกว่า 4,000 ลิตร/วัน</t>
  </si>
  <si>
    <t>เดินท่อจ่ายน้ำประปา PPR.PN10</t>
  </si>
  <si>
    <t xml:space="preserve">  - Dia. 3/4"</t>
  </si>
  <si>
    <t xml:space="preserve">  - Dia. 1"</t>
  </si>
  <si>
    <t xml:space="preserve">  - Dia. 1 1/2"</t>
  </si>
  <si>
    <t xml:space="preserve">  - Dia. 2"</t>
  </si>
  <si>
    <t>ถังเก็บน้ำไฟเบอร์กลาสชนิดตั้งพื้น ( WATER TANK )</t>
  </si>
  <si>
    <t xml:space="preserve"> - ขนาดความจุ 5000  ลิตร</t>
  </si>
  <si>
    <t>Gate Valve.</t>
  </si>
  <si>
    <t>Butterfly Valve</t>
  </si>
  <si>
    <t xml:space="preserve">  - Dia. 3"</t>
  </si>
  <si>
    <t>ตัวกรอง (Y-Strainer)</t>
  </si>
  <si>
    <t>ข้อต่ออ่อนชนิดรับแรงดัน  (Flexible Connection)</t>
  </si>
  <si>
    <t xml:space="preserve">มาตรวัดน้ำ ชนิดใบพัด ระบบแม่เหล็ก-สองชั้น </t>
  </si>
  <si>
    <t xml:space="preserve">Float Valve </t>
  </si>
  <si>
    <t>Check Valve</t>
  </si>
  <si>
    <t xml:space="preserve">BALL VALVE </t>
  </si>
  <si>
    <t xml:space="preserve"> - Dia. 1 1/2"</t>
  </si>
  <si>
    <t>Pressure gauge W/Snubber &amp; Valve</t>
  </si>
  <si>
    <t>- เครื่องดับเพลิง FE. 10 LB.</t>
  </si>
  <si>
    <t>- เครื่องดับเพลิง CO.2 10 LB.</t>
  </si>
  <si>
    <t xml:space="preserve">เดินท่อระบายน้ำฝน PVC. 8.5 </t>
  </si>
  <si>
    <t xml:space="preserve">ท่อระบายนํ้าคอนกรีตเสริมเหล็ก ปากลิ้นราง ชั้นคุณภาพ 3 </t>
  </si>
  <si>
    <t xml:space="preserve"> -  ขนาด Ø 40 ซม.</t>
  </si>
  <si>
    <t>บ่อ</t>
  </si>
  <si>
    <t>งานดินขุด</t>
  </si>
  <si>
    <t>คอนกรีตหยาบรองพื้น 1:3:5 ( ประเภท 1 )</t>
  </si>
  <si>
    <t>ทรายหยาบรองพื้น</t>
  </si>
  <si>
    <t xml:space="preserve">Roof Drain : RD </t>
  </si>
  <si>
    <t xml:space="preserve">  - Dia. 4"</t>
  </si>
  <si>
    <t>ชุดปั๊มน้ำเพิ่มแรงดัน (Package Booster pump set , Two pumps )</t>
  </si>
  <si>
    <t xml:space="preserve"> - Booster pump controller, Two pumps Operation Working day control by Timer</t>
  </si>
  <si>
    <t xml:space="preserve"> - Alternate/ Parallel Controller ( สลับ+เสริม การทำงาน ), 'Automatic control by Pressure switch</t>
  </si>
  <si>
    <t xml:space="preserve"> - Low level Cut-off by Electrod Senser, 'Phase protection relay</t>
  </si>
  <si>
    <t xml:space="preserve"> - Control box Out-door type</t>
  </si>
  <si>
    <t>หมวดงานระบบไฟฟ้า</t>
  </si>
  <si>
    <t>แผงเมนไฟฟ้า CONSUMER UNIT</t>
  </si>
  <si>
    <t xml:space="preserve"> ชุด</t>
  </si>
  <si>
    <t>PANEL BOARD</t>
  </si>
  <si>
    <t xml:space="preserve"> - LP1 24 ช่อง MCB 80AT/160AF3P พร้อม BREAKER RATING 16 A.-25 A. จำนวน 21 ตัว</t>
  </si>
  <si>
    <t>โคมไฟฟ้า</t>
  </si>
  <si>
    <t>LED PANEL LIGHTING 80 WATT W60L120 PRISMATIC ACRYLIC (แบบ ติดลอย)</t>
  </si>
  <si>
    <t xml:space="preserve">LED PANEL LIGHTING 40 WATT W30L120 PRISMATIC ACRYLIC (แบบ ติดลอย) </t>
  </si>
  <si>
    <t xml:space="preserve">LED PANEL LIGHTING 40 WATT W60L60 PRISMATIC ACRYLIC (แบบ ติดลอย) </t>
  </si>
  <si>
    <t>LED SURFACE 1x16 WATT WALL MOUNT (OUTDOOR)</t>
  </si>
  <si>
    <t>ไฟกิ่ง LED (BULB) 2x9W แบบติดผนังภายนอก</t>
  </si>
  <si>
    <t>SWITCH &amp; RECEPTACLE (สวิตช์ไฟฟ้าและเต้ารับ)</t>
  </si>
  <si>
    <t>CABLE &amp; CONDUIT (งานสายไฟฟ้าและท่อร้อยสายไฟ)</t>
  </si>
  <si>
    <t xml:space="preserve"> ม.</t>
  </si>
  <si>
    <t>ท่อร้อยเดินสายไฟ</t>
  </si>
  <si>
    <t>Fire Alarm System</t>
  </si>
  <si>
    <t>- GRAPHIC ANNUNCIATOR</t>
  </si>
  <si>
    <t>- อุปกรณ์ตรวจจับควันไฟ</t>
  </si>
  <si>
    <t>- อุปกรณ์แจ้งเหตุเพลิงไหม้ด้วยมือ</t>
  </si>
  <si>
    <t>- อุปกรณ์กระดิ่งเตือนเพลิงไหม้ ขนาด 6" พร้อมอุปกรณ์</t>
  </si>
  <si>
    <t>- สายไฟ IEC01 ขนาด 2.5 ตร.มม.</t>
  </si>
  <si>
    <t>- สายไฟ FRC ขนาด 1.5 ตร.มม.</t>
  </si>
  <si>
    <t>- ขนาด 1/2 นิ้ว ท่อชนิด EMT.</t>
  </si>
  <si>
    <t>Lighting &amp; Grounding System</t>
  </si>
  <si>
    <t>เสาล่อฟ้า แบบ สามแฉก พร้อมอุปกรณ์มาตรฐาน</t>
  </si>
  <si>
    <t xml:space="preserve">   - AIR TERMINAL 5/8" x 1.0 M. (พร้อมฐาน)</t>
  </si>
  <si>
    <t xml:space="preserve">   - GROUND TEST BOX</t>
  </si>
  <si>
    <t xml:space="preserve">   - COPPER CLAD GROUND ROD 5/8" X 10 ฟุต</t>
  </si>
  <si>
    <t>- ขนาด 50 ตร.มม. สายทองแดงเปลือย</t>
  </si>
  <si>
    <t>- ขนาด 70 ตร.มม. สายอลูมิเนียมเปลือย</t>
  </si>
  <si>
    <t>- ขนาด 3/4" ท่อ PVC.</t>
  </si>
  <si>
    <t xml:space="preserve"> - CEILING MOUNT TYPE </t>
  </si>
  <si>
    <t xml:space="preserve">   - ขนาด   67 CFM</t>
  </si>
  <si>
    <t xml:space="preserve"> - WALL MOUNT TYPE  &amp; RAIN HOOD</t>
  </si>
  <si>
    <t xml:space="preserve">   - ท่อพัดลม</t>
  </si>
  <si>
    <t xml:space="preserve">   - หน้ากากลม EAG.8"x8"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</si>
  <si>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</si>
  <si>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</si>
  <si>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</si>
  <si>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</si>
  <si>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อาคารสำนักงานวิทยาเขตร้อยเอ็ด ณ ทุ่งกุลาร้องไห้ (ศูนย์เบญจคาม)</t>
  </si>
  <si>
    <t>DOWNLIGHT LED (BULB) 1x9W ฝังฝ้าเพดาน</t>
  </si>
  <si>
    <t>โคมไฟหน้ากระจกห้องน้ำ</t>
  </si>
  <si>
    <t>ป้ายทางออกฉุกเฉิน สำรองได้ไม่น้อยกว่า 2 ชม.</t>
  </si>
  <si>
    <t>ไฟแสงสว่างฉุกเฉิน 2 ดวง จ่ายไฟอัตโนมัติ สำรองได้ไม่น้อยกว่า 2 ชม.</t>
  </si>
  <si>
    <t xml:space="preserve">สวิทซ์ทางเดียว 16A 250V </t>
  </si>
  <si>
    <t xml:space="preserve">สวิทซ์สองทาง 16A 250V </t>
  </si>
  <si>
    <t>เต้ารับไฟฟ้า แบบคู่ ขากลม-แบน 16A 250V มีกราวด์ ม่านนิรภัย</t>
  </si>
  <si>
    <t>เต้ารับไฟฟ้า แบบเดี่ยว ขากลม-แบน 16A 250V มีกราวด์ ม่านนิรภัย</t>
  </si>
  <si>
    <t xml:space="preserve">สายไฟฟ้า THW (IEC 01) ขนาด 50 ตร.มม. </t>
  </si>
  <si>
    <t xml:space="preserve">สายไฟฟ้า THW (IEC 01) ขนาด 25 ตร.มม. </t>
  </si>
  <si>
    <t xml:space="preserve">สายไฟฟ้า THW (IEC 01) ขนาด 10 ตร.มม. </t>
  </si>
  <si>
    <t xml:space="preserve">สายไฟฟ้า THW (IEC 01) ขนาด 6 ตร.มม. </t>
  </si>
  <si>
    <t xml:space="preserve">สายไฟฟ้า THW (IEC 01) ขนาด 4 ตร.มม. </t>
  </si>
  <si>
    <t xml:space="preserve">สายไฟฟ้า THW (IEC 01) ขนาด 2.5 ตร.มม. </t>
  </si>
  <si>
    <t>ท่อชนิด IMC ขนาด 2 นิ้ว</t>
  </si>
  <si>
    <t>ท่อชนิด IMC ขนาด 1 1/4นิ้ว</t>
  </si>
  <si>
    <t xml:space="preserve">ท่อชนิด EMT ขนาด 3/4 นิ้ว </t>
  </si>
  <si>
    <t>ท่อชนิด EMTขนาด 1/2 นิ้ว</t>
  </si>
  <si>
    <t xml:space="preserve">สายไฟฟ้า THW (IEC 01) ขนาด 1.5 ตร.มม. </t>
  </si>
  <si>
    <t xml:space="preserve">สายไฟฟ้า THW (IEC 01) ขนาด 1 ตร.มม. </t>
  </si>
  <si>
    <t>ครุภัณฑ์อุปกรณ์และระบบคอมพิวเตอร์</t>
  </si>
  <si>
    <t xml:space="preserve">อุปกรณ์กระจายสัญญาณไร้สาย (Access Point) แบบที่ 1  </t>
  </si>
  <si>
    <t>รวมเงิน 12.ครุภัณฑ์เครื่องปรับอากาศ</t>
  </si>
  <si>
    <t>สาย UTP ชนิด CAT6</t>
  </si>
  <si>
    <t>***</t>
  </si>
  <si>
    <t>CAT6 RJ45 Modular PLUG (ตัวผู้) พร้อมปลอก และตัวเลข</t>
  </si>
  <si>
    <t>CAT6 RJ45 Modular JACK (ตัวเมีย) พร้อมตัวเลข</t>
  </si>
  <si>
    <t>ตู้แร็ค 19" 6U พร้อมรางไฟฟ้าและพัดลมระบายอากาศ</t>
  </si>
  <si>
    <t>ตู้</t>
  </si>
  <si>
    <t>เต้ารับโทรศัพท์ พร้อมฝาครอบ</t>
  </si>
  <si>
    <t xml:space="preserve">ที่มา </t>
  </si>
  <si>
    <t>สายโทรศัพท์ 4C - 0.65 mm TIEV</t>
  </si>
  <si>
    <t>งานระบบโทรศัพท์สายระบบสื่อสารอินเตอร์เน็ต</t>
  </si>
  <si>
    <t>อุปกรณ์กระจายสัญญาณ (L2 Switch) ขนาด 24 ช่อง แบบที่ 2</t>
  </si>
  <si>
    <t>TELEPHONE TERMINAL BOX</t>
  </si>
  <si>
    <t xml:space="preserve">อุปกรณ์ประกอบการติดตั้งอื่นๆ คิดค่าวัสดุ 20% </t>
  </si>
  <si>
    <t xml:space="preserve">อุปกรณ์ประกอบการติดตั้งอื่นๆ คิดค่าวัสดุ 10% </t>
  </si>
  <si>
    <t>- FIRE ALARM CONTROL PANEL (FCP) 2 ZONE WITH BATTERY</t>
  </si>
  <si>
    <t xml:space="preserve">อุปกรณ์ประกอบการติดตั้งอื่นๆ คิดค่าวัสดุ 15% </t>
  </si>
  <si>
    <t xml:space="preserve">อุปกรณ์ประกอบการติดตั้งอื่นๆ คิดค่าวัสดุ 5% </t>
  </si>
  <si>
    <t xml:space="preserve"> 6-24 PORT F.O.RACK MOUNT DRAWER</t>
  </si>
  <si>
    <t>CAT6 PATCH PANEL 24 PORT (1U) w/MANAGEMENTม ADVANCE</t>
  </si>
  <si>
    <t xml:space="preserve"> LINK CABLE MANAGEMENT PANEL 1U WITH COVER</t>
  </si>
  <si>
    <t>พัดลมแบบติดกระจก หรือ ติดผนัง ขนาด 8 นิ้ว</t>
  </si>
  <si>
    <t>Fire Extinguisher 15lb</t>
  </si>
  <si>
    <t xml:space="preserve">งานระบบระบายอากาศ </t>
  </si>
  <si>
    <t xml:space="preserve"> - AP2 36 ช่อง MCB 100AT/160AF3P พร้อม BREAKER RATING 20 A.-25 A.จำนวน 33 ตัว</t>
  </si>
  <si>
    <t xml:space="preserve"> - AP1 24 ช่อง MCB 80AT/160AF3P พร้อม BREAKER RATING 20 A.จำนวน 24 ตัว</t>
  </si>
  <si>
    <t xml:space="preserve"> - LP2 24 ช่อง MCB 80AT/160AF3P พร้อม BREAKER RATING 16 A.-25 A. จำนวน 24 ตัว</t>
  </si>
  <si>
    <t xml:space="preserve"> - Pressure diaphragm Tank Capacity 200 Litres.</t>
  </si>
  <si>
    <t xml:space="preserve">สายไฟฟ้า THW (IEC 01) ขนาด 70 ตร.มม. </t>
  </si>
  <si>
    <t>สายไฟฟ้า IEC 60502-1 CV 0.6/1KV  ขนาด 1Cx95 ตร.มม.</t>
  </si>
  <si>
    <t>ท่อชนิด IMC ขนาด 2-1/2 นิ้ว</t>
  </si>
  <si>
    <t>ท่อชนิด IMC ขนาด 1 นิ้ว</t>
  </si>
  <si>
    <t>เสาไฟฟ้า คอร. ขนาด 9 เมตร</t>
  </si>
  <si>
    <t>**</t>
  </si>
  <si>
    <t>*</t>
  </si>
  <si>
    <t>***.</t>
  </si>
  <si>
    <t xml:space="preserve">เครื่องปรับอากาศ (ระบบ Inverter) ขนาดไม่น้อยกว่า 18,000 BTU  </t>
  </si>
  <si>
    <t>รวมติดตั้ง</t>
  </si>
  <si>
    <t xml:space="preserve">บ่อพัก คสล.สำเร็จรูป พร้อมฝา คสล. ขนาดภายใน 0.60x0.60ม. </t>
  </si>
  <si>
    <t xml:space="preserve">วงบ่อซีเมนต์ ขนาด ∅1.00 ม.  </t>
  </si>
  <si>
    <t>F1 ปูกระเบื้องแกรนิตโต้ ขนาด  0.60x0.60 ม. ผิวด้าน</t>
  </si>
  <si>
    <t>F2 ปูกระเบื้องแกรนิตโต้ ขนาด  0.60x0.60 ม.</t>
  </si>
  <si>
    <t>F3 ปูกระเบื้องเซรามิก ขนาด 12"x12" ชนิดกันลื่น</t>
  </si>
  <si>
    <t>F4 พื้นคสล. ทากันซึม POLYURETHANE</t>
  </si>
  <si>
    <t>F5 ผิวทรายล้าง (เบอร์หิน ,สี ระบุภายหลัง)</t>
  </si>
  <si>
    <t>F6 ทางลาด คสล. ผิวทรายล้าง เซาะร่อง</t>
  </si>
  <si>
    <t xml:space="preserve"> - งานก่ออิฐมวลเบา หนา 7.5 ซม.</t>
  </si>
  <si>
    <t xml:space="preserve"> - กรุกระเบื้อง ขนาด 12"x12" (ผนังห้องน้ำ)</t>
  </si>
  <si>
    <t xml:space="preserve"> - C3 ฝ้าทีบาร์ โครงคร่าวตามมาตรฐานผู้ผลิต (กันชื้น)</t>
  </si>
  <si>
    <t xml:space="preserve"> - ราวบันไดสแตนเลส</t>
  </si>
  <si>
    <t xml:space="preserve"> - ราวกันตก</t>
  </si>
  <si>
    <t>D1 ประตูบานเปิดเดี่ยวพร้อมช่องแสงติดตาย (ห้องน้ำ)</t>
  </si>
  <si>
    <t>D2 ประตูบานเปิดคู่พร้อมช่องแสงติดตาย (ห้องจัดแสดงนิทรรศการ,ห้อง LAB)</t>
  </si>
  <si>
    <t>D3 ประตูบานเปิดเดี่ยว (ห้องเก็บของ,ห้องแม่บ้าน)</t>
  </si>
  <si>
    <t>D4 ประตูบานเปิดคู่พร้อมช่องแสงติดตาย (ห้องประชุม)</t>
  </si>
  <si>
    <t>D5 ประตูบานเปิดเดี่ยวพร้อมช่องแสงติดตาย (ห้องรับรองแขก, ห้องประชุมย่อย)</t>
  </si>
  <si>
    <t>D6 ประตูบานเปิดเดี่ยวพร้อมช่องแสงติดตาย (ห้องผู้ช่วยอธิการบดีประจำวิทยาเขต)</t>
  </si>
  <si>
    <t>D7 ประตูบานเลื่อนเดี่ยว (ห้องน้ำคนพิการ)</t>
  </si>
  <si>
    <t>W2 หน้าต่างบานหมุน 90องศา</t>
  </si>
  <si>
    <t>W6 แผงเกล็ดอลูมิเนียม</t>
  </si>
  <si>
    <t>W7 หน้าต่างบานเปิด</t>
  </si>
  <si>
    <t>W8 หน้าต่างบานกระทุ้ง</t>
  </si>
  <si>
    <t>W9 หน้าต่างบานกระทุ้ง</t>
  </si>
  <si>
    <t>W10 หน้าต่างบานเลื่อนสลับพร้อมช่องแสงติดตาย</t>
  </si>
  <si>
    <t>W11 หน้าต่างบานกระทุ้งพร้อมช่องแสงติดตาย</t>
  </si>
  <si>
    <t>W12 หน้าต่างบานหมุน 90องศา</t>
  </si>
  <si>
    <t>W13 หน้าต่างบานเลื่อนสลับพร้อมช่องแสงติดตาย</t>
  </si>
  <si>
    <t>W15 หน้าต่างบานติดตาย</t>
  </si>
  <si>
    <t xml:space="preserve"> - กระจกเงา หนา 6 มม. ติดผนังแบบปรับก้มเงยได้ (ห้องผู้พิการ)</t>
  </si>
  <si>
    <t xml:space="preserve"> - แผงที่กั้นปัสวะชาย</t>
  </si>
  <si>
    <t xml:space="preserve"> - ก๊อกน้ำล้างพื้น</t>
  </si>
  <si>
    <t xml:space="preserve"> - ผนังห้องน้ำสำเร็จรูป ติดตั้งพร้อมอุปกรณ์ครบชุด</t>
  </si>
  <si>
    <t xml:space="preserve"> -  TOP เคาเตอร์ หินแกรนิต (สี,รุ่น ระบุภายหลัง)</t>
  </si>
  <si>
    <t xml:space="preserve"> - ผนังกระจกกั้นห้องน้ำ</t>
  </si>
  <si>
    <r>
      <t xml:space="preserve">หลังคา </t>
    </r>
    <r>
      <rPr>
        <sz val="14"/>
        <rFont val="TH Sarabun New"/>
        <family val="2"/>
      </rPr>
      <t>METAL SHEET</t>
    </r>
  </si>
  <si>
    <r>
      <t xml:space="preserve"> - แผ่นหลังคา </t>
    </r>
    <r>
      <rPr>
        <sz val="14"/>
        <rFont val="TH Sarabun New"/>
        <family val="2"/>
      </rPr>
      <t>METAL SHEET</t>
    </r>
    <r>
      <rPr>
        <sz val="16"/>
        <rFont val="TH Sarabun New"/>
        <family val="2"/>
      </rPr>
      <t xml:space="preserve"> หนา 0.40 มม. บุโฟมPU 25 มม.</t>
    </r>
  </si>
  <si>
    <r>
      <t xml:space="preserve"> - ครอบหลังคา </t>
    </r>
    <r>
      <rPr>
        <sz val="14"/>
        <rFont val="TH Sarabun New"/>
        <family val="2"/>
      </rPr>
      <t>METAL SHEET</t>
    </r>
  </si>
  <si>
    <t xml:space="preserve"> งานเหล็กเสริมรวมลวดผูกเหล็ก</t>
  </si>
  <si>
    <t xml:space="preserve"> - โครงเคร่าเหล็ก กรุแผ่นอลูมิเนียมคอมโพสิท</t>
  </si>
  <si>
    <t xml:space="preserve"> - รางน้ำสแตนเลส หนา 0.8 มม. กว้าง 12 นิ้ว(พร้อมโครงเคร่า)</t>
  </si>
  <si>
    <t xml:space="preserve"> - POWER DIGITAL METER</t>
  </si>
  <si>
    <t>สายไฟฟ้า THW-A  ขนาด 1Cx50 ตร.มม. (เชื่อมต่อมิเตอร์ กฟภ.)</t>
  </si>
  <si>
    <t xml:space="preserve">     ...........................................                                                              </t>
  </si>
  <si>
    <t xml:space="preserve">       ประธานกรรมการ</t>
  </si>
  <si>
    <t xml:space="preserve">            กรรมการ</t>
  </si>
  <si>
    <t xml:space="preserve">    กรรมการและเลขานุการ</t>
  </si>
  <si>
    <t xml:space="preserve">           (นายฉกาจ เชื่อดี)                              </t>
  </si>
  <si>
    <t xml:space="preserve">      (นายสายันต์ ขอนพุดซา)                                     </t>
  </si>
  <si>
    <t xml:space="preserve">      (นายรัชชานนท์  ศักดิณากร)                              </t>
  </si>
  <si>
    <t xml:space="preserve">        ประธานกรรมการ</t>
  </si>
  <si>
    <t xml:space="preserve">      (นายเทอดพงษ์ ไชยณรงค์)                                     </t>
  </si>
  <si>
    <t xml:space="preserve">        (นายฉกาจ เชื่อดี)                              </t>
  </si>
  <si>
    <t xml:space="preserve">               กรรมการ</t>
  </si>
  <si>
    <t xml:space="preserve">      กรรมการและเลขานุการ</t>
  </si>
  <si>
    <t xml:space="preserve">         (นายฉกาจ เชื่อดี)                              </t>
  </si>
  <si>
    <t xml:space="preserve">    (นายรัชชานนท์  ศักดิณากร)                              </t>
  </si>
  <si>
    <t xml:space="preserve"> - เหล็ก HB 100x100x6x8 mm. (น้ำหนัก 103.20kg./ท่อน)</t>
  </si>
  <si>
    <t xml:space="preserve"> - เหล็ก HB 200x100x5.5x8 mm. (น้ำหนัก 127.80kg./ท่อน)</t>
  </si>
  <si>
    <t xml:space="preserve"> - เหล็กกล่อง 100x50x3.2 mm. (น้ำหนัก 38.50kg./ท่อน)</t>
  </si>
  <si>
    <t xml:space="preserve"> - เหล็กกล่อง 100x100x3.2 mm. (น้ำหนัก 53.00kg./ท่อน)</t>
  </si>
  <si>
    <t xml:space="preserve"> - เหล็กกล่อง 125x50x3.2 mm. (น้ำหนัก 49.56kg./ท่อน)</t>
  </si>
  <si>
    <t xml:space="preserve"> - เหล็กกล่อง 200x100x4.5 mm. (น้ำหนัก 120.76kg./ท่อน)</t>
  </si>
  <si>
    <t>ระบบ</t>
  </si>
  <si>
    <t>Solar Rooftop</t>
  </si>
  <si>
    <t>ครุภัณฑ์ลอยตัว</t>
  </si>
  <si>
    <t>Ongrid Solar Rooftop ไม่น้อยกว่า 40 KW. (รวมติดตั้ง)</t>
  </si>
  <si>
    <t>ม่านปรับแสง</t>
  </si>
  <si>
    <t>ม่านปรับแสง ติดตั้งที่หน้าต่าง W1</t>
  </si>
  <si>
    <t>ม่านปรับแสง ติดตั้งที่หน้าต่าง W3</t>
  </si>
  <si>
    <t>ม่านปรับแสง ติดตั้งที่หน้าต่าง W7</t>
  </si>
  <si>
    <t>ม่านปรับแสง ติดตั้งที่หน้าต่าง W10</t>
  </si>
  <si>
    <t>ม่านปรับแสง ติดตั้งที่หน้าต่าง W13</t>
  </si>
  <si>
    <t>ม่านปรับแสง ติดตั้งที่หน้าต่าง W14</t>
  </si>
  <si>
    <t>ม่านปรับแสง ติดตั้งที่หน้าต่าง W15</t>
  </si>
  <si>
    <t>ครุภัณฑ์เครื่องปรับอากาศแบบติดผนัง (ระบบ Inverter) ราคารวมติดตั้ง</t>
  </si>
  <si>
    <t xml:space="preserve"> - ตู้ DB เมน 180AT/400AF พร้อมลูกย่อยและอุปกรณ์ครบชุด</t>
  </si>
  <si>
    <t>ตู้ DB รวมระบบ GROUNDอุปกรณ์ครบชุด</t>
  </si>
  <si>
    <t xml:space="preserve"> - งานขุดดินถมกลับ</t>
  </si>
  <si>
    <t xml:space="preserve"> - คอนกรีตหยาบ 1:3:5</t>
  </si>
  <si>
    <t xml:space="preserve">         ขนาด 6 mm.</t>
  </si>
  <si>
    <t>โต๊ะประชุม ขนาด 3.80 x 1.20 x 0.75 ม. แผ่นหน้าโต๊ะ : ไม้ PB ปิดผิวเมลามีน หนา 43 มม. ปิดขอบ PVC หนา 1 มม. สี : Kadeem</t>
  </si>
  <si>
    <t>โต๊ะทำงาน ขนาด 1.80 x 1.60 x 0.75 ม. แผ่นหน้าโต๊ะ : ไม้ PB ปิดผิวเมลามีน หนา 43 มม. ปิดขอบ PVC หนา 1 มม. สี : Kadeem</t>
  </si>
  <si>
    <t>โต๊ะทำงาน ขนาด 2.40 x 1.98 x 0.75 ม. แผ่นหน้าโต๊ะ : ไม้ PB ปิดผิวเมลามีน หนา 43 มม. ปิดขอบ PVC หนา 1 มม. สี : Kadeem</t>
  </si>
  <si>
    <t>ตู้เก็บเอกสาร ขนาด 1.20 x 0.40 x 1.05 ม.หน้าบาน : ไม้ปิดผิวเมลามีน</t>
  </si>
  <si>
    <t>ตู้เก็บเอกสาร ขนาด 1.20 x 0.40 x 2.00 ม.หน้าบาน : กระจกและไม้ปิดผิว</t>
  </si>
  <si>
    <t>โต๊ะกลาง ขนาด 1.40 x 1.10 x 0.45 ม.</t>
  </si>
  <si>
    <t>โซฟา 2 ที่นั่ง ขนาด 2.05 x 0.90 x 0.88 ม.</t>
  </si>
  <si>
    <t>โซฟา 1 ที่นั่ง ขนาด 0.95 x 0.90 x 0.88 ม.</t>
  </si>
  <si>
    <t>เก้าอี้สำนักงาน สำหรับ 1 ที่นั่ง ขนาด 0.64 x 0.63 x 1.04-1.20 ม.</t>
  </si>
  <si>
    <t>เก้าอี้สำนักงาน สำหรับ 1 ที่นั่ง ขนาด 0.67 x 0.60 x 0.99-1.08 ม.</t>
  </si>
  <si>
    <t>เก้าอี้ชุดโต๊ะประชุม สำหรับ 1 ที่นั่ง ขนาด 0.57 x 0.55 x 0.93-1.00 ม.</t>
  </si>
  <si>
    <t>แบบ  ปร. 4     ที่แนบ      มีจำนวน  17  หน้า</t>
  </si>
  <si>
    <t xml:space="preserve"> - คอนกรีตโครงสร้าง  fc' 280 KSC. (Cylinder) </t>
  </si>
  <si>
    <t xml:space="preserve"> - คอนกรีตโครงสร้าง fc' 240 KSC. (Cylinder) </t>
  </si>
  <si>
    <t xml:space="preserve"> - คอนกรีตโครงสร้าง fc' 280 KSC. (Cylinder) </t>
  </si>
  <si>
    <t>คำนวณราคากลาง : โดยคณะกรรมการกำหนดราคากลาง  เมื่อวันที่ 15  เดือน มีนาคม พ.ศ. 2567</t>
  </si>
  <si>
    <t>ชื่อโครงการ : จ้างก่อสร้างอาคารสำนักงานวิทยาเขตร้อยเอ็ด ณ ทุ่งกุลาร้องไห้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</si>
</sst>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??_);_(@_)"/>
    <numFmt numFmtId="189" formatCode="_(* #,##0_);_(* \(#,##0\);_(* &quot;-&quot;??_);_(@_)"/>
    <numFmt numFmtId="190" formatCode="_(* #,##0.00000_);_(* \(#,##0.00000\);_(* &quot;-&quot;??_);_(@_)"/>
    <numFmt numFmtId="191" formatCode="\t0.00E+00"/>
    <numFmt numFmtId="192" formatCode="&quot;฿&quot;\t#,##0_);\(&quot;฿&quot;\t#,##0\)"/>
    <numFmt numFmtId="193" formatCode="m/d/yy\ hh:mm"/>
    <numFmt numFmtId="194" formatCode="_(&quot;$&quot;* #,##0.000_);_(&quot;$&quot;* \(#,##0.000\);_(&quot;$&quot;* &quot;-&quot;??_);_(@_)"/>
    <numFmt numFmtId="195" formatCode="_(&quot;$&quot;* #,##0.0000_);_(&quot;$&quot;* \(#,##0.0000\);_(&quot;$&quot;* &quot;-&quot;??_);_(@_)"/>
    <numFmt numFmtId="196" formatCode="#,##0.0_);\(#,##0.0\)"/>
    <numFmt numFmtId="197" formatCode="0.0&quot;  &quot;"/>
    <numFmt numFmtId="198" formatCode="_-* #,##0.00000_-;\-* #,##0.00000_-;_-* &quot;-&quot;?????_-;_-@_-"/>
    <numFmt numFmtId="199" formatCode="#,##0.000000&quot; &quot;"/>
    <numFmt numFmtId="200" formatCode="#,###&quot;   &quot;"/>
    <numFmt numFmtId="201" formatCode="General_)"/>
    <numFmt numFmtId="202" formatCode="dd\-mm\-yy"/>
    <numFmt numFmtId="203" formatCode="_(* #,##0.0000_);_(* \(#,##0.0000\);_(* &quot;-&quot;??_);_(@_)"/>
    <numFmt numFmtId="204" formatCode="_-* #,##0_-;\-* #,##0_-;_-* &quot;-&quot;??_-;_-@_-"/>
    <numFmt numFmtId="205" formatCode="0.0"/>
    <numFmt numFmtId="206" formatCode="_-* #,##0_-;\-* #,##0_-;_-* \-_-;_-@_-"/>
  </numFmts>
  <fonts count="69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2"/>
      <name val="CordiaUPC"/>
      <family val="2"/>
      <charset val="22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  <charset val="222"/>
    </font>
    <font>
      <sz val="14"/>
      <name val="TH Sarabun New"/>
      <family val="2"/>
      <charset val="222"/>
    </font>
    <font>
      <b/>
      <sz val="16"/>
      <name val="TH SarabunPSK"/>
      <family val="2"/>
      <charset val="222"/>
    </font>
    <font>
      <b/>
      <sz val="16"/>
      <name val="TH Sarabun New"/>
      <family val="2"/>
      <charset val="22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16"/>
      <name val="TH Sarabun New"/>
      <family val="2"/>
      <charset val="222"/>
    </font>
    <font>
      <u/>
      <sz val="16"/>
      <name val="TH Sarabun New"/>
      <family val="2"/>
      <charset val="222"/>
    </font>
    <font>
      <b/>
      <u/>
      <sz val="16"/>
      <name val="TH Sarabun New"/>
      <family val="2"/>
      <charset val="222"/>
    </font>
    <font>
      <sz val="12"/>
      <name val="TH Sarabun New"/>
      <family val="2"/>
      <charset val="222"/>
    </font>
    <font>
      <sz val="16"/>
      <name val="TH SarabunPSK"/>
      <family val="2"/>
      <charset val="22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2">
    <xf numFmtId="0" fontId="0" fillId="0" borderId="0"/>
    <xf numFmtId="0" fontId="7" fillId="0" borderId="0">
      <alignment vertical="center"/>
    </xf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2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200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6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194" fontId="6" fillId="0" borderId="0" applyFont="0" applyFill="0" applyBorder="0" applyAlignment="0" applyProtection="0"/>
    <xf numFmtId="0" fontId="17" fillId="3" borderId="1">
      <alignment horizontal="centerContinuous" vertical="top"/>
    </xf>
    <xf numFmtId="196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198" fontId="5" fillId="0" borderId="0"/>
    <xf numFmtId="0" fontId="14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4" fontId="6" fillId="0" borderId="0" applyFill="0" applyBorder="0" applyAlignment="0"/>
    <xf numFmtId="196" fontId="12" fillId="0" borderId="0" applyFill="0" applyBorder="0" applyAlignment="0"/>
    <xf numFmtId="194" fontId="6" fillId="0" borderId="0" applyFill="0" applyBorder="0" applyAlignment="0"/>
    <xf numFmtId="197" fontId="9" fillId="0" borderId="0" applyFill="0" applyBorder="0" applyAlignment="0"/>
    <xf numFmtId="196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5" fillId="0" borderId="0" applyFont="0" applyFill="0" applyBorder="0" applyAlignment="0" applyProtection="0"/>
    <xf numFmtId="37" fontId="32" fillId="0" borderId="0"/>
    <xf numFmtId="43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0" fontId="33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25" fillId="0" borderId="0"/>
    <xf numFmtId="188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0" fontId="5" fillId="0" borderId="0"/>
    <xf numFmtId="188" fontId="30" fillId="0" borderId="0" applyFont="0" applyFill="0" applyBorder="0" applyAlignment="0" applyProtection="0"/>
    <xf numFmtId="0" fontId="5" fillId="0" borderId="0"/>
    <xf numFmtId="188" fontId="49" fillId="0" borderId="0" applyFont="0" applyFill="0" applyBorder="0" applyAlignment="0" applyProtection="0"/>
    <xf numFmtId="206" fontId="5" fillId="0" borderId="0" applyFont="0" applyFill="0" applyBorder="0" applyAlignment="0" applyProtection="0"/>
    <xf numFmtId="0" fontId="25" fillId="0" borderId="0"/>
    <xf numFmtId="188" fontId="25" fillId="0" borderId="0" applyFont="0" applyFill="0" applyBorder="0" applyAlignment="0" applyProtection="0"/>
    <xf numFmtId="188" fontId="49" fillId="0" borderId="0" applyFont="0" applyFill="0" applyBorder="0" applyAlignment="0" applyProtection="0"/>
    <xf numFmtId="187" fontId="51" fillId="0" borderId="0"/>
    <xf numFmtId="188" fontId="52" fillId="0" borderId="0" applyFont="0" applyFill="0" applyBorder="0" applyAlignment="0" applyProtection="0"/>
    <xf numFmtId="0" fontId="5" fillId="0" borderId="0"/>
    <xf numFmtId="0" fontId="49" fillId="0" borderId="0"/>
  </cellStyleXfs>
  <cellXfs count="608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43" fontId="42" fillId="0" borderId="5" xfId="0" applyNumberFormat="1" applyFont="1" applyBorder="1"/>
    <xf numFmtId="43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43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43" fontId="42" fillId="0" borderId="11" xfId="0" applyNumberFormat="1" applyFont="1" applyBorder="1" applyAlignment="1">
      <alignment horizontal="left" vertical="center"/>
    </xf>
    <xf numFmtId="43" fontId="25" fillId="0" borderId="8" xfId="0" applyNumberFormat="1" applyFont="1" applyBorder="1" applyAlignment="1">
      <alignment horizontal="left"/>
    </xf>
    <xf numFmtId="43" fontId="25" fillId="0" borderId="11" xfId="0" applyNumberFormat="1" applyFont="1" applyBorder="1"/>
    <xf numFmtId="43" fontId="25" fillId="0" borderId="11" xfId="0" applyNumberFormat="1" applyFont="1" applyBorder="1" applyAlignment="1">
      <alignment horizontal="left"/>
    </xf>
    <xf numFmtId="43" fontId="25" fillId="0" borderId="8" xfId="0" applyNumberFormat="1" applyFont="1" applyBorder="1"/>
    <xf numFmtId="43" fontId="40" fillId="0" borderId="11" xfId="0" applyNumberFormat="1" applyFont="1" applyBorder="1" applyAlignment="1">
      <alignment horizontal="left"/>
    </xf>
    <xf numFmtId="43" fontId="55" fillId="0" borderId="8" xfId="70" applyFont="1" applyFill="1" applyBorder="1" applyAlignment="1">
      <alignment horizontal="center" vertical="center"/>
    </xf>
    <xf numFmtId="43" fontId="55" fillId="0" borderId="11" xfId="70" applyFont="1" applyFill="1" applyBorder="1" applyAlignment="1">
      <alignment horizontal="center" vertical="center"/>
    </xf>
    <xf numFmtId="43" fontId="56" fillId="0" borderId="0" xfId="70" applyFont="1" applyFill="1" applyAlignment="1">
      <alignment horizontal="center" vertical="center"/>
    </xf>
    <xf numFmtId="43" fontId="56" fillId="0" borderId="4" xfId="70" applyFont="1" applyFill="1" applyBorder="1" applyAlignment="1">
      <alignment horizontal="center" vertical="center"/>
    </xf>
    <xf numFmtId="43" fontId="56" fillId="0" borderId="5" xfId="70" applyFont="1" applyFill="1" applyBorder="1" applyAlignment="1">
      <alignment horizontal="center" vertical="center"/>
    </xf>
    <xf numFmtId="43" fontId="56" fillId="0" borderId="6" xfId="70" applyFont="1" applyBorder="1" applyAlignment="1">
      <alignment horizontal="center" vertical="center"/>
    </xf>
    <xf numFmtId="43" fontId="56" fillId="0" borderId="46" xfId="70" applyFont="1" applyFill="1" applyBorder="1" applyAlignment="1">
      <alignment horizontal="center" vertical="center"/>
    </xf>
    <xf numFmtId="43" fontId="55" fillId="0" borderId="21" xfId="70" applyFont="1" applyBorder="1" applyAlignment="1">
      <alignment horizontal="center" vertical="center"/>
    </xf>
    <xf numFmtId="43" fontId="56" fillId="0" borderId="5" xfId="70" applyFont="1" applyBorder="1" applyAlignment="1">
      <alignment horizontal="center" vertical="center"/>
    </xf>
    <xf numFmtId="43" fontId="56" fillId="0" borderId="12" xfId="70" applyFont="1" applyBorder="1" applyAlignment="1">
      <alignment horizontal="center" vertical="center"/>
    </xf>
    <xf numFmtId="43" fontId="55" fillId="0" borderId="10" xfId="70" applyFont="1" applyBorder="1" applyAlignment="1">
      <alignment horizontal="center" vertical="center"/>
    </xf>
    <xf numFmtId="43" fontId="55" fillId="0" borderId="30" xfId="70" applyFont="1" applyBorder="1" applyAlignment="1">
      <alignment horizontal="center" vertical="center"/>
    </xf>
    <xf numFmtId="43" fontId="55" fillId="0" borderId="5" xfId="70" applyFont="1" applyBorder="1" applyAlignment="1">
      <alignment horizontal="center" vertical="center"/>
    </xf>
    <xf numFmtId="43" fontId="55" fillId="0" borderId="6" xfId="70" applyFont="1" applyBorder="1" applyAlignment="1">
      <alignment horizontal="center" vertical="center"/>
    </xf>
    <xf numFmtId="43" fontId="56" fillId="0" borderId="6" xfId="70" applyFont="1" applyFill="1" applyBorder="1" applyAlignment="1">
      <alignment horizontal="center" vertical="center"/>
    </xf>
    <xf numFmtId="43" fontId="56" fillId="0" borderId="46" xfId="70" applyFont="1" applyBorder="1" applyAlignment="1">
      <alignment horizontal="center" vertical="center"/>
    </xf>
    <xf numFmtId="43" fontId="55" fillId="0" borderId="21" xfId="70" applyFont="1" applyFill="1" applyBorder="1" applyAlignment="1">
      <alignment horizontal="center" vertical="center"/>
    </xf>
    <xf numFmtId="43" fontId="56" fillId="0" borderId="30" xfId="70" applyFont="1" applyFill="1" applyBorder="1" applyAlignment="1">
      <alignment horizontal="center" vertical="center"/>
    </xf>
    <xf numFmtId="43" fontId="55" fillId="0" borderId="5" xfId="70" applyFont="1" applyFill="1" applyBorder="1" applyAlignment="1">
      <alignment horizontal="center" vertical="center"/>
    </xf>
    <xf numFmtId="43" fontId="55" fillId="0" borderId="6" xfId="70" applyFont="1" applyFill="1" applyBorder="1" applyAlignment="1">
      <alignment horizontal="center" vertical="center"/>
    </xf>
    <xf numFmtId="43" fontId="56" fillId="20" borderId="46" xfId="70" applyFont="1" applyFill="1" applyBorder="1" applyAlignment="1">
      <alignment horizontal="center" vertical="center"/>
    </xf>
    <xf numFmtId="43" fontId="55" fillId="20" borderId="21" xfId="70" applyFont="1" applyFill="1" applyBorder="1" applyAlignment="1">
      <alignment horizontal="center" vertical="center"/>
    </xf>
    <xf numFmtId="43" fontId="55" fillId="20" borderId="5" xfId="70" applyFont="1" applyFill="1" applyBorder="1" applyAlignment="1">
      <alignment horizontal="center" vertical="center"/>
    </xf>
    <xf numFmtId="43" fontId="55" fillId="20" borderId="6" xfId="70" applyFont="1" applyFill="1" applyBorder="1" applyAlignment="1">
      <alignment horizontal="center" vertical="center"/>
    </xf>
    <xf numFmtId="43" fontId="57" fillId="0" borderId="6" xfId="70" applyFont="1" applyFill="1" applyBorder="1" applyAlignment="1">
      <alignment horizontal="center" vertical="center"/>
    </xf>
    <xf numFmtId="43" fontId="58" fillId="0" borderId="6" xfId="70" applyFont="1" applyBorder="1" applyAlignment="1">
      <alignment horizontal="center" vertical="center"/>
    </xf>
    <xf numFmtId="43" fontId="58" fillId="0" borderId="5" xfId="70" applyFont="1" applyFill="1" applyBorder="1" applyAlignment="1">
      <alignment horizontal="center" vertical="center"/>
    </xf>
    <xf numFmtId="43" fontId="58" fillId="0" borderId="6" xfId="70" applyFont="1" applyFill="1" applyBorder="1" applyAlignment="1">
      <alignment horizontal="center" vertical="center"/>
    </xf>
    <xf numFmtId="43" fontId="58" fillId="0" borderId="57" xfId="70" applyFont="1" applyBorder="1" applyAlignment="1">
      <alignment horizontal="center" vertical="center"/>
    </xf>
    <xf numFmtId="43" fontId="58" fillId="21" borderId="58" xfId="70" applyFont="1" applyFill="1" applyBorder="1" applyAlignment="1">
      <alignment horizontal="center" vertical="center"/>
    </xf>
    <xf numFmtId="43" fontId="56" fillId="0" borderId="0" xfId="70" applyFont="1" applyAlignment="1">
      <alignment horizontal="center" vertical="center"/>
    </xf>
    <xf numFmtId="189" fontId="47" fillId="0" borderId="0" xfId="60" applyNumberFormat="1" applyFont="1" applyAlignment="1">
      <alignment vertical="center"/>
    </xf>
    <xf numFmtId="189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89" fontId="46" fillId="0" borderId="0" xfId="60" applyNumberFormat="1" applyFont="1" applyAlignment="1">
      <alignment horizontal="center" vertical="center"/>
    </xf>
    <xf numFmtId="189" fontId="47" fillId="7" borderId="8" xfId="60" quotePrefix="1" applyNumberFormat="1" applyFont="1" applyFill="1" applyBorder="1" applyAlignment="1">
      <alignment horizontal="left" vertical="center"/>
    </xf>
    <xf numFmtId="189" fontId="47" fillId="7" borderId="8" xfId="60" applyNumberFormat="1" applyFont="1" applyFill="1" applyBorder="1" applyAlignment="1">
      <alignment vertical="center"/>
    </xf>
    <xf numFmtId="189" fontId="61" fillId="7" borderId="11" xfId="60" quotePrefix="1" applyNumberFormat="1" applyFont="1" applyFill="1" applyBorder="1" applyAlignment="1">
      <alignment horizontal="left" vertical="center"/>
    </xf>
    <xf numFmtId="189" fontId="47" fillId="7" borderId="11" xfId="60" applyNumberFormat="1" applyFont="1" applyFill="1" applyBorder="1" applyAlignment="1">
      <alignment vertical="center"/>
    </xf>
    <xf numFmtId="189" fontId="47" fillId="6" borderId="11" xfId="60" applyNumberFormat="1" applyFont="1" applyFill="1" applyBorder="1" applyAlignment="1">
      <alignment horizontal="left" vertical="center"/>
    </xf>
    <xf numFmtId="189" fontId="47" fillId="6" borderId="11" xfId="60" applyNumberFormat="1" applyFont="1" applyFill="1" applyBorder="1" applyAlignment="1">
      <alignment vertical="center"/>
    </xf>
    <xf numFmtId="189" fontId="47" fillId="7" borderId="0" xfId="60" applyNumberFormat="1" applyFont="1" applyFill="1" applyAlignment="1">
      <alignment vertical="center"/>
    </xf>
    <xf numFmtId="189" fontId="46" fillId="7" borderId="0" xfId="60" applyNumberFormat="1" applyFont="1" applyFill="1" applyAlignment="1">
      <alignment horizontal="right" vertical="center"/>
    </xf>
    <xf numFmtId="189" fontId="47" fillId="0" borderId="5" xfId="60" applyNumberFormat="1" applyFont="1" applyBorder="1" applyAlignment="1">
      <alignment vertical="center"/>
    </xf>
    <xf numFmtId="189" fontId="47" fillId="0" borderId="5" xfId="60" applyNumberFormat="1" applyFont="1" applyBorder="1" applyAlignment="1">
      <alignment horizontal="left" vertical="center"/>
    </xf>
    <xf numFmtId="43" fontId="47" fillId="6" borderId="5" xfId="70" applyFont="1" applyFill="1" applyBorder="1" applyAlignment="1">
      <alignment vertical="center"/>
    </xf>
    <xf numFmtId="189" fontId="47" fillId="6" borderId="15" xfId="60" applyNumberFormat="1" applyFont="1" applyFill="1" applyBorder="1"/>
    <xf numFmtId="189" fontId="47" fillId="0" borderId="30" xfId="60" applyNumberFormat="1" applyFont="1" applyBorder="1" applyAlignment="1">
      <alignment vertical="center"/>
    </xf>
    <xf numFmtId="189" fontId="47" fillId="0" borderId="30" xfId="60" applyNumberFormat="1" applyFont="1" applyBorder="1" applyAlignment="1">
      <alignment horizontal="left" vertical="center"/>
    </xf>
    <xf numFmtId="43" fontId="47" fillId="0" borderId="30" xfId="60" applyNumberFormat="1" applyFont="1" applyBorder="1" applyAlignment="1">
      <alignment vertical="center"/>
    </xf>
    <xf numFmtId="189" fontId="47" fillId="0" borderId="33" xfId="60" applyNumberFormat="1" applyFont="1" applyBorder="1" applyAlignment="1">
      <alignment vertical="center"/>
    </xf>
    <xf numFmtId="189" fontId="47" fillId="0" borderId="33" xfId="60" applyNumberFormat="1" applyFont="1" applyBorder="1" applyAlignment="1">
      <alignment horizontal="left" vertical="center"/>
    </xf>
    <xf numFmtId="43" fontId="47" fillId="0" borderId="33" xfId="60" applyNumberFormat="1" applyFont="1" applyBorder="1" applyAlignment="1">
      <alignment vertical="center"/>
    </xf>
    <xf numFmtId="189" fontId="46" fillId="6" borderId="9" xfId="60" applyNumberFormat="1" applyFont="1" applyFill="1" applyBorder="1" applyAlignment="1">
      <alignment horizontal="center" vertical="center"/>
    </xf>
    <xf numFmtId="43" fontId="46" fillId="9" borderId="44" xfId="60" applyNumberFormat="1" applyFont="1" applyFill="1" applyBorder="1" applyAlignment="1">
      <alignment vertical="center"/>
    </xf>
    <xf numFmtId="189" fontId="46" fillId="6" borderId="44" xfId="60" applyNumberFormat="1" applyFont="1" applyFill="1" applyBorder="1" applyAlignment="1">
      <alignment vertical="center"/>
    </xf>
    <xf numFmtId="189" fontId="46" fillId="6" borderId="30" xfId="60" applyNumberFormat="1" applyFont="1" applyFill="1" applyBorder="1" applyAlignment="1">
      <alignment horizontal="center" vertical="center"/>
    </xf>
    <xf numFmtId="43" fontId="46" fillId="18" borderId="21" xfId="70" applyFont="1" applyFill="1" applyBorder="1" applyAlignment="1">
      <alignment vertical="center"/>
    </xf>
    <xf numFmtId="0" fontId="47" fillId="0" borderId="34" xfId="0" applyFont="1" applyBorder="1" applyAlignment="1">
      <alignment vertical="center"/>
    </xf>
    <xf numFmtId="189" fontId="46" fillId="6" borderId="25" xfId="60" quotePrefix="1" applyNumberFormat="1" applyFont="1" applyFill="1" applyBorder="1" applyAlignment="1">
      <alignment vertical="center"/>
    </xf>
    <xf numFmtId="189" fontId="47" fillId="6" borderId="0" xfId="60" applyNumberFormat="1" applyFont="1" applyFill="1" applyBorder="1" applyAlignment="1">
      <alignment vertical="center"/>
    </xf>
    <xf numFmtId="189" fontId="47" fillId="0" borderId="0" xfId="60" quotePrefix="1" applyNumberFormat="1" applyFont="1" applyBorder="1" applyAlignment="1">
      <alignment horizontal="left" vertical="center"/>
    </xf>
    <xf numFmtId="189" fontId="47" fillId="0" borderId="0" xfId="60" applyNumberFormat="1" applyFont="1" applyBorder="1" applyAlignment="1">
      <alignment vertical="center"/>
    </xf>
    <xf numFmtId="189" fontId="46" fillId="6" borderId="0" xfId="60" applyNumberFormat="1" applyFont="1" applyFill="1" applyBorder="1" applyAlignment="1">
      <alignment vertical="center"/>
    </xf>
    <xf numFmtId="189" fontId="50" fillId="6" borderId="0" xfId="60" quotePrefix="1" applyNumberFormat="1" applyFont="1" applyFill="1" applyBorder="1" applyAlignment="1">
      <alignment horizontal="center" vertical="center"/>
    </xf>
    <xf numFmtId="189" fontId="50" fillId="6" borderId="0" xfId="60" quotePrefix="1" applyNumberFormat="1" applyFont="1" applyFill="1" applyBorder="1" applyAlignment="1">
      <alignment vertical="center"/>
    </xf>
    <xf numFmtId="189" fontId="47" fillId="6" borderId="0" xfId="60" applyNumberFormat="1" applyFont="1" applyFill="1" applyBorder="1" applyAlignment="1">
      <alignment horizontal="center" vertical="center"/>
    </xf>
    <xf numFmtId="189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9" fillId="0" borderId="0" xfId="0" applyFont="1" applyAlignment="1">
      <alignment horizontal="center"/>
    </xf>
    <xf numFmtId="0" fontId="47" fillId="0" borderId="0" xfId="0" applyFont="1"/>
    <xf numFmtId="189" fontId="47" fillId="6" borderId="8" xfId="60" applyNumberFormat="1" applyFont="1" applyFill="1" applyBorder="1"/>
    <xf numFmtId="189" fontId="47" fillId="6" borderId="11" xfId="60" applyNumberFormat="1" applyFont="1" applyFill="1" applyBorder="1" applyAlignment="1">
      <alignment horizontal="left"/>
    </xf>
    <xf numFmtId="189" fontId="47" fillId="6" borderId="11" xfId="60" applyNumberFormat="1" applyFont="1" applyFill="1" applyBorder="1"/>
    <xf numFmtId="189" fontId="47" fillId="6" borderId="0" xfId="60" applyNumberFormat="1" applyFont="1" applyFill="1" applyBorder="1" applyAlignment="1">
      <alignment horizontal="center"/>
    </xf>
    <xf numFmtId="189" fontId="47" fillId="6" borderId="13" xfId="60" applyNumberFormat="1" applyFont="1" applyFill="1" applyBorder="1" applyAlignment="1">
      <alignment horizontal="center"/>
    </xf>
    <xf numFmtId="189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89" fontId="47" fillId="6" borderId="5" xfId="60" applyNumberFormat="1" applyFont="1" applyFill="1" applyBorder="1" applyAlignment="1">
      <alignment horizontal="center"/>
    </xf>
    <xf numFmtId="188" fontId="47" fillId="6" borderId="5" xfId="60" applyNumberFormat="1" applyFont="1" applyFill="1" applyBorder="1"/>
    <xf numFmtId="190" fontId="47" fillId="6" borderId="5" xfId="60" applyNumberFormat="1" applyFont="1" applyFill="1" applyBorder="1"/>
    <xf numFmtId="189" fontId="47" fillId="6" borderId="5" xfId="60" applyNumberFormat="1" applyFont="1" applyFill="1" applyBorder="1"/>
    <xf numFmtId="189" fontId="47" fillId="6" borderId="5" xfId="60" applyNumberFormat="1" applyFont="1" applyFill="1" applyBorder="1" applyAlignment="1">
      <alignment horizontal="left"/>
    </xf>
    <xf numFmtId="189" fontId="47" fillId="0" borderId="5" xfId="60" applyNumberFormat="1" applyFont="1" applyFill="1" applyBorder="1"/>
    <xf numFmtId="189" fontId="47" fillId="0" borderId="5" xfId="60" applyNumberFormat="1" applyFont="1" applyFill="1" applyBorder="1" applyAlignment="1">
      <alignment horizontal="left"/>
    </xf>
    <xf numFmtId="189" fontId="47" fillId="6" borderId="30" xfId="60" applyNumberFormat="1" applyFont="1" applyFill="1" applyBorder="1"/>
    <xf numFmtId="189" fontId="47" fillId="0" borderId="6" xfId="60" applyNumberFormat="1" applyFont="1" applyFill="1" applyBorder="1" applyAlignment="1">
      <alignment horizontal="left"/>
    </xf>
    <xf numFmtId="189" fontId="47" fillId="6" borderId="0" xfId="60" applyNumberFormat="1" applyFont="1" applyFill="1" applyBorder="1"/>
    <xf numFmtId="189" fontId="47" fillId="6" borderId="33" xfId="60" applyNumberFormat="1" applyFont="1" applyFill="1" applyBorder="1"/>
    <xf numFmtId="0" fontId="47" fillId="0" borderId="33" xfId="0" applyFont="1" applyBorder="1"/>
    <xf numFmtId="188" fontId="47" fillId="6" borderId="33" xfId="60" applyNumberFormat="1" applyFont="1" applyFill="1" applyBorder="1"/>
    <xf numFmtId="189" fontId="47" fillId="0" borderId="0" xfId="60" applyNumberFormat="1" applyFont="1"/>
    <xf numFmtId="188" fontId="47" fillId="15" borderId="10" xfId="60" applyNumberFormat="1" applyFont="1" applyFill="1" applyBorder="1"/>
    <xf numFmtId="189" fontId="54" fillId="0" borderId="0" xfId="60" applyNumberFormat="1" applyFont="1" applyAlignment="1">
      <alignment vertical="center"/>
    </xf>
    <xf numFmtId="189" fontId="54" fillId="0" borderId="0" xfId="60" applyNumberFormat="1" applyFont="1" applyBorder="1" applyAlignment="1">
      <alignment vertical="center"/>
    </xf>
    <xf numFmtId="0" fontId="54" fillId="0" borderId="0" xfId="0" applyFont="1" applyAlignment="1">
      <alignment vertical="center"/>
    </xf>
    <xf numFmtId="189" fontId="61" fillId="6" borderId="11" xfId="60" applyNumberFormat="1" applyFont="1" applyFill="1" applyBorder="1" applyAlignment="1">
      <alignment horizontal="left"/>
    </xf>
    <xf numFmtId="189" fontId="46" fillId="6" borderId="5" xfId="60" applyNumberFormat="1" applyFont="1" applyFill="1" applyBorder="1" applyAlignment="1">
      <alignment horizontal="left"/>
    </xf>
    <xf numFmtId="189" fontId="46" fillId="6" borderId="15" xfId="60" applyNumberFormat="1" applyFont="1" applyFill="1" applyBorder="1"/>
    <xf numFmtId="188" fontId="47" fillId="6" borderId="5" xfId="60" applyNumberFormat="1" applyFont="1" applyFill="1" applyBorder="1" applyAlignment="1">
      <alignment horizontal="left"/>
    </xf>
    <xf numFmtId="203" fontId="47" fillId="6" borderId="5" xfId="60" applyNumberFormat="1" applyFont="1" applyFill="1" applyBorder="1"/>
    <xf numFmtId="43" fontId="47" fillId="6" borderId="5" xfId="70" applyFont="1" applyFill="1" applyBorder="1"/>
    <xf numFmtId="189" fontId="54" fillId="6" borderId="15" xfId="60" applyNumberFormat="1" applyFont="1" applyFill="1" applyBorder="1"/>
    <xf numFmtId="189" fontId="46" fillId="6" borderId="34" xfId="60" applyNumberFormat="1" applyFont="1" applyFill="1" applyBorder="1" applyAlignment="1">
      <alignment horizontal="center"/>
    </xf>
    <xf numFmtId="188" fontId="46" fillId="6" borderId="5" xfId="60" applyNumberFormat="1" applyFont="1" applyFill="1" applyBorder="1" applyAlignment="1">
      <alignment horizontal="left"/>
    </xf>
    <xf numFmtId="43" fontId="46" fillId="6" borderId="5" xfId="60" applyNumberFormat="1" applyFont="1" applyFill="1" applyBorder="1"/>
    <xf numFmtId="189" fontId="46" fillId="9" borderId="3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89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89" fontId="47" fillId="9" borderId="5" xfId="60" applyNumberFormat="1" applyFont="1" applyFill="1" applyBorder="1" applyAlignment="1">
      <alignment horizontal="left"/>
    </xf>
    <xf numFmtId="189" fontId="47" fillId="9" borderId="33" xfId="60" applyNumberFormat="1" applyFont="1" applyFill="1" applyBorder="1" applyAlignment="1">
      <alignment horizontal="left"/>
    </xf>
    <xf numFmtId="189" fontId="47" fillId="6" borderId="32" xfId="60" applyNumberFormat="1" applyFont="1" applyFill="1" applyBorder="1"/>
    <xf numFmtId="43" fontId="47" fillId="6" borderId="33" xfId="60" applyNumberFormat="1" applyFont="1" applyFill="1" applyBorder="1"/>
    <xf numFmtId="43" fontId="46" fillId="13" borderId="10" xfId="70" applyFont="1" applyFill="1" applyBorder="1"/>
    <xf numFmtId="188" fontId="48" fillId="6" borderId="5" xfId="60" applyNumberFormat="1" applyFont="1" applyFill="1" applyBorder="1"/>
    <xf numFmtId="189" fontId="63" fillId="6" borderId="10" xfId="60" applyNumberFormat="1" applyFont="1" applyFill="1" applyBorder="1" applyAlignment="1">
      <alignment horizontal="center" vertical="center"/>
    </xf>
    <xf numFmtId="43" fontId="56" fillId="11" borderId="9" xfId="70" applyFont="1" applyFill="1" applyBorder="1" applyAlignment="1">
      <alignment horizontal="center" vertical="center"/>
    </xf>
    <xf numFmtId="43" fontId="56" fillId="11" borderId="30" xfId="70" applyFont="1" applyFill="1" applyBorder="1" applyAlignment="1">
      <alignment horizontal="center" vertical="center"/>
    </xf>
    <xf numFmtId="43" fontId="56" fillId="0" borderId="0" xfId="70" applyFont="1" applyAlignment="1">
      <alignment horizontal="left" vertical="center"/>
    </xf>
    <xf numFmtId="43" fontId="55" fillId="0" borderId="8" xfId="70" applyFont="1" applyFill="1" applyBorder="1" applyAlignment="1">
      <alignment horizontal="left" vertical="center"/>
    </xf>
    <xf numFmtId="43" fontId="55" fillId="0" borderId="8" xfId="70" applyFont="1" applyBorder="1" applyAlignment="1">
      <alignment horizontal="left" vertical="center"/>
    </xf>
    <xf numFmtId="43" fontId="55" fillId="0" borderId="11" xfId="70" applyFont="1" applyFill="1" applyBorder="1" applyAlignment="1">
      <alignment horizontal="left" vertical="center"/>
    </xf>
    <xf numFmtId="43" fontId="55" fillId="0" borderId="11" xfId="70" applyFont="1" applyBorder="1" applyAlignment="1">
      <alignment horizontal="left" vertical="center"/>
    </xf>
    <xf numFmtId="43" fontId="55" fillId="0" borderId="11" xfId="70" applyFont="1" applyFill="1" applyBorder="1" applyAlignment="1">
      <alignment vertical="center"/>
    </xf>
    <xf numFmtId="43" fontId="56" fillId="0" borderId="0" xfId="70" applyFont="1" applyFill="1" applyAlignment="1">
      <alignment vertical="center"/>
    </xf>
    <xf numFmtId="43" fontId="56" fillId="0" borderId="0" xfId="70" applyFont="1" applyAlignment="1">
      <alignment vertical="center"/>
    </xf>
    <xf numFmtId="0" fontId="64" fillId="0" borderId="1" xfId="0" applyFont="1" applyBorder="1" applyAlignment="1">
      <alignment horizontal="center" vertical="top"/>
    </xf>
    <xf numFmtId="0" fontId="65" fillId="0" borderId="3" xfId="0" applyFont="1" applyBorder="1" applyAlignment="1">
      <alignment horizontal="left" vertical="top"/>
    </xf>
    <xf numFmtId="0" fontId="64" fillId="0" borderId="3" xfId="0" applyFont="1" applyBorder="1" applyAlignment="1">
      <alignment horizontal="center" vertical="top"/>
    </xf>
    <xf numFmtId="0" fontId="64" fillId="0" borderId="4" xfId="0" applyFont="1" applyBorder="1" applyAlignment="1">
      <alignment horizontal="center" vertical="top"/>
    </xf>
    <xf numFmtId="43" fontId="64" fillId="0" borderId="3" xfId="70" applyFont="1" applyFill="1" applyBorder="1" applyAlignment="1">
      <alignment horizontal="center" vertical="top"/>
    </xf>
    <xf numFmtId="43" fontId="64" fillId="0" borderId="4" xfId="70" applyFont="1" applyFill="1" applyBorder="1" applyAlignment="1">
      <alignment horizontal="center" vertical="top"/>
    </xf>
    <xf numFmtId="43" fontId="64" fillId="0" borderId="1" xfId="70" applyFont="1" applyFill="1" applyBorder="1" applyAlignment="1">
      <alignment horizontal="center" vertical="top"/>
    </xf>
    <xf numFmtId="0" fontId="64" fillId="0" borderId="5" xfId="0" applyFont="1" applyBorder="1" applyAlignment="1">
      <alignment horizontal="center" vertical="top"/>
    </xf>
    <xf numFmtId="0" fontId="64" fillId="0" borderId="5" xfId="0" applyFont="1" applyBorder="1" applyAlignment="1">
      <alignment vertical="top" wrapText="1"/>
    </xf>
    <xf numFmtId="188" fontId="64" fillId="0" borderId="5" xfId="0" applyNumberFormat="1" applyFont="1" applyBorder="1" applyAlignment="1">
      <alignment vertical="top"/>
    </xf>
    <xf numFmtId="0" fontId="64" fillId="0" borderId="5" xfId="83" applyNumberFormat="1" applyFont="1" applyFill="1" applyBorder="1" applyAlignment="1">
      <alignment horizontal="center" vertical="top"/>
    </xf>
    <xf numFmtId="43" fontId="64" fillId="0" borderId="16" xfId="70" applyFont="1" applyFill="1" applyBorder="1" applyAlignment="1" applyProtection="1">
      <alignment horizontal="center" vertical="top"/>
      <protection locked="0"/>
    </xf>
    <xf numFmtId="43" fontId="64" fillId="0" borderId="5" xfId="70" applyFont="1" applyFill="1" applyBorder="1" applyAlignment="1" applyProtection="1">
      <alignment horizontal="center" vertical="top"/>
      <protection locked="0"/>
    </xf>
    <xf numFmtId="188" fontId="64" fillId="0" borderId="8" xfId="83" applyFont="1" applyFill="1" applyBorder="1" applyAlignment="1">
      <alignment horizontal="center" vertical="top"/>
    </xf>
    <xf numFmtId="0" fontId="64" fillId="0" borderId="6" xfId="0" applyFont="1" applyBorder="1" applyAlignment="1">
      <alignment horizontal="center" vertical="top"/>
    </xf>
    <xf numFmtId="0" fontId="64" fillId="0" borderId="6" xfId="0" applyFont="1" applyBorder="1" applyAlignment="1">
      <alignment horizontal="left" vertical="top" wrapText="1"/>
    </xf>
    <xf numFmtId="188" fontId="64" fillId="0" borderId="6" xfId="0" applyNumberFormat="1" applyFont="1" applyBorder="1" applyAlignment="1">
      <alignment vertical="top"/>
    </xf>
    <xf numFmtId="43" fontId="64" fillId="0" borderId="17" xfId="70" applyFont="1" applyFill="1" applyBorder="1" applyAlignment="1">
      <alignment horizontal="center" vertical="top"/>
    </xf>
    <xf numFmtId="43" fontId="64" fillId="0" borderId="6" xfId="70" applyFont="1" applyBorder="1" applyAlignment="1">
      <alignment horizontal="center" vertical="top"/>
    </xf>
    <xf numFmtId="188" fontId="64" fillId="0" borderId="11" xfId="84" applyFont="1" applyBorder="1" applyAlignment="1">
      <alignment horizontal="center" vertical="top"/>
    </xf>
    <xf numFmtId="2" fontId="64" fillId="0" borderId="6" xfId="0" applyNumberFormat="1" applyFont="1" applyBorder="1" applyAlignment="1">
      <alignment horizontal="left" vertical="top" wrapText="1"/>
    </xf>
    <xf numFmtId="0" fontId="64" fillId="0" borderId="30" xfId="0" applyFont="1" applyBorder="1" applyAlignment="1">
      <alignment horizontal="center" vertical="top"/>
    </xf>
    <xf numFmtId="0" fontId="64" fillId="0" borderId="30" xfId="0" applyFont="1" applyBorder="1" applyAlignment="1">
      <alignment horizontal="left" vertical="top" wrapText="1"/>
    </xf>
    <xf numFmtId="188" fontId="64" fillId="0" borderId="30" xfId="0" applyNumberFormat="1" applyFont="1" applyBorder="1" applyAlignment="1">
      <alignment vertical="top"/>
    </xf>
    <xf numFmtId="43" fontId="64" fillId="0" borderId="48" xfId="70" applyFont="1" applyFill="1" applyBorder="1" applyAlignment="1">
      <alignment horizontal="center" vertical="top"/>
    </xf>
    <xf numFmtId="43" fontId="64" fillId="0" borderId="30" xfId="70" applyFont="1" applyFill="1" applyBorder="1" applyAlignment="1">
      <alignment horizontal="center" vertical="top"/>
    </xf>
    <xf numFmtId="188" fontId="64" fillId="0" borderId="0" xfId="0" applyNumberFormat="1" applyFont="1" applyAlignment="1">
      <alignment horizontal="center" vertical="top"/>
    </xf>
    <xf numFmtId="0" fontId="58" fillId="0" borderId="50" xfId="0" applyFont="1" applyBorder="1" applyAlignment="1">
      <alignment horizontal="center" vertical="top"/>
    </xf>
    <xf numFmtId="0" fontId="58" fillId="0" borderId="21" xfId="0" applyFont="1" applyBorder="1" applyAlignment="1">
      <alignment horizontal="center" vertical="top" wrapText="1"/>
    </xf>
    <xf numFmtId="0" fontId="58" fillId="0" borderId="21" xfId="0" applyFont="1" applyBorder="1" applyAlignment="1">
      <alignment horizontal="center" vertical="top"/>
    </xf>
    <xf numFmtId="43" fontId="58" fillId="0" borderId="51" xfId="70" applyFont="1" applyFill="1" applyBorder="1" applyAlignment="1">
      <alignment horizontal="center" vertical="top"/>
    </xf>
    <xf numFmtId="43" fontId="58" fillId="0" borderId="21" xfId="70" applyFont="1" applyFill="1" applyBorder="1" applyAlignment="1">
      <alignment horizontal="center" vertical="top"/>
    </xf>
    <xf numFmtId="188" fontId="58" fillId="0" borderId="52" xfId="0" applyNumberFormat="1" applyFont="1" applyBorder="1" applyAlignment="1">
      <alignment horizontal="center" vertical="top"/>
    </xf>
    <xf numFmtId="0" fontId="64" fillId="0" borderId="5" xfId="0" applyFont="1" applyBorder="1" applyAlignment="1">
      <alignment horizontal="center" vertical="top" wrapText="1"/>
    </xf>
    <xf numFmtId="188" fontId="64" fillId="0" borderId="5" xfId="84" applyFont="1" applyFill="1" applyBorder="1" applyAlignment="1">
      <alignment horizontal="center" vertical="top"/>
    </xf>
    <xf numFmtId="43" fontId="64" fillId="0" borderId="16" xfId="70" applyFont="1" applyBorder="1" applyAlignment="1">
      <alignment horizontal="center" vertical="top"/>
    </xf>
    <xf numFmtId="43" fontId="64" fillId="0" borderId="5" xfId="70" applyFont="1" applyBorder="1" applyAlignment="1">
      <alignment horizontal="center" vertical="top"/>
    </xf>
    <xf numFmtId="188" fontId="64" fillId="0" borderId="8" xfId="84" applyFont="1" applyBorder="1" applyAlignment="1">
      <alignment horizontal="center" vertical="top"/>
    </xf>
    <xf numFmtId="0" fontId="58" fillId="0" borderId="6" xfId="0" applyFont="1" applyBorder="1" applyAlignment="1">
      <alignment horizontal="center" vertical="top"/>
    </xf>
    <xf numFmtId="0" fontId="58" fillId="0" borderId="6" xfId="0" applyFont="1" applyBorder="1" applyAlignment="1">
      <alignment vertical="top" wrapText="1"/>
    </xf>
    <xf numFmtId="188" fontId="64" fillId="0" borderId="6" xfId="84" applyFont="1" applyFill="1" applyBorder="1" applyAlignment="1">
      <alignment horizontal="center" vertical="top"/>
    </xf>
    <xf numFmtId="43" fontId="64" fillId="0" borderId="17" xfId="70" applyFont="1" applyBorder="1" applyAlignment="1">
      <alignment horizontal="center" vertical="top"/>
    </xf>
    <xf numFmtId="188" fontId="64" fillId="0" borderId="11" xfId="0" applyNumberFormat="1" applyFont="1" applyBorder="1" applyAlignment="1">
      <alignment horizontal="center" vertical="top"/>
    </xf>
    <xf numFmtId="0" fontId="66" fillId="0" borderId="6" xfId="0" applyFont="1" applyBorder="1" applyAlignment="1">
      <alignment vertical="top" wrapText="1"/>
    </xf>
    <xf numFmtId="0" fontId="58" fillId="6" borderId="6" xfId="0" applyFont="1" applyFill="1" applyBorder="1" applyAlignment="1">
      <alignment horizontal="left" vertical="top" wrapText="1"/>
    </xf>
    <xf numFmtId="0" fontId="64" fillId="0" borderId="6" xfId="84" applyNumberFormat="1" applyFont="1" applyBorder="1" applyAlignment="1">
      <alignment horizontal="center" vertical="top"/>
    </xf>
    <xf numFmtId="0" fontId="64" fillId="6" borderId="6" xfId="0" applyFont="1" applyFill="1" applyBorder="1" applyAlignment="1">
      <alignment horizontal="left" vertical="top" wrapText="1"/>
    </xf>
    <xf numFmtId="0" fontId="64" fillId="0" borderId="12" xfId="0" applyFont="1" applyBorder="1" applyAlignment="1">
      <alignment horizontal="center" vertical="top"/>
    </xf>
    <xf numFmtId="0" fontId="64" fillId="0" borderId="12" xfId="0" applyFont="1" applyBorder="1" applyAlignment="1">
      <alignment horizontal="center" vertical="top" wrapText="1"/>
    </xf>
    <xf numFmtId="43" fontId="64" fillId="0" borderId="19" xfId="70" applyFont="1" applyBorder="1" applyAlignment="1">
      <alignment horizontal="center" vertical="top"/>
    </xf>
    <xf numFmtId="43" fontId="64" fillId="0" borderId="12" xfId="70" applyFont="1" applyBorder="1" applyAlignment="1">
      <alignment horizontal="center" vertical="top"/>
    </xf>
    <xf numFmtId="188" fontId="64" fillId="0" borderId="54" xfId="0" applyNumberFormat="1" applyFont="1" applyBorder="1" applyAlignment="1">
      <alignment horizontal="center" vertical="top"/>
    </xf>
    <xf numFmtId="0" fontId="58" fillId="0" borderId="10" xfId="0" applyFont="1" applyBorder="1" applyAlignment="1">
      <alignment horizontal="center" vertical="top"/>
    </xf>
    <xf numFmtId="0" fontId="58" fillId="0" borderId="10" xfId="0" applyFont="1" applyBorder="1" applyAlignment="1">
      <alignment horizontal="center" vertical="top" wrapText="1"/>
    </xf>
    <xf numFmtId="188" fontId="58" fillId="0" borderId="10" xfId="84" applyFont="1" applyFill="1" applyBorder="1" applyAlignment="1">
      <alignment horizontal="center" vertical="top"/>
    </xf>
    <xf numFmtId="43" fontId="58" fillId="0" borderId="24" xfId="70" applyFont="1" applyBorder="1" applyAlignment="1">
      <alignment horizontal="center" vertical="top"/>
    </xf>
    <xf numFmtId="43" fontId="58" fillId="0" borderId="10" xfId="70" applyFont="1" applyBorder="1" applyAlignment="1">
      <alignment horizontal="center" vertical="top"/>
    </xf>
    <xf numFmtId="188" fontId="58" fillId="0" borderId="45" xfId="84" applyFont="1" applyBorder="1" applyAlignment="1">
      <alignment horizontal="center" vertical="top"/>
    </xf>
    <xf numFmtId="0" fontId="58" fillId="0" borderId="30" xfId="0" applyFont="1" applyBorder="1" applyAlignment="1">
      <alignment horizontal="center" vertical="top"/>
    </xf>
    <xf numFmtId="0" fontId="58" fillId="0" borderId="30" xfId="0" applyFont="1" applyBorder="1" applyAlignment="1">
      <alignment horizontal="center" vertical="top" wrapText="1"/>
    </xf>
    <xf numFmtId="188" fontId="58" fillId="0" borderId="30" xfId="84" applyFont="1" applyFill="1" applyBorder="1" applyAlignment="1">
      <alignment horizontal="center" vertical="top"/>
    </xf>
    <xf numFmtId="43" fontId="58" fillId="0" borderId="48" xfId="70" applyFont="1" applyBorder="1" applyAlignment="1">
      <alignment horizontal="center" vertical="top"/>
    </xf>
    <xf numFmtId="43" fontId="58" fillId="0" borderId="30" xfId="70" applyFont="1" applyBorder="1" applyAlignment="1">
      <alignment horizontal="center" vertical="top"/>
    </xf>
    <xf numFmtId="188" fontId="58" fillId="0" borderId="0" xfId="84" applyFont="1" applyBorder="1" applyAlignment="1">
      <alignment horizontal="center" vertical="top"/>
    </xf>
    <xf numFmtId="0" fontId="58" fillId="0" borderId="5" xfId="0" applyFont="1" applyBorder="1" applyAlignment="1">
      <alignment horizontal="center" vertical="top"/>
    </xf>
    <xf numFmtId="0" fontId="66" fillId="0" borderId="5" xfId="0" applyFont="1" applyBorder="1" applyAlignment="1">
      <alignment vertical="top" wrapText="1"/>
    </xf>
    <xf numFmtId="188" fontId="58" fillId="0" borderId="5" xfId="84" applyFont="1" applyFill="1" applyBorder="1" applyAlignment="1">
      <alignment horizontal="center" vertical="top"/>
    </xf>
    <xf numFmtId="43" fontId="58" fillId="0" borderId="16" xfId="70" applyFont="1" applyBorder="1" applyAlignment="1">
      <alignment horizontal="center" vertical="top"/>
    </xf>
    <xf numFmtId="43" fontId="58" fillId="0" borderId="5" xfId="70" applyFont="1" applyBorder="1" applyAlignment="1">
      <alignment horizontal="center" vertical="top"/>
    </xf>
    <xf numFmtId="188" fontId="58" fillId="0" borderId="8" xfId="0" applyNumberFormat="1" applyFont="1" applyBorder="1" applyAlignment="1">
      <alignment horizontal="center" vertical="top"/>
    </xf>
    <xf numFmtId="0" fontId="58" fillId="0" borderId="6" xfId="0" applyFont="1" applyBorder="1" applyAlignment="1">
      <alignment vertical="top"/>
    </xf>
    <xf numFmtId="43" fontId="58" fillId="0" borderId="5" xfId="65" applyFont="1" applyFill="1" applyBorder="1" applyAlignment="1">
      <alignment horizontal="center" vertical="top"/>
    </xf>
    <xf numFmtId="0" fontId="58" fillId="0" borderId="15" xfId="0" applyFont="1" applyBorder="1" applyAlignment="1">
      <alignment horizontal="center" vertical="top"/>
    </xf>
    <xf numFmtId="43" fontId="58" fillId="0" borderId="16" xfId="70" applyFont="1" applyFill="1" applyBorder="1" applyAlignment="1">
      <alignment vertical="top"/>
    </xf>
    <xf numFmtId="43" fontId="58" fillId="0" borderId="6" xfId="70" applyFont="1" applyFill="1" applyBorder="1" applyAlignment="1">
      <alignment vertical="top"/>
    </xf>
    <xf numFmtId="43" fontId="58" fillId="0" borderId="11" xfId="65" applyFont="1" applyFill="1" applyBorder="1" applyAlignment="1">
      <alignment vertical="top"/>
    </xf>
    <xf numFmtId="0" fontId="64" fillId="0" borderId="8" xfId="0" applyFont="1" applyBorder="1" applyAlignment="1">
      <alignment vertical="top"/>
    </xf>
    <xf numFmtId="43" fontId="64" fillId="0" borderId="5" xfId="65" applyFont="1" applyFill="1" applyBorder="1" applyAlignment="1">
      <alignment horizontal="center" vertical="top"/>
    </xf>
    <xf numFmtId="0" fontId="64" fillId="0" borderId="15" xfId="0" applyFont="1" applyBorder="1" applyAlignment="1">
      <alignment horizontal="center" vertical="top"/>
    </xf>
    <xf numFmtId="43" fontId="64" fillId="0" borderId="16" xfId="70" applyFont="1" applyFill="1" applyBorder="1" applyAlignment="1">
      <alignment vertical="top"/>
    </xf>
    <xf numFmtId="0" fontId="64" fillId="0" borderId="8" xfId="0" applyFont="1" applyBorder="1" applyAlignment="1">
      <alignment horizontal="left" vertical="top"/>
    </xf>
    <xf numFmtId="43" fontId="64" fillId="0" borderId="8" xfId="70" applyFont="1" applyFill="1" applyBorder="1" applyAlignment="1">
      <alignment vertical="top"/>
    </xf>
    <xf numFmtId="43" fontId="56" fillId="0" borderId="0" xfId="70" applyFont="1" applyFill="1" applyAlignment="1">
      <alignment horizontal="left" vertical="center"/>
    </xf>
    <xf numFmtId="0" fontId="58" fillId="0" borderId="8" xfId="0" applyFont="1" applyBorder="1" applyAlignment="1">
      <alignment horizontal="left" vertical="top"/>
    </xf>
    <xf numFmtId="43" fontId="64" fillId="0" borderId="6" xfId="70" applyFont="1" applyFill="1" applyBorder="1" applyAlignment="1">
      <alignment horizontal="center" vertical="top"/>
    </xf>
    <xf numFmtId="0" fontId="64" fillId="0" borderId="49" xfId="0" applyFont="1" applyBorder="1" applyAlignment="1">
      <alignment horizontal="center" vertical="top"/>
    </xf>
    <xf numFmtId="43" fontId="64" fillId="0" borderId="47" xfId="70" applyFont="1" applyFill="1" applyBorder="1" applyAlignment="1">
      <alignment vertical="top"/>
    </xf>
    <xf numFmtId="0" fontId="64" fillId="0" borderId="6" xfId="69" applyFont="1" applyBorder="1"/>
    <xf numFmtId="43" fontId="64" fillId="0" borderId="6" xfId="65" applyFont="1" applyFill="1" applyBorder="1" applyAlignment="1">
      <alignment horizontal="center"/>
    </xf>
    <xf numFmtId="43" fontId="64" fillId="0" borderId="17" xfId="70" applyFont="1" applyFill="1" applyBorder="1" applyAlignment="1">
      <alignment vertical="top"/>
    </xf>
    <xf numFmtId="43" fontId="64" fillId="0" borderId="11" xfId="70" applyFont="1" applyFill="1" applyBorder="1" applyAlignment="1">
      <alignment vertical="top"/>
    </xf>
    <xf numFmtId="43" fontId="64" fillId="0" borderId="6" xfId="70" applyFont="1" applyFill="1" applyBorder="1" applyAlignment="1">
      <alignment horizontal="center" vertical="center"/>
    </xf>
    <xf numFmtId="43" fontId="64" fillId="0" borderId="0" xfId="70" applyFont="1" applyAlignment="1">
      <alignment horizontal="left" vertical="center"/>
    </xf>
    <xf numFmtId="43" fontId="64" fillId="0" borderId="0" xfId="70" applyFont="1" applyAlignment="1">
      <alignment vertical="center"/>
    </xf>
    <xf numFmtId="43" fontId="64" fillId="0" borderId="46" xfId="70" applyFont="1" applyFill="1" applyBorder="1" applyAlignment="1">
      <alignment horizontal="center" vertical="center"/>
    </xf>
    <xf numFmtId="43" fontId="64" fillId="0" borderId="5" xfId="70" applyFont="1" applyFill="1" applyBorder="1" applyAlignment="1">
      <alignment horizontal="center" vertical="center"/>
    </xf>
    <xf numFmtId="188" fontId="64" fillId="0" borderId="11" xfId="84" applyFont="1" applyFill="1" applyBorder="1" applyAlignment="1">
      <alignment horizontal="center" vertical="top"/>
    </xf>
    <xf numFmtId="43" fontId="64" fillId="0" borderId="0" xfId="70" applyFont="1" applyFill="1" applyAlignment="1">
      <alignment horizontal="left" vertical="center"/>
    </xf>
    <xf numFmtId="43" fontId="64" fillId="0" borderId="0" xfId="70" applyFont="1" applyFill="1" applyAlignment="1">
      <alignment vertical="center"/>
    </xf>
    <xf numFmtId="0" fontId="64" fillId="0" borderId="11" xfId="0" applyFont="1" applyBorder="1" applyAlignment="1">
      <alignment horizontal="left" vertical="top" wrapText="1"/>
    </xf>
    <xf numFmtId="188" fontId="64" fillId="0" borderId="5" xfId="86" applyFont="1" applyFill="1" applyBorder="1" applyAlignment="1" applyProtection="1">
      <alignment horizontal="center" vertical="top"/>
      <protection locked="0"/>
    </xf>
    <xf numFmtId="43" fontId="64" fillId="0" borderId="5" xfId="65" applyFont="1" applyFill="1" applyBorder="1" applyAlignment="1" applyProtection="1">
      <alignment horizontal="center" vertical="top"/>
      <protection locked="0"/>
    </xf>
    <xf numFmtId="205" fontId="64" fillId="0" borderId="5" xfId="0" applyNumberFormat="1" applyFont="1" applyBorder="1" applyAlignment="1">
      <alignment horizontal="center" vertical="top"/>
    </xf>
    <xf numFmtId="0" fontId="64" fillId="20" borderId="8" xfId="0" applyFont="1" applyFill="1" applyBorder="1" applyAlignment="1">
      <alignment horizontal="left" vertical="top"/>
    </xf>
    <xf numFmtId="43" fontId="64" fillId="0" borderId="16" xfId="70" applyFont="1" applyBorder="1" applyAlignment="1">
      <alignment vertical="top"/>
    </xf>
    <xf numFmtId="0" fontId="64" fillId="0" borderId="46" xfId="0" applyFont="1" applyBorder="1" applyAlignment="1">
      <alignment horizontal="center" vertical="top"/>
    </xf>
    <xf numFmtId="0" fontId="64" fillId="0" borderId="46" xfId="0" applyFont="1" applyBorder="1" applyAlignment="1">
      <alignment horizontal="center" vertical="top" wrapText="1"/>
    </xf>
    <xf numFmtId="43" fontId="64" fillId="0" borderId="47" xfId="70" applyFont="1" applyBorder="1" applyAlignment="1">
      <alignment horizontal="center" vertical="top"/>
    </xf>
    <xf numFmtId="43" fontId="64" fillId="0" borderId="46" xfId="70" applyFont="1" applyBorder="1" applyAlignment="1">
      <alignment horizontal="center" vertical="top"/>
    </xf>
    <xf numFmtId="188" fontId="64" fillId="0" borderId="53" xfId="0" applyNumberFormat="1" applyFont="1" applyBorder="1" applyAlignment="1">
      <alignment horizontal="center" vertical="top"/>
    </xf>
    <xf numFmtId="188" fontId="58" fillId="0" borderId="21" xfId="84" applyFont="1" applyFill="1" applyBorder="1" applyAlignment="1">
      <alignment horizontal="center" vertical="top"/>
    </xf>
    <xf numFmtId="43" fontId="58" fillId="0" borderId="51" xfId="70" applyFont="1" applyBorder="1" applyAlignment="1">
      <alignment horizontal="center" vertical="top"/>
    </xf>
    <xf numFmtId="43" fontId="58" fillId="0" borderId="21" xfId="70" applyFont="1" applyBorder="1" applyAlignment="1">
      <alignment horizontal="center" vertical="top"/>
    </xf>
    <xf numFmtId="0" fontId="64" fillId="0" borderId="30" xfId="0" applyFont="1" applyBorder="1" applyAlignment="1">
      <alignment horizontal="center" vertical="top" wrapText="1"/>
    </xf>
    <xf numFmtId="188" fontId="64" fillId="0" borderId="30" xfId="84" applyFont="1" applyFill="1" applyBorder="1" applyAlignment="1">
      <alignment horizontal="center" vertical="top"/>
    </xf>
    <xf numFmtId="43" fontId="64" fillId="0" borderId="48" xfId="70" applyFont="1" applyBorder="1" applyAlignment="1">
      <alignment horizontal="center" vertical="top"/>
    </xf>
    <xf numFmtId="43" fontId="64" fillId="0" borderId="30" xfId="70" applyFont="1" applyBorder="1" applyAlignment="1">
      <alignment horizontal="center" vertical="top"/>
    </xf>
    <xf numFmtId="43" fontId="64" fillId="0" borderId="0" xfId="70" applyFont="1" applyBorder="1" applyAlignment="1">
      <alignment horizontal="center" vertical="top"/>
    </xf>
    <xf numFmtId="2" fontId="66" fillId="0" borderId="5" xfId="0" applyNumberFormat="1" applyFont="1" applyBorder="1" applyAlignment="1">
      <alignment vertical="top" wrapText="1"/>
    </xf>
    <xf numFmtId="188" fontId="58" fillId="0" borderId="8" xfId="84" applyFont="1" applyBorder="1" applyAlignment="1">
      <alignment horizontal="center" vertical="top"/>
    </xf>
    <xf numFmtId="188" fontId="58" fillId="0" borderId="6" xfId="84" applyFont="1" applyFill="1" applyBorder="1" applyAlignment="1">
      <alignment horizontal="center" vertical="top"/>
    </xf>
    <xf numFmtId="49" fontId="58" fillId="0" borderId="6" xfId="84" applyNumberFormat="1" applyFont="1" applyBorder="1" applyAlignment="1">
      <alignment horizontal="center" vertical="top"/>
    </xf>
    <xf numFmtId="43" fontId="58" fillId="0" borderId="17" xfId="70" applyFont="1" applyBorder="1" applyAlignment="1">
      <alignment horizontal="center" vertical="top"/>
    </xf>
    <xf numFmtId="43" fontId="58" fillId="0" borderId="6" xfId="70" applyFont="1" applyBorder="1" applyAlignment="1">
      <alignment horizontal="center" vertical="top"/>
    </xf>
    <xf numFmtId="188" fontId="58" fillId="0" borderId="11" xfId="84" applyFont="1" applyBorder="1" applyAlignment="1">
      <alignment horizontal="center" vertical="top"/>
    </xf>
    <xf numFmtId="43" fontId="55" fillId="0" borderId="5" xfId="70" applyFont="1" applyFill="1" applyBorder="1" applyAlignment="1">
      <alignment vertical="center"/>
    </xf>
    <xf numFmtId="0" fontId="64" fillId="0" borderId="6" xfId="0" applyFont="1" applyBorder="1" applyAlignment="1">
      <alignment vertical="top" wrapText="1"/>
    </xf>
    <xf numFmtId="49" fontId="64" fillId="0" borderId="6" xfId="84" applyNumberFormat="1" applyFont="1" applyBorder="1" applyAlignment="1">
      <alignment horizontal="center" vertical="top"/>
    </xf>
    <xf numFmtId="0" fontId="64" fillId="0" borderId="6" xfId="0" quotePrefix="1" applyFont="1" applyBorder="1" applyAlignment="1">
      <alignment vertical="top" wrapText="1"/>
    </xf>
    <xf numFmtId="43" fontId="64" fillId="0" borderId="6" xfId="65" applyFont="1" applyFill="1" applyBorder="1" applyAlignment="1">
      <alignment horizontal="center" vertical="top"/>
    </xf>
    <xf numFmtId="43" fontId="56" fillId="0" borderId="46" xfId="70" applyFont="1" applyFill="1" applyBorder="1" applyAlignment="1">
      <alignment vertical="center"/>
    </xf>
    <xf numFmtId="0" fontId="58" fillId="0" borderId="6" xfId="0" applyFont="1" applyBorder="1" applyAlignment="1">
      <alignment horizontal="left" vertical="top" wrapText="1"/>
    </xf>
    <xf numFmtId="43" fontId="55" fillId="0" borderId="46" xfId="70" applyFont="1" applyFill="1" applyBorder="1" applyAlignment="1">
      <alignment vertical="center"/>
    </xf>
    <xf numFmtId="0" fontId="64" fillId="20" borderId="6" xfId="0" applyFont="1" applyFill="1" applyBorder="1" applyAlignment="1">
      <alignment horizontal="center" vertical="top"/>
    </xf>
    <xf numFmtId="43" fontId="64" fillId="6" borderId="17" xfId="70" applyFont="1" applyFill="1" applyBorder="1" applyAlignment="1">
      <alignment horizontal="center" vertical="top"/>
    </xf>
    <xf numFmtId="43" fontId="56" fillId="0" borderId="6" xfId="70" applyFont="1" applyFill="1" applyBorder="1" applyAlignment="1">
      <alignment vertical="center"/>
    </xf>
    <xf numFmtId="0" fontId="64" fillId="6" borderId="6" xfId="0" applyFont="1" applyFill="1" applyBorder="1" applyAlignment="1">
      <alignment horizontal="center" vertical="top"/>
    </xf>
    <xf numFmtId="43" fontId="56" fillId="0" borderId="5" xfId="70" applyFont="1" applyFill="1" applyBorder="1" applyAlignment="1">
      <alignment vertical="center"/>
    </xf>
    <xf numFmtId="43" fontId="55" fillId="0" borderId="6" xfId="70" applyFont="1" applyFill="1" applyBorder="1" applyAlignment="1">
      <alignment vertical="center"/>
    </xf>
    <xf numFmtId="0" fontId="64" fillId="0" borderId="6" xfId="0" applyFont="1" applyBorder="1" applyAlignment="1">
      <alignment horizontal="left" vertical="top"/>
    </xf>
    <xf numFmtId="43" fontId="64" fillId="0" borderId="6" xfId="65" applyFont="1" applyFill="1" applyBorder="1" applyAlignment="1" applyProtection="1">
      <alignment horizontal="center" vertical="top"/>
      <protection locked="0"/>
    </xf>
    <xf numFmtId="0" fontId="64" fillId="0" borderId="46" xfId="0" applyFont="1" applyBorder="1" applyAlignment="1">
      <alignment horizontal="left" vertical="top" wrapText="1"/>
    </xf>
    <xf numFmtId="188" fontId="64" fillId="0" borderId="46" xfId="84" applyFont="1" applyFill="1" applyBorder="1" applyAlignment="1">
      <alignment horizontal="center" vertical="top"/>
    </xf>
    <xf numFmtId="49" fontId="64" fillId="0" borderId="46" xfId="84" applyNumberFormat="1" applyFont="1" applyFill="1" applyBorder="1" applyAlignment="1">
      <alignment horizontal="center" vertical="top"/>
    </xf>
    <xf numFmtId="43" fontId="64" fillId="0" borderId="47" xfId="70" applyFont="1" applyFill="1" applyBorder="1" applyAlignment="1">
      <alignment horizontal="center" vertical="top"/>
    </xf>
    <xf numFmtId="0" fontId="64" fillId="0" borderId="6" xfId="87" applyFont="1" applyBorder="1" applyAlignment="1" applyProtection="1">
      <alignment horizontal="left" vertical="top"/>
      <protection locked="0"/>
    </xf>
    <xf numFmtId="43" fontId="64" fillId="0" borderId="17" xfId="70" applyFont="1" applyFill="1" applyBorder="1" applyAlignment="1" applyProtection="1">
      <alignment vertical="top"/>
      <protection locked="0"/>
    </xf>
    <xf numFmtId="0" fontId="64" fillId="0" borderId="18" xfId="87" applyFont="1" applyBorder="1" applyAlignment="1">
      <alignment horizontal="left" vertical="top"/>
    </xf>
    <xf numFmtId="43" fontId="64" fillId="0" borderId="16" xfId="70" applyFont="1" applyFill="1" applyBorder="1" applyAlignment="1" applyProtection="1">
      <alignment vertical="top"/>
      <protection locked="0"/>
    </xf>
    <xf numFmtId="0" fontId="64" fillId="0" borderId="18" xfId="88" applyFont="1" applyBorder="1" applyAlignment="1">
      <alignment horizontal="left" vertical="top"/>
    </xf>
    <xf numFmtId="0" fontId="64" fillId="0" borderId="6" xfId="87" applyFont="1" applyBorder="1" applyAlignment="1">
      <alignment vertical="top"/>
    </xf>
    <xf numFmtId="0" fontId="64" fillId="0" borderId="18" xfId="87" applyFont="1" applyBorder="1" applyAlignment="1">
      <alignment horizontal="left" vertical="top" wrapText="1"/>
    </xf>
    <xf numFmtId="0" fontId="64" fillId="0" borderId="6" xfId="88" applyFont="1" applyBorder="1" applyAlignment="1">
      <alignment horizontal="left" vertical="top"/>
    </xf>
    <xf numFmtId="43" fontId="64" fillId="0" borderId="6" xfId="65" applyFont="1" applyBorder="1" applyAlignment="1">
      <alignment horizontal="center" vertical="top"/>
    </xf>
    <xf numFmtId="43" fontId="64" fillId="6" borderId="17" xfId="70" applyFont="1" applyFill="1" applyBorder="1" applyAlignment="1">
      <alignment vertical="top"/>
    </xf>
    <xf numFmtId="0" fontId="64" fillId="0" borderId="5" xfId="88" applyFont="1" applyBorder="1" applyAlignment="1">
      <alignment horizontal="left" vertical="top"/>
    </xf>
    <xf numFmtId="0" fontId="58" fillId="0" borderId="5" xfId="0" applyFont="1" applyBorder="1" applyAlignment="1">
      <alignment vertical="top" wrapText="1"/>
    </xf>
    <xf numFmtId="43" fontId="56" fillId="20" borderId="6" xfId="70" applyFont="1" applyFill="1" applyBorder="1" applyAlignment="1">
      <alignment horizontal="center" vertical="center"/>
    </xf>
    <xf numFmtId="188" fontId="64" fillId="0" borderId="6" xfId="84" applyFont="1" applyBorder="1" applyAlignment="1">
      <alignment horizontal="center" vertical="top"/>
    </xf>
    <xf numFmtId="43" fontId="67" fillId="0" borderId="0" xfId="70" applyFont="1" applyAlignment="1">
      <alignment horizontal="left" vertical="center"/>
    </xf>
    <xf numFmtId="43" fontId="64" fillId="0" borderId="6" xfId="76" applyFont="1" applyFill="1" applyBorder="1" applyAlignment="1">
      <alignment horizontal="center" vertical="top"/>
    </xf>
    <xf numFmtId="0" fontId="58" fillId="0" borderId="52" xfId="0" applyFont="1" applyBorder="1" applyAlignment="1">
      <alignment horizontal="center" vertical="top"/>
    </xf>
    <xf numFmtId="43" fontId="58" fillId="0" borderId="21" xfId="65" applyFont="1" applyFill="1" applyBorder="1" applyAlignment="1">
      <alignment horizontal="center" vertical="top"/>
    </xf>
    <xf numFmtId="0" fontId="58" fillId="0" borderId="56" xfId="0" applyFont="1" applyBorder="1" applyAlignment="1">
      <alignment horizontal="center" vertical="top"/>
    </xf>
    <xf numFmtId="43" fontId="58" fillId="0" borderId="51" xfId="70" applyFont="1" applyFill="1" applyBorder="1" applyAlignment="1">
      <alignment vertical="top"/>
    </xf>
    <xf numFmtId="43" fontId="58" fillId="0" borderId="21" xfId="70" applyFont="1" applyFill="1" applyBorder="1" applyAlignment="1">
      <alignment vertical="top"/>
    </xf>
    <xf numFmtId="0" fontId="58" fillId="0" borderId="0" xfId="0" applyFont="1" applyAlignment="1">
      <alignment horizontal="center" vertical="top"/>
    </xf>
    <xf numFmtId="43" fontId="58" fillId="0" borderId="30" xfId="65" applyFont="1" applyFill="1" applyBorder="1" applyAlignment="1">
      <alignment horizontal="center" vertical="top"/>
    </xf>
    <xf numFmtId="0" fontId="58" fillId="0" borderId="34" xfId="0" applyFont="1" applyBorder="1" applyAlignment="1">
      <alignment horizontal="center" vertical="top"/>
    </xf>
    <xf numFmtId="43" fontId="58" fillId="0" borderId="48" xfId="70" applyFont="1" applyFill="1" applyBorder="1" applyAlignment="1">
      <alignment vertical="top"/>
    </xf>
    <xf numFmtId="43" fontId="58" fillId="0" borderId="30" xfId="70" applyFont="1" applyFill="1" applyBorder="1" applyAlignment="1">
      <alignment vertical="top"/>
    </xf>
    <xf numFmtId="43" fontId="58" fillId="0" borderId="0" xfId="70" applyFont="1" applyFill="1" applyBorder="1" applyAlignment="1">
      <alignment vertical="top"/>
    </xf>
    <xf numFmtId="2" fontId="66" fillId="0" borderId="6" xfId="0" applyNumberFormat="1" applyFont="1" applyBorder="1" applyAlignment="1">
      <alignment vertical="top" wrapText="1"/>
    </xf>
    <xf numFmtId="188" fontId="58" fillId="0" borderId="6" xfId="84" applyFont="1" applyFill="1" applyBorder="1" applyAlignment="1">
      <alignment vertical="top"/>
    </xf>
    <xf numFmtId="2" fontId="64" fillId="0" borderId="17" xfId="0" applyNumberFormat="1" applyFont="1" applyBorder="1" applyAlignment="1">
      <alignment vertical="top" wrapText="1"/>
    </xf>
    <xf numFmtId="188" fontId="64" fillId="0" borderId="5" xfId="84" applyFont="1" applyFill="1" applyBorder="1" applyAlignment="1">
      <alignment vertical="top"/>
    </xf>
    <xf numFmtId="0" fontId="56" fillId="0" borderId="6" xfId="71" applyFont="1" applyBorder="1" applyAlignment="1">
      <alignment horizontal="center" vertical="center"/>
    </xf>
    <xf numFmtId="0" fontId="64" fillId="0" borderId="16" xfId="0" applyFont="1" applyBorder="1"/>
    <xf numFmtId="0" fontId="64" fillId="0" borderId="8" xfId="89" applyFont="1" applyBorder="1" applyAlignment="1">
      <alignment horizontal="left"/>
    </xf>
    <xf numFmtId="0" fontId="64" fillId="0" borderId="6" xfId="90" applyFont="1" applyBorder="1" applyAlignment="1">
      <alignment horizontal="left" vertical="center" wrapText="1"/>
    </xf>
    <xf numFmtId="43" fontId="64" fillId="0" borderId="5" xfId="91" applyNumberFormat="1" applyFont="1" applyFill="1" applyBorder="1" applyAlignment="1">
      <alignment horizontal="center" vertical="center"/>
    </xf>
    <xf numFmtId="43" fontId="64" fillId="0" borderId="6" xfId="91" applyNumberFormat="1" applyFont="1" applyFill="1" applyBorder="1" applyAlignment="1">
      <alignment horizontal="center" vertical="center"/>
    </xf>
    <xf numFmtId="43" fontId="64" fillId="0" borderId="16" xfId="91" applyNumberFormat="1" applyFont="1" applyFill="1" applyBorder="1" applyAlignment="1">
      <alignment horizontal="center" vertical="center"/>
    </xf>
    <xf numFmtId="43" fontId="64" fillId="0" borderId="16" xfId="91" applyNumberFormat="1" applyFont="1" applyBorder="1" applyAlignment="1">
      <alignment horizontal="center" vertical="center"/>
    </xf>
    <xf numFmtId="43" fontId="64" fillId="0" borderId="17" xfId="91" applyNumberFormat="1" applyFont="1" applyBorder="1" applyAlignment="1">
      <alignment horizontal="center" vertical="center"/>
    </xf>
    <xf numFmtId="0" fontId="64" fillId="0" borderId="16" xfId="92" quotePrefix="1" applyFont="1" applyBorder="1" applyAlignment="1">
      <alignment vertical="center"/>
    </xf>
    <xf numFmtId="188" fontId="64" fillId="0" borderId="5" xfId="93" applyFont="1" applyFill="1" applyBorder="1" applyAlignment="1">
      <alignment horizontal="right" vertical="center"/>
    </xf>
    <xf numFmtId="188" fontId="64" fillId="0" borderId="16" xfId="93" applyFont="1" applyFill="1" applyBorder="1" applyAlignment="1">
      <alignment horizontal="right" vertical="center"/>
    </xf>
    <xf numFmtId="188" fontId="64" fillId="0" borderId="16" xfId="93" applyFont="1" applyBorder="1" applyAlignment="1">
      <alignment horizontal="right" vertical="center"/>
    </xf>
    <xf numFmtId="188" fontId="64" fillId="0" borderId="5" xfId="91" applyFont="1" applyFill="1" applyBorder="1" applyAlignment="1">
      <alignment horizontal="center" vertical="center"/>
    </xf>
    <xf numFmtId="188" fontId="64" fillId="0" borderId="6" xfId="91" applyFont="1" applyFill="1" applyBorder="1" applyAlignment="1">
      <alignment horizontal="center" vertical="center"/>
    </xf>
    <xf numFmtId="188" fontId="64" fillId="0" borderId="16" xfId="91" applyFont="1" applyFill="1" applyBorder="1" applyAlignment="1">
      <alignment horizontal="center" vertical="center"/>
    </xf>
    <xf numFmtId="0" fontId="64" fillId="0" borderId="6" xfId="90" applyFont="1" applyBorder="1" applyAlignment="1">
      <alignment vertical="center"/>
    </xf>
    <xf numFmtId="0" fontId="64" fillId="0" borderId="17" xfId="90" applyFont="1" applyBorder="1" applyAlignment="1">
      <alignment horizontal="left" vertical="center" wrapText="1"/>
    </xf>
    <xf numFmtId="188" fontId="64" fillId="0" borderId="6" xfId="94" applyNumberFormat="1" applyFont="1" applyFill="1" applyBorder="1" applyAlignment="1">
      <alignment horizontal="center"/>
    </xf>
    <xf numFmtId="0" fontId="64" fillId="0" borderId="11" xfId="95" applyFont="1" applyBorder="1" applyAlignment="1">
      <alignment horizontal="center"/>
    </xf>
    <xf numFmtId="188" fontId="64" fillId="0" borderId="17" xfId="96" applyFont="1" applyFill="1" applyBorder="1" applyAlignment="1">
      <alignment horizontal="center"/>
    </xf>
    <xf numFmtId="188" fontId="64" fillId="0" borderId="11" xfId="95" applyNumberFormat="1" applyFont="1" applyBorder="1" applyAlignment="1">
      <alignment horizontal="center"/>
    </xf>
    <xf numFmtId="188" fontId="64" fillId="0" borderId="17" xfId="93" applyFont="1" applyFill="1" applyBorder="1" applyAlignment="1">
      <alignment horizontal="center"/>
    </xf>
    <xf numFmtId="188" fontId="64" fillId="0" borderId="5" xfId="93" applyFont="1" applyFill="1" applyBorder="1"/>
    <xf numFmtId="0" fontId="64" fillId="0" borderId="17" xfId="92" applyFont="1" applyBorder="1" applyAlignment="1">
      <alignment horizontal="left" vertical="center"/>
    </xf>
    <xf numFmtId="188" fontId="64" fillId="0" borderId="6" xfId="97" applyFont="1" applyFill="1" applyBorder="1" applyAlignment="1">
      <alignment horizontal="center"/>
    </xf>
    <xf numFmtId="188" fontId="64" fillId="0" borderId="6" xfId="98" applyNumberFormat="1" applyFont="1" applyBorder="1" applyAlignment="1">
      <alignment horizontal="center"/>
    </xf>
    <xf numFmtId="188" fontId="64" fillId="0" borderId="17" xfId="99" applyFont="1" applyFill="1" applyBorder="1" applyAlignment="1">
      <alignment horizontal="center"/>
    </xf>
    <xf numFmtId="0" fontId="64" fillId="0" borderId="16" xfId="90" applyFont="1" applyBorder="1" applyAlignment="1">
      <alignment horizontal="left" vertical="center" wrapText="1"/>
    </xf>
    <xf numFmtId="0" fontId="64" fillId="0" borderId="6" xfId="100" applyFont="1" applyBorder="1" applyAlignment="1">
      <alignment horizontal="left" vertical="center"/>
    </xf>
    <xf numFmtId="188" fontId="64" fillId="0" borderId="16" xfId="97" applyFont="1" applyFill="1" applyBorder="1" applyAlignment="1">
      <alignment horizontal="right" vertical="center"/>
    </xf>
    <xf numFmtId="188" fontId="64" fillId="0" borderId="17" xfId="97" applyFont="1" applyFill="1" applyBorder="1" applyAlignment="1">
      <alignment horizontal="right" vertical="center"/>
    </xf>
    <xf numFmtId="0" fontId="64" fillId="0" borderId="5" xfId="90" applyFont="1" applyBorder="1" applyAlignment="1">
      <alignment horizontal="left" vertical="center" wrapText="1"/>
    </xf>
    <xf numFmtId="0" fontId="64" fillId="0" borderId="17" xfId="92" quotePrefix="1" applyFont="1" applyBorder="1" applyAlignment="1">
      <alignment vertical="center"/>
    </xf>
    <xf numFmtId="188" fontId="64" fillId="0" borderId="5" xfId="93" applyFont="1" applyFill="1" applyBorder="1" applyAlignment="1">
      <alignment horizontal="center"/>
    </xf>
    <xf numFmtId="188" fontId="64" fillId="0" borderId="15" xfId="93" applyFont="1" applyFill="1" applyBorder="1" applyAlignment="1">
      <alignment horizontal="center"/>
    </xf>
    <xf numFmtId="188" fontId="64" fillId="0" borderId="5" xfId="93" applyFont="1" applyFill="1" applyBorder="1" applyAlignment="1">
      <alignment horizontal="center" vertical="center"/>
    </xf>
    <xf numFmtId="188" fontId="64" fillId="0" borderId="8" xfId="93" applyFont="1" applyBorder="1" applyAlignment="1">
      <alignment horizontal="right" vertical="center"/>
    </xf>
    <xf numFmtId="49" fontId="64" fillId="0" borderId="46" xfId="84" applyNumberFormat="1" applyFont="1" applyBorder="1" applyAlignment="1">
      <alignment horizontal="center" vertical="top"/>
    </xf>
    <xf numFmtId="188" fontId="64" fillId="0" borderId="53" xfId="84" applyFont="1" applyBorder="1" applyAlignment="1">
      <alignment horizontal="center" vertical="top"/>
    </xf>
    <xf numFmtId="2" fontId="58" fillId="0" borderId="21" xfId="0" applyNumberFormat="1" applyFont="1" applyBorder="1" applyAlignment="1">
      <alignment horizontal="center" vertical="top" wrapText="1"/>
    </xf>
    <xf numFmtId="0" fontId="56" fillId="0" borderId="5" xfId="70" applyNumberFormat="1" applyFont="1" applyFill="1" applyBorder="1" applyAlignment="1">
      <alignment horizontal="center" vertical="center"/>
    </xf>
    <xf numFmtId="43" fontId="56" fillId="0" borderId="5" xfId="70" applyFont="1" applyFill="1" applyBorder="1" applyAlignment="1">
      <alignment horizontal="left" vertical="center"/>
    </xf>
    <xf numFmtId="43" fontId="56" fillId="0" borderId="48" xfId="70" applyFont="1" applyBorder="1" applyAlignment="1">
      <alignment horizontal="right" vertical="center"/>
    </xf>
    <xf numFmtId="43" fontId="56" fillId="0" borderId="5" xfId="70" applyFont="1" applyFill="1" applyBorder="1" applyAlignment="1">
      <alignment horizontal="right" vertical="center"/>
    </xf>
    <xf numFmtId="43" fontId="56" fillId="0" borderId="16" xfId="70" applyFont="1" applyBorder="1" applyAlignment="1">
      <alignment horizontal="right" vertical="center"/>
    </xf>
    <xf numFmtId="43" fontId="56" fillId="0" borderId="5" xfId="70" applyFont="1" applyBorder="1" applyAlignment="1">
      <alignment horizontal="right" vertical="center"/>
    </xf>
    <xf numFmtId="43" fontId="56" fillId="0" borderId="8" xfId="70" applyFont="1" applyFill="1" applyBorder="1" applyAlignment="1">
      <alignment horizontal="right" vertical="center"/>
    </xf>
    <xf numFmtId="43" fontId="56" fillId="0" borderId="55" xfId="70" applyFont="1" applyBorder="1" applyAlignment="1">
      <alignment vertical="center"/>
    </xf>
    <xf numFmtId="2" fontId="58" fillId="0" borderId="6" xfId="0" applyNumberFormat="1" applyFont="1" applyBorder="1" applyAlignment="1">
      <alignment vertical="top" wrapText="1"/>
    </xf>
    <xf numFmtId="2" fontId="64" fillId="0" borderId="6" xfId="0" applyNumberFormat="1" applyFont="1" applyBorder="1" applyAlignment="1">
      <alignment vertical="top" wrapText="1"/>
    </xf>
    <xf numFmtId="188" fontId="64" fillId="0" borderId="6" xfId="98" applyNumberFormat="1" applyFont="1" applyBorder="1" applyAlignment="1">
      <alignment horizontal="center" vertical="top"/>
    </xf>
    <xf numFmtId="204" fontId="64" fillId="0" borderId="6" xfId="91" applyNumberFormat="1" applyFont="1" applyFill="1" applyBorder="1" applyAlignment="1">
      <alignment horizontal="center" vertical="top"/>
    </xf>
    <xf numFmtId="0" fontId="58" fillId="0" borderId="6" xfId="90" applyFont="1" applyBorder="1" applyAlignment="1">
      <alignment horizontal="center" vertical="center"/>
    </xf>
    <xf numFmtId="0" fontId="58" fillId="0" borderId="6" xfId="90" applyFont="1" applyBorder="1" applyAlignment="1">
      <alignment vertical="center"/>
    </xf>
    <xf numFmtId="0" fontId="64" fillId="0" borderId="6" xfId="90" applyFont="1" applyBorder="1" applyAlignment="1">
      <alignment horizontal="center" vertical="top"/>
    </xf>
    <xf numFmtId="0" fontId="58" fillId="0" borderId="6" xfId="90" quotePrefix="1" applyFont="1" applyBorder="1" applyAlignment="1">
      <alignment horizontal="left" vertical="top" wrapText="1"/>
    </xf>
    <xf numFmtId="0" fontId="64" fillId="0" borderId="6" xfId="90" quotePrefix="1" applyFont="1" applyBorder="1" applyAlignment="1">
      <alignment horizontal="left" vertical="top" wrapText="1"/>
    </xf>
    <xf numFmtId="43" fontId="64" fillId="0" borderId="5" xfId="70" applyFont="1" applyBorder="1" applyAlignment="1">
      <alignment vertical="center"/>
    </xf>
    <xf numFmtId="0" fontId="58" fillId="0" borderId="6" xfId="90" applyFont="1" applyBorder="1" applyAlignment="1">
      <alignment horizontal="left" vertical="top"/>
    </xf>
    <xf numFmtId="188" fontId="58" fillId="0" borderId="6" xfId="93" applyFont="1" applyFill="1" applyBorder="1" applyAlignment="1">
      <alignment horizontal="center" vertical="top"/>
    </xf>
    <xf numFmtId="204" fontId="58" fillId="0" borderId="6" xfId="91" applyNumberFormat="1" applyFont="1" applyFill="1" applyBorder="1" applyAlignment="1">
      <alignment horizontal="center" vertical="top"/>
    </xf>
    <xf numFmtId="43" fontId="58" fillId="0" borderId="17" xfId="70" applyFont="1" applyFill="1" applyBorder="1" applyAlignment="1">
      <alignment horizontal="center" vertical="top"/>
    </xf>
    <xf numFmtId="43" fontId="58" fillId="0" borderId="6" xfId="70" applyFont="1" applyFill="1" applyBorder="1" applyAlignment="1">
      <alignment horizontal="center" vertical="top"/>
    </xf>
    <xf numFmtId="188" fontId="58" fillId="0" borderId="11" xfId="91" applyFont="1" applyFill="1" applyBorder="1" applyAlignment="1">
      <alignment horizontal="center" vertical="top"/>
    </xf>
    <xf numFmtId="0" fontId="64" fillId="0" borderId="6" xfId="90" applyFont="1" applyBorder="1" applyAlignment="1">
      <alignment horizontal="left" vertical="top"/>
    </xf>
    <xf numFmtId="188" fontId="64" fillId="0" borderId="6" xfId="93" applyFont="1" applyFill="1" applyBorder="1" applyAlignment="1">
      <alignment horizontal="center" vertical="top"/>
    </xf>
    <xf numFmtId="0" fontId="64" fillId="0" borderId="6" xfId="90" quotePrefix="1" applyFont="1" applyBorder="1" applyAlignment="1">
      <alignment horizontal="left" vertical="top"/>
    </xf>
    <xf numFmtId="0" fontId="58" fillId="0" borderId="6" xfId="90" applyFont="1" applyBorder="1" applyAlignment="1">
      <alignment horizontal="center" vertical="top"/>
    </xf>
    <xf numFmtId="0" fontId="58" fillId="0" borderId="6" xfId="90" applyFont="1" applyBorder="1" applyAlignment="1">
      <alignment horizontal="left" vertical="center"/>
    </xf>
    <xf numFmtId="0" fontId="58" fillId="0" borderId="6" xfId="90" applyFont="1" applyBorder="1" applyAlignment="1">
      <alignment horizontal="left" vertical="center" wrapText="1"/>
    </xf>
    <xf numFmtId="188" fontId="58" fillId="0" borderId="6" xfId="98" applyNumberFormat="1" applyFont="1" applyBorder="1" applyAlignment="1">
      <alignment horizontal="center" vertical="top"/>
    </xf>
    <xf numFmtId="43" fontId="58" fillId="0" borderId="17" xfId="70" applyFont="1" applyFill="1" applyBorder="1" applyAlignment="1">
      <alignment vertical="top"/>
    </xf>
    <xf numFmtId="0" fontId="68" fillId="0" borderId="6" xfId="70" applyNumberFormat="1" applyFont="1" applyFill="1" applyBorder="1" applyAlignment="1">
      <alignment horizontal="center" vertical="center"/>
    </xf>
    <xf numFmtId="43" fontId="68" fillId="20" borderId="6" xfId="70" applyFont="1" applyFill="1" applyBorder="1" applyAlignment="1">
      <alignment horizontal="left" vertical="center"/>
    </xf>
    <xf numFmtId="43" fontId="68" fillId="0" borderId="5" xfId="70" applyFont="1" applyFill="1" applyBorder="1" applyAlignment="1">
      <alignment horizontal="center" vertical="center"/>
    </xf>
    <xf numFmtId="43" fontId="68" fillId="0" borderId="5" xfId="70" applyFont="1" applyBorder="1" applyAlignment="1">
      <alignment horizontal="center" vertical="center"/>
    </xf>
    <xf numFmtId="43" fontId="68" fillId="0" borderId="5" xfId="70" applyFont="1" applyBorder="1" applyAlignment="1">
      <alignment horizontal="right" vertical="center"/>
    </xf>
    <xf numFmtId="43" fontId="68" fillId="0" borderId="5" xfId="70" applyFont="1" applyFill="1" applyBorder="1" applyAlignment="1">
      <alignment horizontal="right" vertical="center"/>
    </xf>
    <xf numFmtId="43" fontId="68" fillId="0" borderId="6" xfId="70" applyFont="1" applyBorder="1" applyAlignment="1">
      <alignment horizontal="right" vertical="center"/>
    </xf>
    <xf numFmtId="43" fontId="68" fillId="0" borderId="0" xfId="70" applyFont="1" applyAlignment="1">
      <alignment horizontal="left" vertical="center"/>
    </xf>
    <xf numFmtId="43" fontId="68" fillId="0" borderId="0" xfId="70" applyFont="1" applyAlignment="1">
      <alignment vertical="center"/>
    </xf>
    <xf numFmtId="4" fontId="64" fillId="0" borderId="17" xfId="91" applyNumberFormat="1" applyFont="1" applyFill="1" applyBorder="1" applyAlignment="1">
      <alignment vertical="top"/>
    </xf>
    <xf numFmtId="4" fontId="64" fillId="0" borderId="6" xfId="91" applyNumberFormat="1" applyFont="1" applyFill="1" applyBorder="1" applyAlignment="1">
      <alignment vertical="top"/>
    </xf>
    <xf numFmtId="4" fontId="64" fillId="0" borderId="11" xfId="91" applyNumberFormat="1" applyFont="1" applyFill="1" applyBorder="1" applyAlignment="1">
      <alignment vertical="top"/>
    </xf>
    <xf numFmtId="0" fontId="58" fillId="0" borderId="6" xfId="70" applyNumberFormat="1" applyFont="1" applyBorder="1" applyAlignment="1">
      <alignment horizontal="center" vertical="center"/>
    </xf>
    <xf numFmtId="43" fontId="58" fillId="0" borderId="5" xfId="70" applyFont="1" applyBorder="1" applyAlignment="1">
      <alignment vertical="center"/>
    </xf>
    <xf numFmtId="43" fontId="64" fillId="0" borderId="5" xfId="70" applyFont="1" applyBorder="1" applyAlignment="1">
      <alignment horizontal="center" vertical="center"/>
    </xf>
    <xf numFmtId="43" fontId="64" fillId="0" borderId="6" xfId="70" applyFont="1" applyBorder="1" applyAlignment="1">
      <alignment vertical="center"/>
    </xf>
    <xf numFmtId="0" fontId="64" fillId="0" borderId="6" xfId="70" applyNumberFormat="1" applyFont="1" applyBorder="1" applyAlignment="1">
      <alignment horizontal="center" vertical="center"/>
    </xf>
    <xf numFmtId="43" fontId="64" fillId="0" borderId="46" xfId="70" applyFont="1" applyBorder="1" applyAlignment="1">
      <alignment horizontal="center" vertical="center"/>
    </xf>
    <xf numFmtId="43" fontId="64" fillId="0" borderId="46" xfId="70" applyFont="1" applyBorder="1" applyAlignment="1">
      <alignment vertical="center"/>
    </xf>
    <xf numFmtId="43" fontId="64" fillId="0" borderId="6" xfId="70" applyFont="1" applyBorder="1" applyAlignment="1">
      <alignment horizontal="center" vertical="center"/>
    </xf>
    <xf numFmtId="0" fontId="64" fillId="0" borderId="5" xfId="70" applyNumberFormat="1" applyFont="1" applyBorder="1" applyAlignment="1">
      <alignment horizontal="center" vertical="center"/>
    </xf>
    <xf numFmtId="0" fontId="64" fillId="0" borderId="5" xfId="90" applyFont="1" applyBorder="1" applyAlignment="1">
      <alignment horizontal="center" vertical="top"/>
    </xf>
    <xf numFmtId="0" fontId="58" fillId="0" borderId="8" xfId="92" quotePrefix="1" applyFont="1" applyBorder="1" applyAlignment="1">
      <alignment vertical="top"/>
    </xf>
    <xf numFmtId="188" fontId="64" fillId="0" borderId="5" xfId="93" applyFont="1" applyFill="1" applyBorder="1" applyAlignment="1">
      <alignment horizontal="right" vertical="top"/>
    </xf>
    <xf numFmtId="188" fontId="64" fillId="0" borderId="15" xfId="93" applyFont="1" applyFill="1" applyBorder="1" applyAlignment="1">
      <alignment horizontal="center" vertical="top"/>
    </xf>
    <xf numFmtId="43" fontId="64" fillId="0" borderId="16" xfId="70" applyFont="1" applyFill="1" applyBorder="1" applyAlignment="1">
      <alignment horizontal="right" vertical="top"/>
    </xf>
    <xf numFmtId="0" fontId="64" fillId="0" borderId="8" xfId="92" quotePrefix="1" applyFont="1" applyBorder="1" applyAlignment="1">
      <alignment vertical="top"/>
    </xf>
    <xf numFmtId="187" fontId="58" fillId="0" borderId="6" xfId="85" applyNumberFormat="1" applyFont="1" applyBorder="1" applyAlignment="1">
      <alignment vertical="top" wrapText="1"/>
    </xf>
    <xf numFmtId="43" fontId="58" fillId="0" borderId="17" xfId="70" applyFont="1" applyBorder="1" applyAlignment="1">
      <alignment vertical="top"/>
    </xf>
    <xf numFmtId="43" fontId="64" fillId="0" borderId="17" xfId="70" applyFont="1" applyBorder="1" applyAlignment="1">
      <alignment vertical="top"/>
    </xf>
    <xf numFmtId="0" fontId="64" fillId="0" borderId="6" xfId="70" applyNumberFormat="1" applyFont="1" applyFill="1" applyBorder="1" applyAlignment="1">
      <alignment horizontal="center" vertical="center"/>
    </xf>
    <xf numFmtId="43" fontId="64" fillId="0" borderId="6" xfId="70" applyFont="1" applyFill="1" applyBorder="1" applyAlignment="1">
      <alignment horizontal="left" vertical="center"/>
    </xf>
    <xf numFmtId="43" fontId="64" fillId="0" borderId="6" xfId="70" applyFont="1" applyFill="1" applyBorder="1" applyAlignment="1">
      <alignment horizontal="right" vertical="center"/>
    </xf>
    <xf numFmtId="43" fontId="64" fillId="0" borderId="5" xfId="70" applyFont="1" applyFill="1" applyBorder="1" applyAlignment="1">
      <alignment horizontal="right" vertical="center"/>
    </xf>
    <xf numFmtId="43" fontId="64" fillId="0" borderId="6" xfId="70" applyFont="1" applyBorder="1" applyAlignment="1">
      <alignment horizontal="right" vertical="center"/>
    </xf>
    <xf numFmtId="187" fontId="64" fillId="0" borderId="6" xfId="101" quotePrefix="1" applyNumberFormat="1" applyFont="1" applyBorder="1" applyAlignment="1">
      <alignment vertical="top" wrapText="1"/>
    </xf>
    <xf numFmtId="187" fontId="58" fillId="0" borderId="6" xfId="85" applyNumberFormat="1" applyFont="1" applyBorder="1" applyAlignment="1">
      <alignment vertical="center" wrapText="1"/>
    </xf>
    <xf numFmtId="0" fontId="58" fillId="0" borderId="17" xfId="85" applyFont="1" applyBorder="1"/>
    <xf numFmtId="188" fontId="58" fillId="0" borderId="6" xfId="85" applyNumberFormat="1" applyFont="1" applyBorder="1"/>
    <xf numFmtId="188" fontId="58" fillId="0" borderId="17" xfId="85" applyNumberFormat="1" applyFont="1" applyBorder="1"/>
    <xf numFmtId="188" fontId="58" fillId="0" borderId="11" xfId="85" applyNumberFormat="1" applyFont="1" applyBorder="1"/>
    <xf numFmtId="187" fontId="64" fillId="0" borderId="6" xfId="101" quotePrefix="1" applyNumberFormat="1" applyFont="1" applyBorder="1" applyAlignment="1">
      <alignment vertical="center" wrapText="1"/>
    </xf>
    <xf numFmtId="0" fontId="64" fillId="0" borderId="6" xfId="90" applyFont="1" applyBorder="1" applyAlignment="1">
      <alignment horizontal="center" vertical="center"/>
    </xf>
    <xf numFmtId="4" fontId="64" fillId="0" borderId="17" xfId="91" applyNumberFormat="1" applyFont="1" applyFill="1" applyBorder="1" applyAlignment="1">
      <alignment vertical="center"/>
    </xf>
    <xf numFmtId="4" fontId="64" fillId="0" borderId="6" xfId="91" applyNumberFormat="1" applyFont="1" applyFill="1" applyBorder="1" applyAlignment="1">
      <alignment vertical="center"/>
    </xf>
    <xf numFmtId="4" fontId="64" fillId="0" borderId="17" xfId="101" applyNumberFormat="1" applyFont="1" applyBorder="1"/>
    <xf numFmtId="4" fontId="64" fillId="0" borderId="11" xfId="91" applyNumberFormat="1" applyFont="1" applyFill="1" applyBorder="1" applyAlignment="1">
      <alignment vertical="center"/>
    </xf>
    <xf numFmtId="43" fontId="64" fillId="0" borderId="6" xfId="70" applyFont="1" applyFill="1" applyBorder="1" applyAlignment="1">
      <alignment horizontal="center"/>
    </xf>
    <xf numFmtId="204" fontId="64" fillId="0" borderId="6" xfId="91" applyNumberFormat="1" applyFont="1" applyFill="1" applyBorder="1" applyAlignment="1">
      <alignment horizontal="center" vertical="center"/>
    </xf>
    <xf numFmtId="0" fontId="64" fillId="0" borderId="6" xfId="90" quotePrefix="1" applyFont="1" applyBorder="1" applyAlignment="1">
      <alignment horizontal="left" vertical="center" wrapText="1"/>
    </xf>
    <xf numFmtId="43" fontId="64" fillId="20" borderId="6" xfId="70" applyFont="1" applyFill="1" applyBorder="1" applyAlignment="1">
      <alignment vertical="top"/>
    </xf>
    <xf numFmtId="4" fontId="64" fillId="20" borderId="11" xfId="91" applyNumberFormat="1" applyFont="1" applyFill="1" applyBorder="1" applyAlignment="1">
      <alignment vertical="top"/>
    </xf>
    <xf numFmtId="0" fontId="58" fillId="0" borderId="5" xfId="70" applyNumberFormat="1" applyFont="1" applyFill="1" applyBorder="1" applyAlignment="1">
      <alignment horizontal="center" vertical="center"/>
    </xf>
    <xf numFmtId="43" fontId="58" fillId="20" borderId="46" xfId="70" applyFont="1" applyFill="1" applyBorder="1" applyAlignment="1">
      <alignment horizontal="left" vertical="center"/>
    </xf>
    <xf numFmtId="43" fontId="64" fillId="0" borderId="46" xfId="70" applyFont="1" applyBorder="1" applyAlignment="1">
      <alignment horizontal="right" vertical="center"/>
    </xf>
    <xf numFmtId="43" fontId="56" fillId="0" borderId="6" xfId="70" applyFont="1" applyFill="1" applyBorder="1" applyAlignment="1">
      <alignment horizontal="left" vertical="center"/>
    </xf>
    <xf numFmtId="43" fontId="58" fillId="0" borderId="6" xfId="70" applyFont="1" applyFill="1" applyBorder="1" applyAlignment="1">
      <alignment horizontal="left" vertical="center"/>
    </xf>
    <xf numFmtId="43" fontId="64" fillId="0" borderId="6" xfId="70" applyFont="1" applyFill="1" applyBorder="1" applyAlignment="1">
      <alignment horizontal="left" vertical="center" wrapText="1"/>
    </xf>
    <xf numFmtId="0" fontId="64" fillId="0" borderId="6" xfId="70" applyNumberFormat="1" applyFont="1" applyFill="1" applyBorder="1" applyAlignment="1">
      <alignment horizontal="center" vertical="center" wrapText="1"/>
    </xf>
    <xf numFmtId="43" fontId="64" fillId="0" borderId="6" xfId="70" applyFont="1" applyFill="1" applyBorder="1" applyAlignment="1">
      <alignment horizontal="center" vertical="center" wrapText="1"/>
    </xf>
    <xf numFmtId="43" fontId="64" fillId="0" borderId="6" xfId="70" applyFont="1" applyBorder="1" applyAlignment="1">
      <alignment horizontal="center" vertical="center" wrapText="1"/>
    </xf>
    <xf numFmtId="43" fontId="64" fillId="0" borderId="46" xfId="70" applyFont="1" applyBorder="1" applyAlignment="1">
      <alignment horizontal="right" vertical="center" wrapText="1"/>
    </xf>
    <xf numFmtId="43" fontId="64" fillId="0" borderId="5" xfId="70" applyFont="1" applyFill="1" applyBorder="1" applyAlignment="1">
      <alignment horizontal="right" vertical="center" wrapText="1"/>
    </xf>
    <xf numFmtId="43" fontId="64" fillId="0" borderId="6" xfId="70" applyFont="1" applyBorder="1" applyAlignment="1">
      <alignment horizontal="right" vertical="center" wrapText="1"/>
    </xf>
    <xf numFmtId="43" fontId="64" fillId="0" borderId="0" xfId="70" applyFont="1" applyAlignment="1">
      <alignment horizontal="left" vertical="center" wrapText="1"/>
    </xf>
    <xf numFmtId="43" fontId="64" fillId="0" borderId="0" xfId="70" applyFont="1" applyAlignment="1">
      <alignment vertical="center" wrapText="1"/>
    </xf>
    <xf numFmtId="43" fontId="64" fillId="0" borderId="5" xfId="70" applyFont="1" applyFill="1" applyBorder="1" applyAlignment="1">
      <alignment horizontal="center" vertical="center" wrapText="1"/>
    </xf>
    <xf numFmtId="43" fontId="64" fillId="20" borderId="46" xfId="70" applyFont="1" applyFill="1" applyBorder="1" applyAlignment="1">
      <alignment horizontal="left" vertical="center"/>
    </xf>
    <xf numFmtId="43" fontId="64" fillId="20" borderId="46" xfId="70" applyFont="1" applyFill="1" applyBorder="1" applyAlignment="1">
      <alignment horizontal="left" vertical="center" wrapText="1"/>
    </xf>
    <xf numFmtId="0" fontId="58" fillId="0" borderId="57" xfId="70" applyNumberFormat="1" applyFont="1" applyBorder="1" applyAlignment="1">
      <alignment horizontal="center" vertical="center"/>
    </xf>
    <xf numFmtId="43" fontId="64" fillId="0" borderId="57" xfId="70" applyFont="1" applyFill="1" applyBorder="1" applyAlignment="1">
      <alignment horizontal="center" vertical="center"/>
    </xf>
    <xf numFmtId="43" fontId="64" fillId="0" borderId="57" xfId="70" applyFont="1" applyBorder="1" applyAlignment="1">
      <alignment horizontal="center" vertical="center"/>
    </xf>
    <xf numFmtId="43" fontId="64" fillId="0" borderId="57" xfId="70" applyFont="1" applyBorder="1" applyAlignment="1">
      <alignment vertical="center"/>
    </xf>
    <xf numFmtId="0" fontId="58" fillId="21" borderId="58" xfId="70" applyNumberFormat="1" applyFont="1" applyFill="1" applyBorder="1" applyAlignment="1" applyProtection="1">
      <alignment horizontal="center" vertical="center"/>
    </xf>
    <xf numFmtId="43" fontId="58" fillId="21" borderId="58" xfId="70" applyFont="1" applyFill="1" applyBorder="1" applyAlignment="1" applyProtection="1">
      <alignment horizontal="center" vertical="center" shrinkToFit="1"/>
    </xf>
    <xf numFmtId="43" fontId="64" fillId="21" borderId="58" xfId="70" applyFont="1" applyFill="1" applyBorder="1" applyAlignment="1" applyProtection="1">
      <alignment horizontal="center" vertical="center"/>
    </xf>
    <xf numFmtId="43" fontId="64" fillId="21" borderId="58" xfId="70" applyFont="1" applyFill="1" applyBorder="1" applyAlignment="1">
      <alignment vertical="center"/>
    </xf>
    <xf numFmtId="43" fontId="64" fillId="21" borderId="58" xfId="70" applyFont="1" applyFill="1" applyBorder="1" applyAlignment="1">
      <alignment horizontal="center" vertical="center"/>
    </xf>
    <xf numFmtId="204" fontId="56" fillId="0" borderId="0" xfId="70" applyNumberFormat="1" applyFont="1" applyFill="1" applyAlignment="1">
      <alignment horizontal="center" vertical="center"/>
    </xf>
    <xf numFmtId="204" fontId="56" fillId="0" borderId="0" xfId="70" applyNumberFormat="1" applyFont="1" applyFill="1" applyAlignment="1">
      <alignment vertical="center"/>
    </xf>
    <xf numFmtId="0" fontId="56" fillId="0" borderId="0" xfId="0" applyFont="1"/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43" fontId="56" fillId="0" borderId="0" xfId="70" applyFont="1" applyAlignment="1">
      <alignment vertical="center"/>
    </xf>
    <xf numFmtId="43" fontId="55" fillId="0" borderId="0" xfId="70" applyFont="1" applyAlignment="1">
      <alignment horizontal="center" vertical="center"/>
    </xf>
    <xf numFmtId="43" fontId="56" fillId="11" borderId="9" xfId="70" applyFont="1" applyFill="1" applyBorder="1" applyAlignment="1">
      <alignment horizontal="center" vertical="center"/>
    </xf>
    <xf numFmtId="43" fontId="56" fillId="11" borderId="30" xfId="70" applyFont="1" applyFill="1" applyBorder="1" applyAlignment="1">
      <alignment vertical="center"/>
    </xf>
    <xf numFmtId="43" fontId="56" fillId="11" borderId="30" xfId="70" applyFont="1" applyFill="1" applyBorder="1" applyAlignment="1">
      <alignment horizontal="center" vertical="center"/>
    </xf>
    <xf numFmtId="43" fontId="56" fillId="11" borderId="26" xfId="70" applyFont="1" applyFill="1" applyBorder="1" applyAlignment="1">
      <alignment horizontal="center" vertical="center"/>
    </xf>
    <xf numFmtId="43" fontId="56" fillId="11" borderId="28" xfId="7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189" fontId="47" fillId="0" borderId="0" xfId="60" applyNumberFormat="1" applyFont="1" applyAlignment="1">
      <alignment horizontal="center"/>
    </xf>
    <xf numFmtId="189" fontId="60" fillId="6" borderId="0" xfId="60" applyNumberFormat="1" applyFont="1" applyFill="1" applyAlignment="1">
      <alignment horizontal="center"/>
    </xf>
    <xf numFmtId="189" fontId="62" fillId="17" borderId="9" xfId="60" applyNumberFormat="1" applyFont="1" applyFill="1" applyBorder="1" applyAlignment="1">
      <alignment horizontal="center" vertical="center"/>
    </xf>
    <xf numFmtId="189" fontId="62" fillId="17" borderId="10" xfId="60" applyNumberFormat="1" applyFont="1" applyFill="1" applyBorder="1" applyAlignment="1">
      <alignment horizontal="center" vertical="center"/>
    </xf>
    <xf numFmtId="189" fontId="46" fillId="0" borderId="39" xfId="60" applyNumberFormat="1" applyFont="1" applyBorder="1" applyAlignment="1">
      <alignment horizontal="right"/>
    </xf>
    <xf numFmtId="189" fontId="46" fillId="0" borderId="23" xfId="60" applyNumberFormat="1" applyFont="1" applyBorder="1" applyAlignment="1">
      <alignment horizontal="right"/>
    </xf>
    <xf numFmtId="189" fontId="46" fillId="0" borderId="0" xfId="60" applyNumberFormat="1" applyFont="1" applyAlignment="1">
      <alignment horizontal="left" vertical="center"/>
    </xf>
    <xf numFmtId="0" fontId="62" fillId="17" borderId="10" xfId="0" applyFont="1" applyFill="1" applyBorder="1" applyAlignment="1">
      <alignment vertical="center"/>
    </xf>
    <xf numFmtId="189" fontId="53" fillId="0" borderId="0" xfId="60" applyNumberFormat="1" applyFont="1" applyAlignment="1">
      <alignment horizontal="left" vertical="center"/>
    </xf>
    <xf numFmtId="189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89" fontId="46" fillId="0" borderId="0" xfId="60" applyNumberFormat="1" applyFont="1" applyBorder="1" applyAlignment="1">
      <alignment horizontal="center"/>
    </xf>
    <xf numFmtId="189" fontId="46" fillId="0" borderId="34" xfId="60" applyNumberFormat="1" applyFont="1" applyBorder="1" applyAlignment="1">
      <alignment horizontal="center"/>
    </xf>
    <xf numFmtId="189" fontId="47" fillId="6" borderId="8" xfId="60" applyNumberFormat="1" applyFont="1" applyFill="1" applyBorder="1" applyAlignment="1">
      <alignment horizontal="left"/>
    </xf>
    <xf numFmtId="189" fontId="47" fillId="6" borderId="11" xfId="60" applyNumberFormat="1" applyFont="1" applyFill="1" applyBorder="1" applyAlignment="1">
      <alignment horizontal="left"/>
    </xf>
    <xf numFmtId="189" fontId="61" fillId="6" borderId="11" xfId="60" applyNumberFormat="1" applyFont="1" applyFill="1" applyBorder="1" applyAlignment="1">
      <alignment horizontal="left"/>
    </xf>
    <xf numFmtId="189" fontId="46" fillId="9" borderId="10" xfId="60" applyNumberFormat="1" applyFont="1" applyFill="1" applyBorder="1" applyAlignment="1">
      <alignment horizontal="center" vertical="center"/>
    </xf>
    <xf numFmtId="189" fontId="46" fillId="6" borderId="24" xfId="60" quotePrefix="1" applyNumberFormat="1" applyFont="1" applyFill="1" applyBorder="1" applyAlignment="1">
      <alignment horizontal="left" vertical="center"/>
    </xf>
    <xf numFmtId="189" fontId="46" fillId="6" borderId="45" xfId="60" quotePrefix="1" applyNumberFormat="1" applyFont="1" applyFill="1" applyBorder="1" applyAlignment="1">
      <alignment horizontal="left" vertical="center"/>
    </xf>
    <xf numFmtId="189" fontId="59" fillId="0" borderId="0" xfId="60" applyNumberFormat="1" applyFont="1" applyAlignment="1">
      <alignment horizontal="center" vertical="center"/>
    </xf>
    <xf numFmtId="189" fontId="60" fillId="0" borderId="0" xfId="60" applyNumberFormat="1" applyFont="1" applyAlignment="1">
      <alignment horizontal="center" vertical="center"/>
    </xf>
    <xf numFmtId="189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89" fontId="46" fillId="19" borderId="10" xfId="60" applyNumberFormat="1" applyFont="1" applyFill="1" applyBorder="1" applyAlignment="1">
      <alignment horizontal="center" vertical="center"/>
    </xf>
    <xf numFmtId="189" fontId="46" fillId="6" borderId="9" xfId="60" applyNumberFormat="1" applyFont="1" applyFill="1" applyBorder="1" applyAlignment="1">
      <alignment horizontal="center" vertical="center"/>
    </xf>
    <xf numFmtId="189" fontId="46" fillId="6" borderId="30" xfId="60" applyNumberFormat="1" applyFont="1" applyFill="1" applyBorder="1" applyAlignment="1">
      <alignment horizontal="center" vertical="center"/>
    </xf>
    <xf numFmtId="189" fontId="46" fillId="6" borderId="10" xfId="60" applyNumberFormat="1" applyFont="1" applyFill="1" applyBorder="1" applyAlignment="1">
      <alignment horizontal="center" vertical="center"/>
    </xf>
  </cellXfs>
  <cellStyles count="102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 2" xfId="86"/>
    <cellStyle name="Comma 2" xfId="65"/>
    <cellStyle name="Comma 2 2" xfId="76"/>
    <cellStyle name="Comma 2 2 3" xfId="93"/>
    <cellStyle name="Comma 2 4" xfId="91"/>
    <cellStyle name="Comma 21" xfId="96"/>
    <cellStyle name="Comma 3 5" xfId="97"/>
    <cellStyle name="Comma 4" xfId="99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3" xfId="90"/>
    <cellStyle name="Normal 2 4" xfId="77"/>
    <cellStyle name="Normal 3" xfId="79"/>
    <cellStyle name="Normal 4" xfId="87"/>
    <cellStyle name="Normal 5 2" xfId="85"/>
    <cellStyle name="Normal 5 2 2" xfId="101"/>
    <cellStyle name="Normal 8" xfId="88"/>
    <cellStyle name="Normal_BOQ แยกชั้น" xfId="92"/>
    <cellStyle name="Normal_Donjedi-Data" xfId="95"/>
    <cellStyle name="Normal_KS_01_BOQ" xfId="9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2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จุลภาค_BOQ_Blankform_S_A_REV(1)._1_M" xfId="94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4" xfId="81"/>
    <cellStyle name="ปกติ 5" xfId="71"/>
    <cellStyle name="ปกติ 7" xfId="80"/>
    <cellStyle name="ปกติ_BOQ_Blankform S&amp;A" xfId="100"/>
    <cellStyle name="ปกติ_BOQ_Blankform_S_A_REV(1)._1_M" xfId="89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CC"/>
      <color rgb="FFFFCC00"/>
      <color rgb="FFFFEEA7"/>
      <color rgb="FFFFEBFF"/>
      <color rgb="FFEAF0F6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showGridLines="0" view="pageBreakPreview" topLeftCell="A6" zoomScaleNormal="100" zoomScaleSheetLayoutView="100" workbookViewId="0">
      <selection activeCell="K14" sqref="K14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83203125" style="34" customWidth="1"/>
    <col min="12" max="12" width="21.1640625" style="34" customWidth="1"/>
    <col min="13" max="16384" width="9.33203125" style="34"/>
  </cols>
  <sheetData>
    <row r="1" spans="1:11">
      <c r="A1" s="541" t="s">
        <v>112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543" t="s">
        <v>86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</row>
    <row r="5" spans="1:11" ht="19.5" customHeight="1">
      <c r="A5" s="543" t="s">
        <v>87</v>
      </c>
      <c r="B5" s="543"/>
      <c r="C5" s="543"/>
      <c r="D5" s="543"/>
      <c r="E5" s="543"/>
      <c r="F5" s="543"/>
      <c r="G5" s="543"/>
      <c r="H5" s="543"/>
      <c r="I5" s="543"/>
      <c r="J5" s="543"/>
      <c r="K5" s="543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2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106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107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544" t="s">
        <v>68</v>
      </c>
      <c r="C21" s="544"/>
      <c r="D21" s="544"/>
      <c r="E21" s="544"/>
      <c r="F21" s="544"/>
      <c r="G21" s="544"/>
      <c r="H21" s="44" t="s">
        <v>10</v>
      </c>
      <c r="I21" s="545" t="s">
        <v>13</v>
      </c>
      <c r="J21" s="546"/>
      <c r="K21" s="547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542" t="s">
        <v>69</v>
      </c>
      <c r="C32" s="542"/>
      <c r="D32" s="542"/>
      <c r="E32" s="542"/>
      <c r="F32" s="542"/>
      <c r="G32" s="33"/>
      <c r="H32" s="53"/>
      <c r="I32" s="54"/>
      <c r="J32" s="54"/>
      <c r="K32" s="55"/>
    </row>
    <row r="33" spans="1:11" ht="21" thickTop="1" thickBot="1">
      <c r="B33" s="542" t="s">
        <v>70</v>
      </c>
      <c r="C33" s="542"/>
      <c r="D33" s="542"/>
      <c r="E33" s="542"/>
      <c r="F33" s="542"/>
      <c r="G33" s="56"/>
      <c r="H33" s="57"/>
      <c r="I33" s="58" t="s">
        <v>72</v>
      </c>
      <c r="J33" s="54"/>
      <c r="K33" s="55"/>
    </row>
    <row r="34" spans="1:11" ht="21" thickTop="1" thickBot="1">
      <c r="B34" s="542" t="s">
        <v>71</v>
      </c>
      <c r="C34" s="542"/>
      <c r="D34" s="542"/>
      <c r="E34" s="542"/>
      <c r="F34" s="542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548" t="s">
        <v>112</v>
      </c>
      <c r="B1" s="548"/>
      <c r="C1" s="548"/>
      <c r="D1" s="548"/>
      <c r="E1" s="548"/>
      <c r="F1" s="548"/>
      <c r="G1" s="548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91</v>
      </c>
      <c r="G3" s="7"/>
    </row>
    <row r="4" spans="1:7" ht="27.75" customHeight="1">
      <c r="A4" s="551" t="s">
        <v>81</v>
      </c>
      <c r="B4" s="551"/>
      <c r="C4" s="551"/>
      <c r="D4" s="551"/>
      <c r="E4" s="551"/>
      <c r="F4" s="551"/>
      <c r="G4" s="551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6" s="5"/>
      <c r="C6" s="6"/>
      <c r="D6" s="6"/>
      <c r="E6" s="6"/>
      <c r="F6" s="6"/>
      <c r="G6" s="6"/>
    </row>
    <row r="7" spans="1:7" ht="21.75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549" t="s">
        <v>33</v>
      </c>
      <c r="B12" s="549" t="s">
        <v>34</v>
      </c>
      <c r="C12" s="549" t="s">
        <v>10</v>
      </c>
      <c r="D12" s="549" t="s">
        <v>11</v>
      </c>
      <c r="E12" s="24" t="s">
        <v>59</v>
      </c>
      <c r="F12" s="25" t="s">
        <v>12</v>
      </c>
      <c r="G12" s="549" t="s">
        <v>13</v>
      </c>
    </row>
    <row r="13" spans="1:7" ht="22.5" thickBot="1">
      <c r="A13" s="550"/>
      <c r="B13" s="550"/>
      <c r="C13" s="550"/>
      <c r="D13" s="550"/>
      <c r="E13" s="26" t="s">
        <v>58</v>
      </c>
      <c r="F13" s="27" t="s">
        <v>82</v>
      </c>
      <c r="G13" s="550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92</v>
      </c>
      <c r="S2" s="552" t="s">
        <v>88</v>
      </c>
    </row>
    <row r="3" spans="1:19" ht="24.75" customHeight="1">
      <c r="A3" s="551" t="s">
        <v>60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2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552"/>
    </row>
    <row r="5" spans="1:19" ht="25.5" customHeight="1">
      <c r="A5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553"/>
    </row>
    <row r="6" spans="1:19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553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553"/>
    </row>
    <row r="8" spans="1:19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553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553"/>
    </row>
    <row r="10" spans="1:19" ht="8.25" customHeight="1" thickBot="1">
      <c r="B10" s="9"/>
      <c r="F10" s="9"/>
      <c r="S10" s="553"/>
    </row>
    <row r="11" spans="1:19" ht="22.5" thickTop="1">
      <c r="A11" s="554" t="s">
        <v>33</v>
      </c>
      <c r="B11" s="556" t="s">
        <v>34</v>
      </c>
      <c r="C11" s="557"/>
      <c r="D11" s="28" t="s">
        <v>3</v>
      </c>
      <c r="E11" s="28" t="s">
        <v>6</v>
      </c>
      <c r="F11" s="28" t="s">
        <v>7</v>
      </c>
      <c r="G11" s="560" t="s">
        <v>36</v>
      </c>
      <c r="H11" s="561"/>
      <c r="I11" s="561"/>
      <c r="J11" s="561"/>
      <c r="K11" s="561"/>
      <c r="L11" s="562"/>
      <c r="M11" s="560" t="s">
        <v>37</v>
      </c>
      <c r="N11" s="561"/>
      <c r="O11" s="561"/>
      <c r="P11" s="561"/>
      <c r="Q11" s="562"/>
      <c r="R11" s="554" t="s">
        <v>13</v>
      </c>
      <c r="S11" s="553"/>
    </row>
    <row r="12" spans="1:19" ht="22.5" thickBot="1">
      <c r="A12" s="555"/>
      <c r="B12" s="558"/>
      <c r="C12" s="559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555"/>
      <c r="S12" s="553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53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553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553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53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53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553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53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553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553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553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553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553"/>
    </row>
    <row r="25" spans="1:19" ht="18.75" customHeight="1">
      <c r="S25" s="553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548" t="s">
        <v>113</v>
      </c>
      <c r="B1" s="548"/>
      <c r="C1" s="548"/>
      <c r="D1" s="548"/>
      <c r="E1" s="548"/>
      <c r="F1" s="548"/>
      <c r="G1" s="548"/>
      <c r="H1" s="548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93</v>
      </c>
    </row>
    <row r="4" spans="1:8" ht="24" customHeight="1">
      <c r="A4" s="551" t="s">
        <v>61</v>
      </c>
      <c r="B4" s="551"/>
      <c r="C4" s="551"/>
      <c r="D4" s="551"/>
      <c r="E4" s="551"/>
      <c r="F4" s="551"/>
      <c r="G4" s="551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6" s="5"/>
      <c r="C6" s="6"/>
      <c r="D6" s="6"/>
      <c r="E6" s="6"/>
      <c r="F6" s="6"/>
      <c r="G6" s="6"/>
      <c r="H6" s="6"/>
    </row>
    <row r="7" spans="1:8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563" t="s">
        <v>32</v>
      </c>
      <c r="B12" s="565" t="s">
        <v>34</v>
      </c>
      <c r="C12" s="565" t="s">
        <v>25</v>
      </c>
      <c r="D12" s="30" t="s">
        <v>4</v>
      </c>
      <c r="E12" s="30" t="s">
        <v>26</v>
      </c>
      <c r="F12" s="565" t="s">
        <v>10</v>
      </c>
      <c r="G12" s="30" t="s">
        <v>27</v>
      </c>
      <c r="H12" s="565" t="s">
        <v>13</v>
      </c>
    </row>
    <row r="13" spans="1:8" ht="25.5" thickBot="1">
      <c r="A13" s="564"/>
      <c r="B13" s="567"/>
      <c r="C13" s="567"/>
      <c r="D13" s="31" t="s">
        <v>2</v>
      </c>
      <c r="E13" s="31" t="s">
        <v>28</v>
      </c>
      <c r="F13" s="567"/>
      <c r="G13" s="32" t="s">
        <v>38</v>
      </c>
      <c r="H13" s="566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2:K38"/>
  <sheetViews>
    <sheetView showGridLines="0" view="pageBreakPreview" topLeftCell="A2" zoomScaleNormal="100" workbookViewId="0">
      <selection activeCell="F18" sqref="F18"/>
    </sheetView>
  </sheetViews>
  <sheetFormatPr defaultColWidth="0" defaultRowHeight="0" customHeight="1" zeroHeight="1"/>
  <cols>
    <col min="1" max="1" width="9.6640625" style="60" customWidth="1"/>
    <col min="2" max="2" width="69.83203125" style="60" customWidth="1"/>
    <col min="3" max="3" width="14.5" style="60" customWidth="1"/>
    <col min="4" max="4" width="13.6640625" style="60" customWidth="1"/>
    <col min="5" max="5" width="18.8320312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116</v>
      </c>
    </row>
    <row r="4" spans="1:11" s="61" customFormat="1" ht="24">
      <c r="A4" s="569" t="s">
        <v>79</v>
      </c>
      <c r="B4" s="569"/>
      <c r="C4" s="569"/>
      <c r="D4" s="569"/>
      <c r="E4" s="569"/>
      <c r="F4" s="569"/>
    </row>
    <row r="5" spans="1:11" ht="21" customHeight="1">
      <c r="A5" s="569" t="s">
        <v>64</v>
      </c>
      <c r="B5" s="569"/>
      <c r="C5" s="569"/>
      <c r="D5" s="569"/>
      <c r="E5" s="569"/>
      <c r="F5" s="569"/>
      <c r="G5" s="570"/>
    </row>
    <row r="6" spans="1:11" ht="21" customHeight="1">
      <c r="A6" s="63"/>
      <c r="B6" s="63"/>
      <c r="C6" s="63"/>
      <c r="D6" s="63"/>
      <c r="E6" s="63"/>
      <c r="F6" s="63"/>
      <c r="G6" s="570"/>
    </row>
    <row r="7" spans="1:11" s="74" customFormat="1" ht="18.95" customHeight="1">
      <c r="A7" s="77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7" s="73"/>
      <c r="C7" s="73"/>
      <c r="D7" s="73"/>
      <c r="E7" s="73"/>
      <c r="F7" s="73"/>
      <c r="G7" s="570"/>
      <c r="H7" s="73"/>
      <c r="I7" s="73"/>
      <c r="J7" s="73"/>
      <c r="K7" s="73"/>
    </row>
    <row r="8" spans="1:11" s="74" customFormat="1" ht="18.95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570"/>
      <c r="H8" s="73"/>
      <c r="I8" s="73" t="s">
        <v>41</v>
      </c>
      <c r="J8" s="73"/>
      <c r="K8" s="73"/>
    </row>
    <row r="9" spans="1:11" s="74" customFormat="1" ht="18.95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570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10" s="73"/>
      <c r="C10" s="73"/>
      <c r="D10" s="73"/>
      <c r="E10" s="73"/>
      <c r="F10" s="73"/>
      <c r="G10" s="570"/>
      <c r="H10" s="73"/>
      <c r="I10" s="73"/>
      <c r="J10" s="73"/>
      <c r="K10" s="73"/>
    </row>
    <row r="11" spans="1:11" ht="26.25" customHeight="1" thickBot="1">
      <c r="F11" s="64" t="s">
        <v>45</v>
      </c>
      <c r="G11" s="570"/>
    </row>
    <row r="12" spans="1:11" ht="24.75" thickTop="1">
      <c r="A12" s="571" t="s">
        <v>33</v>
      </c>
      <c r="B12" s="571" t="s">
        <v>34</v>
      </c>
      <c r="C12" s="571" t="s">
        <v>10</v>
      </c>
      <c r="D12" s="571" t="s">
        <v>11</v>
      </c>
      <c r="E12" s="65" t="s">
        <v>77</v>
      </c>
      <c r="F12" s="571" t="s">
        <v>13</v>
      </c>
      <c r="G12" s="570"/>
    </row>
    <row r="13" spans="1:11" ht="24.75" thickBot="1">
      <c r="A13" s="572"/>
      <c r="B13" s="572"/>
      <c r="C13" s="572"/>
      <c r="D13" s="572"/>
      <c r="E13" s="66" t="s">
        <v>80</v>
      </c>
      <c r="F13" s="572"/>
      <c r="G13" s="570"/>
    </row>
    <row r="14" spans="1:11" ht="24.75" thickTop="1">
      <c r="A14" s="67"/>
      <c r="B14" s="68"/>
      <c r="C14" s="69"/>
      <c r="D14" s="70"/>
      <c r="E14" s="68"/>
      <c r="F14" s="67"/>
      <c r="G14" s="570"/>
    </row>
    <row r="15" spans="1:11" ht="24">
      <c r="A15" s="71"/>
      <c r="B15" s="71"/>
      <c r="C15" s="71"/>
      <c r="D15" s="71"/>
      <c r="E15" s="71"/>
      <c r="F15" s="71"/>
      <c r="G15" s="570"/>
    </row>
    <row r="16" spans="1:11" ht="24">
      <c r="A16" s="71"/>
      <c r="B16" s="71"/>
      <c r="C16" s="71"/>
      <c r="D16" s="71"/>
      <c r="E16" s="71"/>
      <c r="F16" s="71"/>
      <c r="G16" s="570"/>
    </row>
    <row r="17" spans="1:7" ht="24">
      <c r="A17" s="71"/>
      <c r="B17" s="71"/>
      <c r="C17" s="71"/>
      <c r="D17" s="71"/>
      <c r="E17" s="71"/>
      <c r="F17" s="71"/>
      <c r="G17" s="570"/>
    </row>
    <row r="18" spans="1:7" ht="24">
      <c r="A18" s="71"/>
      <c r="B18" s="71"/>
      <c r="C18" s="71"/>
      <c r="D18" s="71"/>
      <c r="E18" s="71"/>
      <c r="F18" s="71"/>
      <c r="G18" s="570"/>
    </row>
    <row r="19" spans="1:7" ht="24">
      <c r="A19" s="71"/>
      <c r="B19" s="71"/>
      <c r="C19" s="71"/>
      <c r="D19" s="71"/>
      <c r="E19" s="71"/>
      <c r="F19" s="71"/>
      <c r="G19" s="570"/>
    </row>
    <row r="20" spans="1:7" ht="24">
      <c r="A20" s="71"/>
      <c r="B20" s="71"/>
      <c r="C20" s="71"/>
      <c r="D20" s="71"/>
      <c r="E20" s="71"/>
      <c r="F20" s="71"/>
      <c r="G20" s="570"/>
    </row>
    <row r="21" spans="1:7" ht="24">
      <c r="A21" s="71"/>
      <c r="B21" s="71"/>
      <c r="C21" s="71"/>
      <c r="D21" s="71"/>
      <c r="E21" s="71"/>
      <c r="F21" s="71"/>
      <c r="G21" s="570"/>
    </row>
    <row r="22" spans="1:7" ht="24">
      <c r="A22" s="71"/>
      <c r="B22" s="71"/>
      <c r="C22" s="71"/>
      <c r="D22" s="71"/>
      <c r="E22" s="71"/>
      <c r="F22" s="71"/>
      <c r="G22" s="570"/>
    </row>
    <row r="23" spans="1:7" ht="24">
      <c r="A23" s="71"/>
      <c r="B23" s="71"/>
      <c r="C23" s="71"/>
      <c r="D23" s="71"/>
      <c r="E23" s="71"/>
      <c r="F23" s="71"/>
      <c r="G23" s="570"/>
    </row>
    <row r="24" spans="1:7" ht="24">
      <c r="A24" s="71"/>
      <c r="B24" s="71"/>
      <c r="C24" s="71"/>
      <c r="D24" s="71"/>
      <c r="E24" s="71"/>
      <c r="F24" s="71"/>
      <c r="G24" s="570"/>
    </row>
    <row r="25" spans="1:7" ht="24.75" thickBot="1">
      <c r="A25" s="62"/>
      <c r="B25" s="62"/>
      <c r="C25" s="62"/>
      <c r="D25" s="62"/>
      <c r="E25" s="62"/>
      <c r="F25" s="62"/>
      <c r="G25" s="570"/>
    </row>
    <row r="26" spans="1:7" ht="25.5" thickTop="1" thickBot="1">
      <c r="A26" s="72"/>
      <c r="B26" s="568" t="s">
        <v>65</v>
      </c>
      <c r="C26" s="568"/>
      <c r="D26" s="568"/>
      <c r="E26" s="72"/>
      <c r="F26" s="72"/>
      <c r="G26" s="570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Views>
    <sheetView view="pageBreakPreview" zoomScale="130" zoomScaleNormal="130" zoomScaleSheetLayoutView="130" workbookViewId="0">
      <selection activeCell="M14" sqref="M14"/>
    </sheetView>
  </sheetViews>
  <sheetFormatPr defaultColWidth="9.33203125" defaultRowHeight="21" customHeight="1"/>
  <cols>
    <col min="1" max="1" width="8.83203125" style="210" customWidth="1"/>
    <col min="2" max="2" width="60" style="210" customWidth="1"/>
    <col min="3" max="3" width="15.1640625" style="85" customWidth="1"/>
    <col min="4" max="4" width="9.33203125" style="113" customWidth="1"/>
    <col min="5" max="5" width="16.5" style="210" customWidth="1"/>
    <col min="6" max="6" width="18.5" style="210" customWidth="1"/>
    <col min="7" max="7" width="16.1640625" style="210" customWidth="1"/>
    <col min="8" max="8" width="18.5" style="210" customWidth="1"/>
    <col min="9" max="9" width="20" style="210" customWidth="1"/>
    <col min="10" max="10" width="11.6640625" style="113" customWidth="1"/>
    <col min="11" max="11" width="4" style="210" customWidth="1"/>
    <col min="12" max="12" width="13.83203125" style="210" bestFit="1" customWidth="1"/>
    <col min="13" max="16384" width="9.33203125" style="210"/>
  </cols>
  <sheetData>
    <row r="1" spans="1:12" s="203" customFormat="1" ht="21" customHeight="1">
      <c r="A1" s="574" t="s">
        <v>79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2" s="203" customFormat="1" ht="21" customHeight="1">
      <c r="A2" s="204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2" s="205"/>
      <c r="C2" s="83"/>
      <c r="D2" s="83"/>
      <c r="E2" s="204"/>
      <c r="F2" s="204"/>
      <c r="G2" s="204"/>
      <c r="H2" s="204"/>
      <c r="I2" s="204" t="s">
        <v>39</v>
      </c>
      <c r="J2" s="83"/>
    </row>
    <row r="3" spans="1:12" s="203" customFormat="1" ht="21" customHeight="1">
      <c r="A3" s="204" t="str">
        <f>ชื่อโครงการ!A4</f>
        <v>กลุ่มงาน : งานก่อสร้าง</v>
      </c>
      <c r="B3" s="205"/>
      <c r="C3" s="83"/>
      <c r="D3" s="83"/>
      <c r="E3" s="204"/>
      <c r="F3" s="204"/>
      <c r="G3" s="204"/>
      <c r="H3" s="204"/>
      <c r="I3" s="204"/>
      <c r="J3" s="83"/>
    </row>
    <row r="4" spans="1:12" s="203" customFormat="1" ht="21" customHeight="1">
      <c r="A4" s="206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4" s="207"/>
      <c r="C4" s="84"/>
      <c r="D4" s="84"/>
      <c r="E4" s="206"/>
      <c r="F4" s="206"/>
      <c r="G4" s="206"/>
      <c r="H4" s="206" t="s">
        <v>41</v>
      </c>
      <c r="I4" s="206"/>
      <c r="J4" s="84"/>
    </row>
    <row r="5" spans="1:12" s="203" customFormat="1" ht="21" customHeight="1">
      <c r="A5" s="20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5" s="207"/>
      <c r="C5" s="84"/>
      <c r="D5" s="84"/>
      <c r="E5" s="206"/>
      <c r="F5" s="206"/>
      <c r="G5" s="206"/>
      <c r="H5" s="206"/>
      <c r="I5" s="206"/>
      <c r="J5" s="84"/>
    </row>
    <row r="6" spans="1:12" s="203" customFormat="1" ht="21" customHeight="1">
      <c r="A6" s="206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6" s="207"/>
      <c r="C6" s="84"/>
      <c r="D6" s="84"/>
      <c r="E6" s="208"/>
      <c r="F6" s="208"/>
      <c r="G6" s="206"/>
      <c r="H6" s="208"/>
      <c r="I6" s="208"/>
      <c r="J6" s="84"/>
    </row>
    <row r="7" spans="1:12" ht="21" customHeight="1" thickBot="1">
      <c r="A7" s="209"/>
      <c r="B7" s="209"/>
      <c r="D7" s="85"/>
      <c r="E7" s="209"/>
      <c r="F7" s="209"/>
      <c r="G7" s="209"/>
      <c r="H7" s="209"/>
      <c r="I7" s="209"/>
      <c r="J7" s="85" t="s">
        <v>45</v>
      </c>
    </row>
    <row r="8" spans="1:12" ht="21" customHeight="1" thickTop="1">
      <c r="A8" s="575" t="s">
        <v>33</v>
      </c>
      <c r="B8" s="575" t="s">
        <v>34</v>
      </c>
      <c r="C8" s="575" t="s">
        <v>10</v>
      </c>
      <c r="D8" s="575" t="s">
        <v>11</v>
      </c>
      <c r="E8" s="578" t="s">
        <v>55</v>
      </c>
      <c r="F8" s="579"/>
      <c r="G8" s="578" t="s">
        <v>1</v>
      </c>
      <c r="H8" s="579"/>
      <c r="I8" s="201" t="s">
        <v>56</v>
      </c>
      <c r="J8" s="575" t="s">
        <v>13</v>
      </c>
    </row>
    <row r="9" spans="1:12" ht="21" customHeight="1">
      <c r="A9" s="576"/>
      <c r="B9" s="576"/>
      <c r="C9" s="577"/>
      <c r="D9" s="577"/>
      <c r="E9" s="202" t="s">
        <v>30</v>
      </c>
      <c r="F9" s="202" t="s">
        <v>12</v>
      </c>
      <c r="G9" s="202" t="s">
        <v>30</v>
      </c>
      <c r="H9" s="202" t="s">
        <v>12</v>
      </c>
      <c r="I9" s="202" t="s">
        <v>29</v>
      </c>
      <c r="J9" s="577"/>
    </row>
    <row r="10" spans="1:12" ht="21" customHeight="1">
      <c r="A10" s="211"/>
      <c r="B10" s="212" t="s">
        <v>128</v>
      </c>
      <c r="C10" s="213"/>
      <c r="D10" s="214"/>
      <c r="E10" s="215"/>
      <c r="F10" s="216"/>
      <c r="G10" s="217"/>
      <c r="H10" s="216"/>
      <c r="I10" s="213"/>
      <c r="J10" s="86"/>
    </row>
    <row r="11" spans="1:12" s="203" customFormat="1" ht="21" customHeight="1">
      <c r="A11" s="218"/>
      <c r="B11" s="219" t="s">
        <v>129</v>
      </c>
      <c r="C11" s="220"/>
      <c r="D11" s="221"/>
      <c r="E11" s="222"/>
      <c r="F11" s="223"/>
      <c r="G11" s="222"/>
      <c r="H11" s="223"/>
      <c r="I11" s="224"/>
      <c r="J11" s="87"/>
      <c r="L11" s="210"/>
    </row>
    <row r="12" spans="1:12" s="203" customFormat="1" ht="21" customHeight="1">
      <c r="A12" s="225">
        <v>1</v>
      </c>
      <c r="B12" s="226" t="str">
        <f>B21</f>
        <v>หมวดงานเตรียมการก่อสร้าง</v>
      </c>
      <c r="C12" s="227">
        <v>1</v>
      </c>
      <c r="D12" s="225" t="s">
        <v>105</v>
      </c>
      <c r="E12" s="228">
        <f>F25</f>
        <v>15000</v>
      </c>
      <c r="F12" s="229">
        <f>ROUND(E12*C12,2)</f>
        <v>15000</v>
      </c>
      <c r="G12" s="228">
        <f>H25</f>
        <v>5000</v>
      </c>
      <c r="H12" s="229">
        <f>ROUND(G12*C12,2)</f>
        <v>5000</v>
      </c>
      <c r="I12" s="230">
        <f>+F12+H12</f>
        <v>20000</v>
      </c>
      <c r="J12" s="88"/>
      <c r="L12" s="210"/>
    </row>
    <row r="13" spans="1:12" s="203" customFormat="1" ht="21" customHeight="1">
      <c r="A13" s="225">
        <v>2</v>
      </c>
      <c r="B13" s="226" t="str">
        <f>B27</f>
        <v>หมวดงานวิศวกรรมโครงสร้าง</v>
      </c>
      <c r="C13" s="227">
        <v>1</v>
      </c>
      <c r="D13" s="225" t="s">
        <v>105</v>
      </c>
      <c r="E13" s="228">
        <f>F106</f>
        <v>4732369.0100000007</v>
      </c>
      <c r="F13" s="229">
        <f>ROUND(E13*C13,2)</f>
        <v>4732369.01</v>
      </c>
      <c r="G13" s="228">
        <f>H106</f>
        <v>1257482.3499999999</v>
      </c>
      <c r="H13" s="229">
        <f>ROUND(G13*C13,2)</f>
        <v>1257482.3500000001</v>
      </c>
      <c r="I13" s="230">
        <f t="shared" ref="I13:I16" si="0">+F13+H13</f>
        <v>5989851.3599999994</v>
      </c>
      <c r="J13" s="88"/>
      <c r="L13" s="210"/>
    </row>
    <row r="14" spans="1:12" s="203" customFormat="1" ht="21" customHeight="1">
      <c r="A14" s="225">
        <v>3</v>
      </c>
      <c r="B14" s="231" t="str">
        <f>+B108</f>
        <v>หมวดงานสถาปัตยกรรม</v>
      </c>
      <c r="C14" s="227">
        <v>1</v>
      </c>
      <c r="D14" s="225" t="s">
        <v>105</v>
      </c>
      <c r="E14" s="228">
        <f>F214</f>
        <v>5122457</v>
      </c>
      <c r="F14" s="229">
        <f>ROUND(E14*C14,2)</f>
        <v>5122457</v>
      </c>
      <c r="G14" s="228">
        <f>H214</f>
        <v>1393187.5</v>
      </c>
      <c r="H14" s="229">
        <f>ROUND(G14*C14,2)</f>
        <v>1393187.5</v>
      </c>
      <c r="I14" s="230">
        <f t="shared" si="0"/>
        <v>6515644.5</v>
      </c>
      <c r="J14" s="88"/>
      <c r="L14" s="210"/>
    </row>
    <row r="15" spans="1:12" s="203" customFormat="1" ht="21" customHeight="1">
      <c r="A15" s="225">
        <v>4</v>
      </c>
      <c r="B15" s="231" t="str">
        <f>B216</f>
        <v>หมวดงานระบบสุขาภิบาล</v>
      </c>
      <c r="C15" s="227">
        <v>1</v>
      </c>
      <c r="D15" s="225" t="s">
        <v>105</v>
      </c>
      <c r="E15" s="228">
        <f>F293</f>
        <v>487848.91000000003</v>
      </c>
      <c r="F15" s="229">
        <f>ROUND(E15*C15,2)</f>
        <v>487848.91</v>
      </c>
      <c r="G15" s="228">
        <f>H293</f>
        <v>109862.88</v>
      </c>
      <c r="H15" s="229">
        <f>ROUND(G15*C15,2)</f>
        <v>109862.88</v>
      </c>
      <c r="I15" s="230">
        <f t="shared" si="0"/>
        <v>597711.79</v>
      </c>
      <c r="J15" s="88"/>
      <c r="L15" s="210"/>
    </row>
    <row r="16" spans="1:12" s="203" customFormat="1" ht="21" customHeight="1">
      <c r="A16" s="225">
        <v>5</v>
      </c>
      <c r="B16" s="231" t="str">
        <f>B295</f>
        <v>หมวดงานระบบไฟฟ้า</v>
      </c>
      <c r="C16" s="227">
        <v>1</v>
      </c>
      <c r="D16" s="225" t="s">
        <v>105</v>
      </c>
      <c r="E16" s="228">
        <f>F387</f>
        <v>1921762.4540000001</v>
      </c>
      <c r="F16" s="229">
        <f>ROUND(E16*C16,2)</f>
        <v>1921762.45</v>
      </c>
      <c r="G16" s="228">
        <f>H387</f>
        <v>229710.00000000003</v>
      </c>
      <c r="H16" s="229">
        <f>ROUND(G16*C16,2)</f>
        <v>229710</v>
      </c>
      <c r="I16" s="230">
        <f t="shared" si="0"/>
        <v>2151472.4500000002</v>
      </c>
      <c r="J16" s="88"/>
      <c r="L16" s="210"/>
    </row>
    <row r="17" spans="1:13" s="203" customFormat="1" ht="21" customHeight="1">
      <c r="A17" s="232"/>
      <c r="B17" s="233"/>
      <c r="C17" s="234"/>
      <c r="D17" s="232"/>
      <c r="E17" s="235"/>
      <c r="F17" s="236"/>
      <c r="G17" s="235"/>
      <c r="H17" s="236"/>
      <c r="I17" s="237"/>
      <c r="J17" s="89"/>
      <c r="L17" s="210"/>
    </row>
    <row r="18" spans="1:13" s="203" customFormat="1" ht="21" customHeight="1" thickBot="1">
      <c r="A18" s="238"/>
      <c r="B18" s="239" t="s">
        <v>130</v>
      </c>
      <c r="C18" s="240"/>
      <c r="D18" s="240"/>
      <c r="E18" s="241"/>
      <c r="F18" s="242">
        <f>SUM(F12:F17)</f>
        <v>12279437.369999999</v>
      </c>
      <c r="G18" s="241"/>
      <c r="H18" s="242">
        <f>SUM(H12:H17)</f>
        <v>2995242.73</v>
      </c>
      <c r="I18" s="243">
        <f>SUM(I12:I17)</f>
        <v>15274680.099999998</v>
      </c>
      <c r="J18" s="90"/>
      <c r="L18" s="210"/>
    </row>
    <row r="19" spans="1:13" ht="21" customHeight="1" thickTop="1">
      <c r="A19" s="218"/>
      <c r="B19" s="244"/>
      <c r="C19" s="245"/>
      <c r="D19" s="218"/>
      <c r="E19" s="246"/>
      <c r="F19" s="247"/>
      <c r="G19" s="246"/>
      <c r="H19" s="247"/>
      <c r="I19" s="248"/>
      <c r="J19" s="91"/>
    </row>
    <row r="20" spans="1:13" ht="21" customHeight="1">
      <c r="A20" s="249"/>
      <c r="B20" s="250" t="s">
        <v>129</v>
      </c>
      <c r="C20" s="251"/>
      <c r="D20" s="225"/>
      <c r="E20" s="252"/>
      <c r="F20" s="229"/>
      <c r="G20" s="252"/>
      <c r="H20" s="229"/>
      <c r="I20" s="253"/>
      <c r="J20" s="88"/>
    </row>
    <row r="21" spans="1:13" ht="21" customHeight="1">
      <c r="A21" s="249">
        <v>1</v>
      </c>
      <c r="B21" s="254" t="s">
        <v>131</v>
      </c>
      <c r="C21" s="251"/>
      <c r="D21" s="225"/>
      <c r="E21" s="252"/>
      <c r="F21" s="229"/>
      <c r="G21" s="252"/>
      <c r="H21" s="229"/>
      <c r="I21" s="253"/>
      <c r="J21" s="88"/>
    </row>
    <row r="22" spans="1:13" ht="21" customHeight="1">
      <c r="A22" s="249">
        <v>1.1000000000000001</v>
      </c>
      <c r="B22" s="255" t="s">
        <v>132</v>
      </c>
      <c r="C22" s="251"/>
      <c r="D22" s="256"/>
      <c r="E22" s="252"/>
      <c r="F22" s="229"/>
      <c r="G22" s="252"/>
      <c r="H22" s="229"/>
      <c r="I22" s="230"/>
      <c r="J22" s="88"/>
    </row>
    <row r="23" spans="1:13" ht="21" customHeight="1">
      <c r="A23" s="225"/>
      <c r="B23" s="257" t="s">
        <v>133</v>
      </c>
      <c r="C23" s="251">
        <v>1</v>
      </c>
      <c r="D23" s="256" t="s">
        <v>105</v>
      </c>
      <c r="E23" s="228">
        <v>15000</v>
      </c>
      <c r="F23" s="229">
        <f>ROUND(E23*C23,2)</f>
        <v>15000</v>
      </c>
      <c r="G23" s="228">
        <v>5000</v>
      </c>
      <c r="H23" s="229">
        <f>ROUND(G23*C23,2)</f>
        <v>5000</v>
      </c>
      <c r="I23" s="230">
        <f>+F23+H23</f>
        <v>20000</v>
      </c>
      <c r="J23" s="88"/>
      <c r="M23" s="203"/>
    </row>
    <row r="24" spans="1:13" ht="21" customHeight="1">
      <c r="A24" s="258"/>
      <c r="B24" s="259"/>
      <c r="C24" s="258"/>
      <c r="D24" s="258"/>
      <c r="E24" s="260"/>
      <c r="F24" s="261"/>
      <c r="G24" s="260"/>
      <c r="H24" s="261"/>
      <c r="I24" s="262"/>
      <c r="J24" s="92"/>
    </row>
    <row r="25" spans="1:13" ht="21" customHeight="1" thickBot="1">
      <c r="A25" s="263"/>
      <c r="B25" s="264" t="str">
        <f>"รวมราคา"&amp;B21</f>
        <v>รวมราคาหมวดงานเตรียมการก่อสร้าง</v>
      </c>
      <c r="C25" s="265"/>
      <c r="D25" s="263"/>
      <c r="E25" s="266"/>
      <c r="F25" s="267">
        <f>SUM(F22:F24)</f>
        <v>15000</v>
      </c>
      <c r="G25" s="266"/>
      <c r="H25" s="267">
        <f>SUM(H22:H24)</f>
        <v>5000</v>
      </c>
      <c r="I25" s="268">
        <f>SUM(I22:I24)</f>
        <v>20000</v>
      </c>
      <c r="J25" s="93"/>
    </row>
    <row r="26" spans="1:13" ht="21" customHeight="1" thickTop="1">
      <c r="A26" s="269"/>
      <c r="B26" s="270"/>
      <c r="C26" s="271"/>
      <c r="D26" s="269"/>
      <c r="E26" s="272"/>
      <c r="F26" s="273"/>
      <c r="G26" s="272"/>
      <c r="H26" s="273"/>
      <c r="I26" s="274"/>
      <c r="J26" s="94"/>
    </row>
    <row r="27" spans="1:13" ht="21" customHeight="1">
      <c r="A27" s="275">
        <v>2</v>
      </c>
      <c r="B27" s="276" t="s">
        <v>134</v>
      </c>
      <c r="C27" s="277"/>
      <c r="D27" s="275"/>
      <c r="E27" s="278"/>
      <c r="F27" s="279"/>
      <c r="G27" s="278"/>
      <c r="H27" s="279"/>
      <c r="I27" s="280"/>
      <c r="J27" s="95"/>
    </row>
    <row r="28" spans="1:13" ht="21" customHeight="1">
      <c r="A28" s="275">
        <v>2.1</v>
      </c>
      <c r="B28" s="281" t="s">
        <v>135</v>
      </c>
      <c r="C28" s="282"/>
      <c r="D28" s="283"/>
      <c r="E28" s="284"/>
      <c r="F28" s="285"/>
      <c r="G28" s="284"/>
      <c r="H28" s="285"/>
      <c r="I28" s="286"/>
      <c r="J28" s="96"/>
    </row>
    <row r="29" spans="1:13" ht="21" customHeight="1">
      <c r="A29" s="218"/>
      <c r="B29" s="287" t="s">
        <v>136</v>
      </c>
      <c r="C29" s="288">
        <v>221</v>
      </c>
      <c r="D29" s="289" t="s">
        <v>35</v>
      </c>
      <c r="E29" s="290">
        <f>(4504/21)*9</f>
        <v>1930.2857142857142</v>
      </c>
      <c r="F29" s="229">
        <f>ROUND(E29*C29,2)</f>
        <v>426593.14</v>
      </c>
      <c r="G29" s="290">
        <f>(678/15)*9</f>
        <v>406.8</v>
      </c>
      <c r="H29" s="229">
        <f>ROUND(G29*C29,2)</f>
        <v>89902.8</v>
      </c>
      <c r="I29" s="230">
        <f>+F29+H29</f>
        <v>516495.94</v>
      </c>
      <c r="J29" s="88"/>
    </row>
    <row r="30" spans="1:13" ht="21" customHeight="1">
      <c r="A30" s="218"/>
      <c r="B30" s="291" t="s">
        <v>137</v>
      </c>
      <c r="C30" s="288">
        <v>221</v>
      </c>
      <c r="D30" s="289" t="s">
        <v>35</v>
      </c>
      <c r="E30" s="290">
        <v>0</v>
      </c>
      <c r="F30" s="229">
        <f t="shared" ref="F30:F96" si="1">ROUND(E30*C30,2)</f>
        <v>0</v>
      </c>
      <c r="G30" s="290">
        <v>200</v>
      </c>
      <c r="H30" s="229">
        <f t="shared" ref="H30:H96" si="2">ROUND(G30*C30,2)</f>
        <v>44200</v>
      </c>
      <c r="I30" s="230">
        <f t="shared" ref="I30:I96" si="3">+F30+H30</f>
        <v>44200</v>
      </c>
      <c r="J30" s="88"/>
    </row>
    <row r="31" spans="1:13" ht="21" customHeight="1">
      <c r="A31" s="275">
        <v>2.2000000000000002</v>
      </c>
      <c r="B31" s="281" t="s">
        <v>138</v>
      </c>
      <c r="C31" s="282"/>
      <c r="D31" s="283"/>
      <c r="E31" s="290"/>
      <c r="F31" s="229"/>
      <c r="G31" s="292"/>
      <c r="H31" s="229"/>
      <c r="I31" s="230"/>
      <c r="J31" s="88"/>
    </row>
    <row r="32" spans="1:13" s="203" customFormat="1" ht="21" customHeight="1">
      <c r="A32" s="218"/>
      <c r="B32" s="291" t="s">
        <v>139</v>
      </c>
      <c r="C32" s="288">
        <v>435</v>
      </c>
      <c r="D32" s="289" t="s">
        <v>140</v>
      </c>
      <c r="E32" s="290">
        <v>0</v>
      </c>
      <c r="F32" s="229">
        <f t="shared" si="1"/>
        <v>0</v>
      </c>
      <c r="G32" s="292">
        <v>142</v>
      </c>
      <c r="H32" s="229">
        <f t="shared" si="2"/>
        <v>61770</v>
      </c>
      <c r="I32" s="230">
        <f t="shared" si="3"/>
        <v>61770</v>
      </c>
      <c r="J32" s="88"/>
      <c r="L32" s="210"/>
    </row>
    <row r="33" spans="1:13" ht="21" customHeight="1">
      <c r="A33" s="218"/>
      <c r="B33" s="291" t="s">
        <v>141</v>
      </c>
      <c r="C33" s="288">
        <v>41.5</v>
      </c>
      <c r="D33" s="289" t="s">
        <v>140</v>
      </c>
      <c r="E33" s="290">
        <v>280.37</v>
      </c>
      <c r="F33" s="229">
        <f t="shared" si="1"/>
        <v>11635.36</v>
      </c>
      <c r="G33" s="292">
        <v>104</v>
      </c>
      <c r="H33" s="229">
        <f t="shared" si="2"/>
        <v>4316</v>
      </c>
      <c r="I33" s="230">
        <f t="shared" si="3"/>
        <v>15951.36</v>
      </c>
      <c r="J33" s="88"/>
    </row>
    <row r="34" spans="1:13" ht="21" customHeight="1">
      <c r="A34" s="218"/>
      <c r="B34" s="291" t="s">
        <v>459</v>
      </c>
      <c r="C34" s="288">
        <v>20.75</v>
      </c>
      <c r="D34" s="289" t="s">
        <v>140</v>
      </c>
      <c r="E34" s="290">
        <v>1610</v>
      </c>
      <c r="F34" s="229">
        <f t="shared" si="1"/>
        <v>33407.5</v>
      </c>
      <c r="G34" s="292">
        <v>426</v>
      </c>
      <c r="H34" s="229">
        <f t="shared" si="2"/>
        <v>8839.5</v>
      </c>
      <c r="I34" s="230">
        <f t="shared" si="3"/>
        <v>42247</v>
      </c>
      <c r="J34" s="88"/>
    </row>
    <row r="35" spans="1:13" s="203" customFormat="1" ht="21" customHeight="1">
      <c r="A35" s="218"/>
      <c r="B35" s="291" t="s">
        <v>473</v>
      </c>
      <c r="C35" s="288">
        <v>48.4</v>
      </c>
      <c r="D35" s="289" t="s">
        <v>140</v>
      </c>
      <c r="E35" s="290">
        <v>2051.4</v>
      </c>
      <c r="F35" s="229">
        <f t="shared" si="1"/>
        <v>99287.76</v>
      </c>
      <c r="G35" s="292">
        <v>419</v>
      </c>
      <c r="H35" s="229">
        <f t="shared" si="2"/>
        <v>20279.599999999999</v>
      </c>
      <c r="I35" s="230">
        <f t="shared" si="3"/>
        <v>119567.35999999999</v>
      </c>
      <c r="J35" s="88"/>
      <c r="L35" s="210"/>
      <c r="M35" s="210"/>
    </row>
    <row r="36" spans="1:13" s="203" customFormat="1" ht="21" customHeight="1">
      <c r="A36" s="218"/>
      <c r="B36" s="291" t="s">
        <v>418</v>
      </c>
      <c r="C36" s="288"/>
      <c r="D36" s="289"/>
      <c r="E36" s="290"/>
      <c r="F36" s="229"/>
      <c r="G36" s="292"/>
      <c r="H36" s="229"/>
      <c r="I36" s="230"/>
      <c r="J36" s="88"/>
      <c r="L36" s="210"/>
      <c r="M36" s="210"/>
    </row>
    <row r="37" spans="1:13" s="203" customFormat="1" ht="21" customHeight="1">
      <c r="A37" s="218"/>
      <c r="B37" s="291" t="s">
        <v>143</v>
      </c>
      <c r="C37" s="288">
        <v>440.56</v>
      </c>
      <c r="D37" s="289" t="s">
        <v>144</v>
      </c>
      <c r="E37" s="290">
        <v>21.05</v>
      </c>
      <c r="F37" s="229">
        <f t="shared" si="1"/>
        <v>9273.7900000000009</v>
      </c>
      <c r="G37" s="292">
        <v>3.6</v>
      </c>
      <c r="H37" s="229">
        <f t="shared" si="2"/>
        <v>1586.02</v>
      </c>
      <c r="I37" s="230">
        <f t="shared" si="3"/>
        <v>10859.810000000001</v>
      </c>
      <c r="J37" s="88"/>
      <c r="L37" s="210"/>
      <c r="M37" s="210"/>
    </row>
    <row r="38" spans="1:13" s="203" customFormat="1" ht="21" customHeight="1">
      <c r="A38" s="218"/>
      <c r="B38" s="291" t="s">
        <v>145</v>
      </c>
      <c r="C38" s="288">
        <v>5383.98</v>
      </c>
      <c r="D38" s="289" t="s">
        <v>144</v>
      </c>
      <c r="E38" s="290">
        <v>20.56</v>
      </c>
      <c r="F38" s="229">
        <f t="shared" si="1"/>
        <v>110694.63</v>
      </c>
      <c r="G38" s="292">
        <v>3.6</v>
      </c>
      <c r="H38" s="229">
        <f t="shared" si="2"/>
        <v>19382.330000000002</v>
      </c>
      <c r="I38" s="230">
        <f t="shared" si="3"/>
        <v>130076.96</v>
      </c>
      <c r="J38" s="88"/>
      <c r="L38" s="210"/>
    </row>
    <row r="39" spans="1:13" s="203" customFormat="1" ht="21" customHeight="1">
      <c r="A39" s="218"/>
      <c r="B39" s="287" t="s">
        <v>146</v>
      </c>
      <c r="C39" s="288">
        <v>144</v>
      </c>
      <c r="D39" s="289" t="s">
        <v>147</v>
      </c>
      <c r="E39" s="290">
        <v>400</v>
      </c>
      <c r="F39" s="229">
        <f t="shared" si="1"/>
        <v>57600</v>
      </c>
      <c r="G39" s="290">
        <v>0</v>
      </c>
      <c r="H39" s="229">
        <f t="shared" si="2"/>
        <v>0</v>
      </c>
      <c r="I39" s="230">
        <f t="shared" si="3"/>
        <v>57600</v>
      </c>
      <c r="J39" s="88"/>
      <c r="L39" s="210"/>
    </row>
    <row r="40" spans="1:13" s="203" customFormat="1" ht="21" customHeight="1">
      <c r="A40" s="218"/>
      <c r="B40" s="291" t="s">
        <v>148</v>
      </c>
      <c r="C40" s="288">
        <v>111</v>
      </c>
      <c r="D40" s="289" t="s">
        <v>15</v>
      </c>
      <c r="E40" s="290">
        <v>0</v>
      </c>
      <c r="F40" s="229">
        <f t="shared" si="1"/>
        <v>0</v>
      </c>
      <c r="G40" s="292">
        <v>139</v>
      </c>
      <c r="H40" s="229">
        <f t="shared" si="2"/>
        <v>15429</v>
      </c>
      <c r="I40" s="230">
        <f t="shared" si="3"/>
        <v>15429</v>
      </c>
      <c r="J40" s="88"/>
      <c r="L40" s="210"/>
    </row>
    <row r="41" spans="1:13" s="203" customFormat="1" ht="21" customHeight="1">
      <c r="A41" s="218"/>
      <c r="B41" s="291" t="s">
        <v>149</v>
      </c>
      <c r="C41" s="288">
        <v>28</v>
      </c>
      <c r="D41" s="289" t="s">
        <v>144</v>
      </c>
      <c r="E41" s="290">
        <v>44.86</v>
      </c>
      <c r="F41" s="229">
        <f t="shared" si="1"/>
        <v>1256.08</v>
      </c>
      <c r="G41" s="292">
        <v>0</v>
      </c>
      <c r="H41" s="229">
        <f t="shared" si="2"/>
        <v>0</v>
      </c>
      <c r="I41" s="230">
        <f t="shared" si="3"/>
        <v>1256.08</v>
      </c>
      <c r="J41" s="88"/>
      <c r="L41" s="210"/>
    </row>
    <row r="42" spans="1:13" s="203" customFormat="1" ht="21" customHeight="1">
      <c r="A42" s="218"/>
      <c r="B42" s="291" t="s">
        <v>150</v>
      </c>
      <c r="C42" s="288">
        <v>72</v>
      </c>
      <c r="D42" s="289" t="s">
        <v>144</v>
      </c>
      <c r="E42" s="290">
        <v>30</v>
      </c>
      <c r="F42" s="229">
        <f t="shared" si="1"/>
        <v>2160</v>
      </c>
      <c r="G42" s="292">
        <v>0</v>
      </c>
      <c r="H42" s="229">
        <f t="shared" si="2"/>
        <v>0</v>
      </c>
      <c r="I42" s="230">
        <f t="shared" si="3"/>
        <v>2160</v>
      </c>
      <c r="J42" s="88"/>
      <c r="L42" s="210"/>
    </row>
    <row r="43" spans="1:13" s="203" customFormat="1" ht="21" customHeight="1">
      <c r="A43" s="275">
        <v>2.2999999999999998</v>
      </c>
      <c r="B43" s="281" t="s">
        <v>151</v>
      </c>
      <c r="C43" s="282"/>
      <c r="D43" s="289"/>
      <c r="E43" s="290"/>
      <c r="F43" s="229"/>
      <c r="G43" s="290"/>
      <c r="H43" s="229"/>
      <c r="I43" s="230"/>
      <c r="J43" s="88"/>
      <c r="L43" s="210"/>
    </row>
    <row r="44" spans="1:13" s="203" customFormat="1" ht="21" customHeight="1">
      <c r="A44" s="218"/>
      <c r="B44" s="287" t="s">
        <v>458</v>
      </c>
      <c r="C44" s="288">
        <v>10</v>
      </c>
      <c r="D44" s="289" t="s">
        <v>140</v>
      </c>
      <c r="E44" s="290">
        <v>0</v>
      </c>
      <c r="F44" s="229">
        <f t="shared" ref="F44:F45" si="4">ROUND(E44*C44,2)</f>
        <v>0</v>
      </c>
      <c r="G44" s="292">
        <v>145</v>
      </c>
      <c r="H44" s="229">
        <f t="shared" ref="H44:H45" si="5">ROUND(G44*C44,2)</f>
        <v>1450</v>
      </c>
      <c r="I44" s="230">
        <f t="shared" ref="I44:I45" si="6">+F44+H44</f>
        <v>1450</v>
      </c>
      <c r="J44" s="88"/>
      <c r="L44" s="210"/>
    </row>
    <row r="45" spans="1:13" s="203" customFormat="1" ht="21" customHeight="1">
      <c r="A45" s="218"/>
      <c r="B45" s="287" t="s">
        <v>459</v>
      </c>
      <c r="C45" s="288">
        <v>22</v>
      </c>
      <c r="D45" s="289" t="s">
        <v>140</v>
      </c>
      <c r="E45" s="290">
        <f>E34</f>
        <v>1610</v>
      </c>
      <c r="F45" s="229">
        <f t="shared" si="4"/>
        <v>35420</v>
      </c>
      <c r="G45" s="292">
        <v>426</v>
      </c>
      <c r="H45" s="229">
        <f t="shared" si="5"/>
        <v>9372</v>
      </c>
      <c r="I45" s="230">
        <f t="shared" si="6"/>
        <v>44792</v>
      </c>
      <c r="J45" s="88"/>
      <c r="L45" s="210"/>
    </row>
    <row r="46" spans="1:13" s="203" customFormat="1" ht="21" customHeight="1">
      <c r="A46" s="218"/>
      <c r="B46" s="287" t="s">
        <v>474</v>
      </c>
      <c r="C46" s="288">
        <v>203</v>
      </c>
      <c r="D46" s="289" t="s">
        <v>140</v>
      </c>
      <c r="E46" s="290">
        <v>2009.35</v>
      </c>
      <c r="F46" s="229">
        <f t="shared" si="1"/>
        <v>407898.05</v>
      </c>
      <c r="G46" s="292">
        <v>519</v>
      </c>
      <c r="H46" s="229">
        <f t="shared" si="2"/>
        <v>105357</v>
      </c>
      <c r="I46" s="230">
        <f t="shared" si="3"/>
        <v>513255.05</v>
      </c>
      <c r="J46" s="88"/>
      <c r="L46" s="210"/>
    </row>
    <row r="47" spans="1:13" s="203" customFormat="1" ht="21" customHeight="1">
      <c r="A47" s="218"/>
      <c r="B47" s="287" t="s">
        <v>152</v>
      </c>
      <c r="C47" s="288"/>
      <c r="D47" s="289"/>
      <c r="E47" s="290"/>
      <c r="F47" s="229"/>
      <c r="G47" s="292"/>
      <c r="H47" s="229"/>
      <c r="I47" s="230"/>
      <c r="J47" s="88"/>
      <c r="L47" s="210"/>
    </row>
    <row r="48" spans="1:13" s="293" customFormat="1" ht="21" customHeight="1">
      <c r="A48" s="218"/>
      <c r="B48" s="291" t="s">
        <v>153</v>
      </c>
      <c r="C48" s="288">
        <v>7119</v>
      </c>
      <c r="D48" s="289" t="s">
        <v>144</v>
      </c>
      <c r="E48" s="290">
        <v>23.9</v>
      </c>
      <c r="F48" s="229">
        <f t="shared" si="1"/>
        <v>170144.1</v>
      </c>
      <c r="G48" s="292">
        <v>4.4000000000000004</v>
      </c>
      <c r="H48" s="229">
        <f t="shared" si="2"/>
        <v>31323.599999999999</v>
      </c>
      <c r="I48" s="230">
        <f t="shared" si="3"/>
        <v>201467.7</v>
      </c>
      <c r="J48" s="97"/>
      <c r="L48" s="209"/>
    </row>
    <row r="49" spans="1:12" s="203" customFormat="1" ht="21" customHeight="1">
      <c r="A49" s="218"/>
      <c r="B49" s="287" t="s">
        <v>142</v>
      </c>
      <c r="C49" s="288"/>
      <c r="D49" s="289"/>
      <c r="E49" s="290"/>
      <c r="F49" s="229"/>
      <c r="G49" s="292"/>
      <c r="H49" s="229"/>
      <c r="I49" s="230"/>
      <c r="J49" s="88"/>
      <c r="L49" s="210"/>
    </row>
    <row r="50" spans="1:12" s="203" customFormat="1" ht="21" customHeight="1">
      <c r="A50" s="218"/>
      <c r="B50" s="291" t="s">
        <v>143</v>
      </c>
      <c r="C50" s="288">
        <v>938</v>
      </c>
      <c r="D50" s="289" t="s">
        <v>144</v>
      </c>
      <c r="E50" s="290">
        <f>E37</f>
        <v>21.05</v>
      </c>
      <c r="F50" s="229">
        <f t="shared" si="1"/>
        <v>19744.900000000001</v>
      </c>
      <c r="G50" s="292">
        <v>3.6</v>
      </c>
      <c r="H50" s="229">
        <f t="shared" si="2"/>
        <v>3376.8</v>
      </c>
      <c r="I50" s="230">
        <f t="shared" si="3"/>
        <v>23121.7</v>
      </c>
      <c r="J50" s="88"/>
      <c r="L50" s="210"/>
    </row>
    <row r="51" spans="1:12" s="203" customFormat="1" ht="21" customHeight="1">
      <c r="A51" s="218"/>
      <c r="B51" s="291" t="s">
        <v>145</v>
      </c>
      <c r="C51" s="288">
        <v>266</v>
      </c>
      <c r="D51" s="289" t="s">
        <v>144</v>
      </c>
      <c r="E51" s="290">
        <f>E38</f>
        <v>20.56</v>
      </c>
      <c r="F51" s="229">
        <f t="shared" si="1"/>
        <v>5468.96</v>
      </c>
      <c r="G51" s="292">
        <v>3.6</v>
      </c>
      <c r="H51" s="229">
        <f t="shared" si="2"/>
        <v>957.6</v>
      </c>
      <c r="I51" s="230">
        <f t="shared" si="3"/>
        <v>6426.56</v>
      </c>
      <c r="J51" s="88"/>
      <c r="L51" s="210"/>
    </row>
    <row r="52" spans="1:12" s="203" customFormat="1" ht="21" customHeight="1">
      <c r="A52" s="218"/>
      <c r="B52" s="291" t="s">
        <v>154</v>
      </c>
      <c r="C52" s="288">
        <v>1749</v>
      </c>
      <c r="D52" s="289" t="s">
        <v>144</v>
      </c>
      <c r="E52" s="290">
        <v>20.57</v>
      </c>
      <c r="F52" s="229">
        <f t="shared" si="1"/>
        <v>35976.93</v>
      </c>
      <c r="G52" s="292">
        <v>3.1</v>
      </c>
      <c r="H52" s="229">
        <f t="shared" si="2"/>
        <v>5421.9</v>
      </c>
      <c r="I52" s="230">
        <f t="shared" si="3"/>
        <v>41398.83</v>
      </c>
      <c r="J52" s="88"/>
      <c r="L52" s="210"/>
    </row>
    <row r="53" spans="1:12" s="203" customFormat="1" ht="21" customHeight="1">
      <c r="A53" s="218"/>
      <c r="B53" s="287" t="s">
        <v>146</v>
      </c>
      <c r="C53" s="288">
        <v>1710</v>
      </c>
      <c r="D53" s="289" t="s">
        <v>147</v>
      </c>
      <c r="E53" s="290">
        <v>400</v>
      </c>
      <c r="F53" s="229">
        <f t="shared" si="1"/>
        <v>684000</v>
      </c>
      <c r="G53" s="292">
        <v>0</v>
      </c>
      <c r="H53" s="229">
        <f t="shared" si="2"/>
        <v>0</v>
      </c>
      <c r="I53" s="230">
        <f t="shared" si="3"/>
        <v>684000</v>
      </c>
      <c r="J53" s="88"/>
      <c r="L53" s="210"/>
    </row>
    <row r="54" spans="1:12" s="203" customFormat="1" ht="21" customHeight="1">
      <c r="A54" s="218"/>
      <c r="B54" s="287" t="s">
        <v>148</v>
      </c>
      <c r="C54" s="288">
        <v>1315</v>
      </c>
      <c r="D54" s="289" t="s">
        <v>15</v>
      </c>
      <c r="E54" s="290">
        <v>0</v>
      </c>
      <c r="F54" s="229">
        <f t="shared" si="1"/>
        <v>0</v>
      </c>
      <c r="G54" s="292">
        <v>139</v>
      </c>
      <c r="H54" s="229">
        <f t="shared" si="2"/>
        <v>182785</v>
      </c>
      <c r="I54" s="230">
        <f t="shared" si="3"/>
        <v>182785</v>
      </c>
      <c r="J54" s="88"/>
      <c r="L54" s="210"/>
    </row>
    <row r="55" spans="1:12" s="203" customFormat="1" ht="21" customHeight="1">
      <c r="A55" s="218"/>
      <c r="B55" s="287" t="s">
        <v>149</v>
      </c>
      <c r="C55" s="288">
        <v>329</v>
      </c>
      <c r="D55" s="289" t="s">
        <v>144</v>
      </c>
      <c r="E55" s="290">
        <v>44.86</v>
      </c>
      <c r="F55" s="229">
        <f t="shared" si="1"/>
        <v>14758.94</v>
      </c>
      <c r="G55" s="292">
        <v>0</v>
      </c>
      <c r="H55" s="229">
        <f t="shared" si="2"/>
        <v>0</v>
      </c>
      <c r="I55" s="230">
        <f t="shared" si="3"/>
        <v>14758.94</v>
      </c>
      <c r="J55" s="88"/>
      <c r="L55" s="210"/>
    </row>
    <row r="56" spans="1:12" s="203" customFormat="1" ht="21" customHeight="1">
      <c r="A56" s="218"/>
      <c r="B56" s="287" t="s">
        <v>150</v>
      </c>
      <c r="C56" s="288">
        <v>125</v>
      </c>
      <c r="D56" s="289" t="s">
        <v>144</v>
      </c>
      <c r="E56" s="290">
        <v>30</v>
      </c>
      <c r="F56" s="229">
        <f t="shared" si="1"/>
        <v>3750</v>
      </c>
      <c r="G56" s="292">
        <v>0</v>
      </c>
      <c r="H56" s="229">
        <f t="shared" si="2"/>
        <v>0</v>
      </c>
      <c r="I56" s="230">
        <f t="shared" si="3"/>
        <v>3750</v>
      </c>
      <c r="J56" s="88"/>
      <c r="L56" s="210"/>
    </row>
    <row r="57" spans="1:12" s="203" customFormat="1" ht="21" customHeight="1">
      <c r="A57" s="275">
        <v>2.4</v>
      </c>
      <c r="B57" s="281" t="s">
        <v>155</v>
      </c>
      <c r="C57" s="282"/>
      <c r="D57" s="289"/>
      <c r="E57" s="290"/>
      <c r="F57" s="229"/>
      <c r="G57" s="290"/>
      <c r="H57" s="229"/>
      <c r="I57" s="230"/>
      <c r="J57" s="88"/>
      <c r="L57" s="210"/>
    </row>
    <row r="58" spans="1:12" s="203" customFormat="1" ht="21" customHeight="1">
      <c r="A58" s="218"/>
      <c r="B58" s="287" t="s">
        <v>475</v>
      </c>
      <c r="C58" s="288">
        <v>203</v>
      </c>
      <c r="D58" s="289" t="s">
        <v>140</v>
      </c>
      <c r="E58" s="290">
        <f>E35</f>
        <v>2051.4</v>
      </c>
      <c r="F58" s="229">
        <f>ROUND(E58*C58,2)</f>
        <v>416434.2</v>
      </c>
      <c r="G58" s="292">
        <f>G46</f>
        <v>519</v>
      </c>
      <c r="H58" s="229">
        <f t="shared" si="2"/>
        <v>105357</v>
      </c>
      <c r="I58" s="230">
        <f t="shared" si="3"/>
        <v>521791.2</v>
      </c>
      <c r="J58" s="98"/>
      <c r="L58" s="210"/>
    </row>
    <row r="59" spans="1:12" s="203" customFormat="1" ht="21" customHeight="1">
      <c r="A59" s="218"/>
      <c r="B59" s="287" t="s">
        <v>152</v>
      </c>
      <c r="C59" s="288"/>
      <c r="D59" s="289"/>
      <c r="E59" s="290"/>
      <c r="F59" s="229"/>
      <c r="G59" s="292"/>
      <c r="H59" s="229"/>
      <c r="I59" s="230"/>
      <c r="J59" s="97"/>
    </row>
    <row r="60" spans="1:12" s="203" customFormat="1" ht="21" customHeight="1">
      <c r="A60" s="218"/>
      <c r="B60" s="291" t="s">
        <v>460</v>
      </c>
      <c r="C60" s="288">
        <v>187</v>
      </c>
      <c r="D60" s="289" t="s">
        <v>144</v>
      </c>
      <c r="E60" s="290">
        <v>23.9</v>
      </c>
      <c r="F60" s="229">
        <f t="shared" ref="F60" si="7">ROUND(E60*C60,2)</f>
        <v>4469.3</v>
      </c>
      <c r="G60" s="292">
        <v>4.4000000000000004</v>
      </c>
      <c r="H60" s="229">
        <f t="shared" ref="H60" si="8">ROUND(G60*C60,2)</f>
        <v>822.8</v>
      </c>
      <c r="I60" s="230">
        <f t="shared" ref="I60" si="9">+F60+H60</f>
        <v>5292.1</v>
      </c>
      <c r="J60" s="97"/>
    </row>
    <row r="61" spans="1:12" s="203" customFormat="1" ht="21" customHeight="1">
      <c r="A61" s="218"/>
      <c r="B61" s="291" t="s">
        <v>153</v>
      </c>
      <c r="C61" s="288">
        <v>2054</v>
      </c>
      <c r="D61" s="289" t="s">
        <v>144</v>
      </c>
      <c r="E61" s="290">
        <f>E48</f>
        <v>23.9</v>
      </c>
      <c r="F61" s="229">
        <f t="shared" si="1"/>
        <v>49090.6</v>
      </c>
      <c r="G61" s="292">
        <f>G48</f>
        <v>4.4000000000000004</v>
      </c>
      <c r="H61" s="229">
        <f t="shared" si="2"/>
        <v>9037.6</v>
      </c>
      <c r="I61" s="230">
        <f t="shared" si="3"/>
        <v>58128.2</v>
      </c>
      <c r="J61" s="97"/>
    </row>
    <row r="62" spans="1:12" s="203" customFormat="1" ht="21" customHeight="1">
      <c r="A62" s="218"/>
      <c r="B62" s="291" t="s">
        <v>156</v>
      </c>
      <c r="C62" s="288"/>
      <c r="D62" s="289"/>
      <c r="E62" s="290"/>
      <c r="F62" s="229"/>
      <c r="G62" s="292"/>
      <c r="H62" s="229"/>
      <c r="I62" s="230"/>
      <c r="J62" s="97"/>
    </row>
    <row r="63" spans="1:12" s="203" customFormat="1" ht="21" customHeight="1">
      <c r="A63" s="218"/>
      <c r="B63" s="291" t="s">
        <v>143</v>
      </c>
      <c r="C63" s="288">
        <v>246</v>
      </c>
      <c r="D63" s="289" t="s">
        <v>144</v>
      </c>
      <c r="E63" s="290">
        <f>E50</f>
        <v>21.05</v>
      </c>
      <c r="F63" s="229">
        <f t="shared" si="1"/>
        <v>5178.3</v>
      </c>
      <c r="G63" s="292">
        <f>G50</f>
        <v>3.6</v>
      </c>
      <c r="H63" s="229">
        <f t="shared" si="2"/>
        <v>885.6</v>
      </c>
      <c r="I63" s="230">
        <f t="shared" si="3"/>
        <v>6063.9000000000005</v>
      </c>
      <c r="J63" s="97"/>
    </row>
    <row r="64" spans="1:12" s="203" customFormat="1" ht="21" customHeight="1">
      <c r="A64" s="218"/>
      <c r="B64" s="291" t="s">
        <v>154</v>
      </c>
      <c r="C64" s="288">
        <v>11195</v>
      </c>
      <c r="D64" s="289" t="s">
        <v>144</v>
      </c>
      <c r="E64" s="290">
        <f>E52</f>
        <v>20.57</v>
      </c>
      <c r="F64" s="229">
        <f t="shared" si="1"/>
        <v>230281.15</v>
      </c>
      <c r="G64" s="292">
        <f>G51</f>
        <v>3.6</v>
      </c>
      <c r="H64" s="229">
        <f t="shared" si="2"/>
        <v>40302</v>
      </c>
      <c r="I64" s="230">
        <f t="shared" si="3"/>
        <v>270583.15000000002</v>
      </c>
      <c r="J64" s="97"/>
    </row>
    <row r="65" spans="1:12" s="203" customFormat="1" ht="21" customHeight="1">
      <c r="A65" s="218"/>
      <c r="B65" s="291" t="s">
        <v>146</v>
      </c>
      <c r="C65" s="288">
        <v>1073</v>
      </c>
      <c r="D65" s="289" t="s">
        <v>147</v>
      </c>
      <c r="E65" s="290">
        <v>400</v>
      </c>
      <c r="F65" s="229">
        <f t="shared" si="1"/>
        <v>429200</v>
      </c>
      <c r="G65" s="292">
        <v>0</v>
      </c>
      <c r="H65" s="229">
        <f t="shared" si="2"/>
        <v>0</v>
      </c>
      <c r="I65" s="230">
        <f t="shared" si="3"/>
        <v>429200</v>
      </c>
      <c r="J65" s="97"/>
    </row>
    <row r="66" spans="1:12" s="203" customFormat="1" ht="21" customHeight="1">
      <c r="A66" s="218"/>
      <c r="B66" s="287" t="s">
        <v>148</v>
      </c>
      <c r="C66" s="288">
        <v>825</v>
      </c>
      <c r="D66" s="289" t="s">
        <v>15</v>
      </c>
      <c r="E66" s="290">
        <v>0</v>
      </c>
      <c r="F66" s="229">
        <f t="shared" si="1"/>
        <v>0</v>
      </c>
      <c r="G66" s="292">
        <f>G54</f>
        <v>139</v>
      </c>
      <c r="H66" s="229">
        <f t="shared" si="2"/>
        <v>114675</v>
      </c>
      <c r="I66" s="230">
        <f t="shared" si="3"/>
        <v>114675</v>
      </c>
      <c r="J66" s="97"/>
    </row>
    <row r="67" spans="1:12" s="203" customFormat="1" ht="21" customHeight="1">
      <c r="A67" s="218"/>
      <c r="B67" s="291" t="s">
        <v>149</v>
      </c>
      <c r="C67" s="288">
        <v>206</v>
      </c>
      <c r="D67" s="289" t="s">
        <v>144</v>
      </c>
      <c r="E67" s="290">
        <f>E55</f>
        <v>44.86</v>
      </c>
      <c r="F67" s="229">
        <f t="shared" si="1"/>
        <v>9241.16</v>
      </c>
      <c r="G67" s="292">
        <v>0</v>
      </c>
      <c r="H67" s="229">
        <f t="shared" si="2"/>
        <v>0</v>
      </c>
      <c r="I67" s="230">
        <f t="shared" si="3"/>
        <v>9241.16</v>
      </c>
      <c r="J67" s="98"/>
      <c r="L67" s="210"/>
    </row>
    <row r="68" spans="1:12" s="203" customFormat="1" ht="21" customHeight="1">
      <c r="A68" s="218"/>
      <c r="B68" s="291" t="s">
        <v>150</v>
      </c>
      <c r="C68" s="288">
        <v>168</v>
      </c>
      <c r="D68" s="289" t="s">
        <v>144</v>
      </c>
      <c r="E68" s="290">
        <f>E56</f>
        <v>30</v>
      </c>
      <c r="F68" s="229">
        <f t="shared" si="1"/>
        <v>5040</v>
      </c>
      <c r="G68" s="292">
        <v>0</v>
      </c>
      <c r="H68" s="229">
        <f t="shared" si="2"/>
        <v>0</v>
      </c>
      <c r="I68" s="230">
        <f t="shared" si="3"/>
        <v>5040</v>
      </c>
      <c r="J68" s="97"/>
    </row>
    <row r="69" spans="1:12" s="203" customFormat="1" ht="21" customHeight="1">
      <c r="A69" s="275">
        <v>2.5</v>
      </c>
      <c r="B69" s="281" t="s">
        <v>157</v>
      </c>
      <c r="C69" s="282"/>
      <c r="D69" s="289"/>
      <c r="E69" s="290"/>
      <c r="F69" s="229"/>
      <c r="G69" s="290"/>
      <c r="H69" s="229"/>
      <c r="I69" s="230"/>
      <c r="J69" s="97"/>
    </row>
    <row r="70" spans="1:12" s="203" customFormat="1" ht="21" customHeight="1">
      <c r="A70" s="218"/>
      <c r="B70" s="291" t="s">
        <v>158</v>
      </c>
      <c r="C70" s="288">
        <v>58</v>
      </c>
      <c r="D70" s="289" t="s">
        <v>140</v>
      </c>
      <c r="E70" s="290">
        <v>2009.35</v>
      </c>
      <c r="F70" s="295">
        <f t="shared" si="1"/>
        <v>116542.3</v>
      </c>
      <c r="G70" s="292">
        <f>G58</f>
        <v>519</v>
      </c>
      <c r="H70" s="229">
        <f t="shared" si="2"/>
        <v>30102</v>
      </c>
      <c r="I70" s="230">
        <f t="shared" si="3"/>
        <v>146644.29999999999</v>
      </c>
      <c r="J70" s="97"/>
    </row>
    <row r="71" spans="1:12" s="203" customFormat="1" ht="21" customHeight="1">
      <c r="A71" s="218"/>
      <c r="B71" s="291" t="s">
        <v>474</v>
      </c>
      <c r="C71" s="288">
        <v>55</v>
      </c>
      <c r="D71" s="289" t="s">
        <v>140</v>
      </c>
      <c r="E71" s="290">
        <f>E46</f>
        <v>2009.35</v>
      </c>
      <c r="F71" s="295">
        <f t="shared" si="1"/>
        <v>110514.25</v>
      </c>
      <c r="G71" s="292">
        <f>G58</f>
        <v>519</v>
      </c>
      <c r="H71" s="229">
        <f t="shared" si="2"/>
        <v>28545</v>
      </c>
      <c r="I71" s="230">
        <f t="shared" si="3"/>
        <v>139059.25</v>
      </c>
      <c r="J71" s="97"/>
    </row>
    <row r="72" spans="1:12" s="203" customFormat="1" ht="21" customHeight="1">
      <c r="A72" s="218"/>
      <c r="B72" s="287" t="s">
        <v>152</v>
      </c>
      <c r="C72" s="288"/>
      <c r="D72" s="289"/>
      <c r="E72" s="290"/>
      <c r="F72" s="295"/>
      <c r="G72" s="292"/>
      <c r="H72" s="229"/>
      <c r="I72" s="230"/>
      <c r="J72" s="97"/>
    </row>
    <row r="73" spans="1:12" s="203" customFormat="1" ht="21" customHeight="1">
      <c r="A73" s="218"/>
      <c r="B73" s="291" t="s">
        <v>460</v>
      </c>
      <c r="C73" s="288">
        <v>113</v>
      </c>
      <c r="D73" s="289" t="s">
        <v>144</v>
      </c>
      <c r="E73" s="290">
        <v>23.9</v>
      </c>
      <c r="F73" s="295">
        <f t="shared" ref="F73" si="10">ROUND(E73*C73,2)</f>
        <v>2700.7</v>
      </c>
      <c r="G73" s="292">
        <v>4.4000000000000004</v>
      </c>
      <c r="H73" s="229">
        <f t="shared" ref="H73" si="11">ROUND(G73*C73,2)</f>
        <v>497.2</v>
      </c>
      <c r="I73" s="230">
        <f t="shared" ref="I73" si="12">+F73+H73</f>
        <v>3197.8999999999996</v>
      </c>
      <c r="J73" s="97"/>
    </row>
    <row r="74" spans="1:12" s="203" customFormat="1" ht="21" customHeight="1">
      <c r="A74" s="218"/>
      <c r="B74" s="291" t="s">
        <v>153</v>
      </c>
      <c r="C74" s="288">
        <v>4196</v>
      </c>
      <c r="D74" s="289" t="s">
        <v>144</v>
      </c>
      <c r="E74" s="290">
        <f>E61</f>
        <v>23.9</v>
      </c>
      <c r="F74" s="295">
        <f t="shared" si="1"/>
        <v>100284.4</v>
      </c>
      <c r="G74" s="292">
        <f>G61</f>
        <v>4.4000000000000004</v>
      </c>
      <c r="H74" s="229">
        <f t="shared" si="2"/>
        <v>18462.400000000001</v>
      </c>
      <c r="I74" s="230">
        <f t="shared" si="3"/>
        <v>118746.79999999999</v>
      </c>
      <c r="J74" s="98"/>
      <c r="L74" s="210"/>
    </row>
    <row r="75" spans="1:12" s="203" customFormat="1" ht="21" customHeight="1">
      <c r="A75" s="218"/>
      <c r="B75" s="287" t="s">
        <v>142</v>
      </c>
      <c r="C75" s="288"/>
      <c r="D75" s="289"/>
      <c r="E75" s="290"/>
      <c r="F75" s="295"/>
      <c r="G75" s="292"/>
      <c r="H75" s="229"/>
      <c r="I75" s="230"/>
      <c r="J75" s="97"/>
    </row>
    <row r="76" spans="1:12" s="203" customFormat="1" ht="21" customHeight="1">
      <c r="A76" s="218"/>
      <c r="B76" s="291" t="s">
        <v>143</v>
      </c>
      <c r="C76" s="288">
        <v>3121</v>
      </c>
      <c r="D76" s="289" t="s">
        <v>144</v>
      </c>
      <c r="E76" s="290">
        <f>E63</f>
        <v>21.05</v>
      </c>
      <c r="F76" s="295">
        <f t="shared" si="1"/>
        <v>65697.05</v>
      </c>
      <c r="G76" s="292">
        <f>G63</f>
        <v>3.6</v>
      </c>
      <c r="H76" s="229">
        <f t="shared" si="2"/>
        <v>11235.6</v>
      </c>
      <c r="I76" s="230">
        <f t="shared" si="3"/>
        <v>76932.650000000009</v>
      </c>
      <c r="J76" s="97"/>
    </row>
    <row r="77" spans="1:12" s="203" customFormat="1" ht="21" customHeight="1">
      <c r="A77" s="218"/>
      <c r="B77" s="287" t="s">
        <v>159</v>
      </c>
      <c r="C77" s="288">
        <v>1045</v>
      </c>
      <c r="D77" s="289" t="s">
        <v>15</v>
      </c>
      <c r="E77" s="290">
        <v>73</v>
      </c>
      <c r="F77" s="295">
        <f t="shared" si="1"/>
        <v>76285</v>
      </c>
      <c r="G77" s="292">
        <v>5</v>
      </c>
      <c r="H77" s="229">
        <f t="shared" si="2"/>
        <v>5225</v>
      </c>
      <c r="I77" s="230">
        <f t="shared" si="3"/>
        <v>81510</v>
      </c>
      <c r="J77" s="97"/>
    </row>
    <row r="78" spans="1:12" s="203" customFormat="1" ht="21" customHeight="1">
      <c r="A78" s="218"/>
      <c r="B78" s="291" t="s">
        <v>160</v>
      </c>
      <c r="C78" s="288">
        <v>1045</v>
      </c>
      <c r="D78" s="289" t="s">
        <v>15</v>
      </c>
      <c r="E78" s="290">
        <v>258</v>
      </c>
      <c r="F78" s="295">
        <f t="shared" si="1"/>
        <v>269610</v>
      </c>
      <c r="G78" s="292">
        <v>25</v>
      </c>
      <c r="H78" s="229">
        <f t="shared" si="2"/>
        <v>26125</v>
      </c>
      <c r="I78" s="230">
        <f t="shared" si="3"/>
        <v>295735</v>
      </c>
      <c r="J78" s="97"/>
    </row>
    <row r="79" spans="1:12" s="203" customFormat="1" ht="21" customHeight="1">
      <c r="A79" s="218"/>
      <c r="B79" s="291" t="s">
        <v>146</v>
      </c>
      <c r="C79" s="288">
        <v>65</v>
      </c>
      <c r="D79" s="289" t="s">
        <v>147</v>
      </c>
      <c r="E79" s="290">
        <v>400</v>
      </c>
      <c r="F79" s="295">
        <f t="shared" si="1"/>
        <v>26000</v>
      </c>
      <c r="G79" s="292">
        <v>0</v>
      </c>
      <c r="H79" s="229">
        <f t="shared" si="2"/>
        <v>0</v>
      </c>
      <c r="I79" s="230">
        <f t="shared" si="3"/>
        <v>26000</v>
      </c>
      <c r="J79" s="97"/>
    </row>
    <row r="80" spans="1:12" s="203" customFormat="1" ht="21" customHeight="1">
      <c r="A80" s="218"/>
      <c r="B80" s="291" t="s">
        <v>148</v>
      </c>
      <c r="C80" s="288">
        <v>50</v>
      </c>
      <c r="D80" s="289" t="s">
        <v>15</v>
      </c>
      <c r="E80" s="290">
        <v>0</v>
      </c>
      <c r="F80" s="295">
        <f t="shared" si="1"/>
        <v>0</v>
      </c>
      <c r="G80" s="292">
        <f>G66</f>
        <v>139</v>
      </c>
      <c r="H80" s="229">
        <f t="shared" si="2"/>
        <v>6950</v>
      </c>
      <c r="I80" s="230">
        <f t="shared" si="3"/>
        <v>6950</v>
      </c>
      <c r="J80" s="97"/>
    </row>
    <row r="81" spans="1:12" s="203" customFormat="1" ht="21" customHeight="1">
      <c r="A81" s="218"/>
      <c r="B81" s="287" t="s">
        <v>149</v>
      </c>
      <c r="C81" s="288">
        <v>13</v>
      </c>
      <c r="D81" s="289" t="s">
        <v>144</v>
      </c>
      <c r="E81" s="290">
        <f>E67</f>
        <v>44.86</v>
      </c>
      <c r="F81" s="295">
        <f t="shared" si="1"/>
        <v>583.17999999999995</v>
      </c>
      <c r="G81" s="292">
        <v>0</v>
      </c>
      <c r="H81" s="229">
        <f t="shared" si="2"/>
        <v>0</v>
      </c>
      <c r="I81" s="230">
        <f t="shared" si="3"/>
        <v>583.17999999999995</v>
      </c>
      <c r="J81" s="97"/>
    </row>
    <row r="82" spans="1:12" s="203" customFormat="1" ht="21" customHeight="1">
      <c r="A82" s="218"/>
      <c r="B82" s="291" t="s">
        <v>150</v>
      </c>
      <c r="C82" s="288">
        <v>91</v>
      </c>
      <c r="D82" s="289" t="s">
        <v>144</v>
      </c>
      <c r="E82" s="290">
        <f>E68</f>
        <v>30</v>
      </c>
      <c r="F82" s="295">
        <f t="shared" si="1"/>
        <v>2730</v>
      </c>
      <c r="G82" s="292">
        <v>0</v>
      </c>
      <c r="H82" s="229">
        <f t="shared" si="2"/>
        <v>0</v>
      </c>
      <c r="I82" s="230">
        <f t="shared" si="3"/>
        <v>2730</v>
      </c>
      <c r="J82" s="97"/>
    </row>
    <row r="83" spans="1:12" s="203" customFormat="1" ht="21" customHeight="1">
      <c r="A83" s="275">
        <v>2.6</v>
      </c>
      <c r="B83" s="294" t="s">
        <v>161</v>
      </c>
      <c r="C83" s="288"/>
      <c r="D83" s="289"/>
      <c r="E83" s="290"/>
      <c r="F83" s="295"/>
      <c r="G83" s="292"/>
      <c r="H83" s="229"/>
      <c r="I83" s="230"/>
      <c r="J83" s="98"/>
      <c r="L83" s="210"/>
    </row>
    <row r="84" spans="1:12" s="203" customFormat="1" ht="21" customHeight="1">
      <c r="A84" s="218"/>
      <c r="B84" s="291" t="s">
        <v>474</v>
      </c>
      <c r="C84" s="288">
        <v>17</v>
      </c>
      <c r="D84" s="289" t="s">
        <v>140</v>
      </c>
      <c r="E84" s="290">
        <f>E71</f>
        <v>2009.35</v>
      </c>
      <c r="F84" s="295">
        <f t="shared" si="1"/>
        <v>34158.949999999997</v>
      </c>
      <c r="G84" s="292">
        <f>G71</f>
        <v>519</v>
      </c>
      <c r="H84" s="229">
        <f t="shared" si="2"/>
        <v>8823</v>
      </c>
      <c r="I84" s="230">
        <f t="shared" si="3"/>
        <v>42981.95</v>
      </c>
      <c r="J84" s="97"/>
    </row>
    <row r="85" spans="1:12" s="203" customFormat="1" ht="21" customHeight="1">
      <c r="A85" s="218"/>
      <c r="B85" s="287" t="s">
        <v>152</v>
      </c>
      <c r="C85" s="288"/>
      <c r="D85" s="289"/>
      <c r="E85" s="290"/>
      <c r="F85" s="295"/>
      <c r="G85" s="292"/>
      <c r="H85" s="229"/>
      <c r="I85" s="230"/>
      <c r="J85" s="97"/>
    </row>
    <row r="86" spans="1:12" s="203" customFormat="1" ht="21" customHeight="1">
      <c r="A86" s="218"/>
      <c r="B86" s="291" t="s">
        <v>153</v>
      </c>
      <c r="C86" s="288">
        <v>555</v>
      </c>
      <c r="D86" s="289" t="s">
        <v>144</v>
      </c>
      <c r="E86" s="290">
        <f>E74</f>
        <v>23.9</v>
      </c>
      <c r="F86" s="295">
        <f t="shared" si="1"/>
        <v>13264.5</v>
      </c>
      <c r="G86" s="292">
        <f>G74</f>
        <v>4.4000000000000004</v>
      </c>
      <c r="H86" s="229">
        <f t="shared" si="2"/>
        <v>2442</v>
      </c>
      <c r="I86" s="230">
        <f t="shared" si="3"/>
        <v>15706.5</v>
      </c>
      <c r="J86" s="97"/>
    </row>
    <row r="87" spans="1:12" s="203" customFormat="1" ht="21" customHeight="1">
      <c r="A87" s="218"/>
      <c r="B87" s="287" t="s">
        <v>142</v>
      </c>
      <c r="C87" s="288"/>
      <c r="D87" s="289"/>
      <c r="E87" s="290"/>
      <c r="F87" s="229"/>
      <c r="G87" s="292"/>
      <c r="H87" s="229"/>
      <c r="I87" s="230"/>
      <c r="J87" s="97"/>
    </row>
    <row r="88" spans="1:12" s="203" customFormat="1" ht="21" customHeight="1">
      <c r="A88" s="218"/>
      <c r="B88" s="291" t="s">
        <v>145</v>
      </c>
      <c r="C88" s="288">
        <v>710</v>
      </c>
      <c r="D88" s="289" t="s">
        <v>144</v>
      </c>
      <c r="E88" s="290">
        <f>E51</f>
        <v>20.56</v>
      </c>
      <c r="F88" s="229">
        <f t="shared" si="1"/>
        <v>14597.6</v>
      </c>
      <c r="G88" s="292">
        <f>G51</f>
        <v>3.6</v>
      </c>
      <c r="H88" s="229">
        <f t="shared" si="2"/>
        <v>2556</v>
      </c>
      <c r="I88" s="230">
        <f t="shared" si="3"/>
        <v>17153.599999999999</v>
      </c>
      <c r="J88" s="97"/>
    </row>
    <row r="89" spans="1:12" s="203" customFormat="1" ht="21" customHeight="1">
      <c r="A89" s="218"/>
      <c r="B89" s="287" t="s">
        <v>146</v>
      </c>
      <c r="C89" s="288">
        <v>189</v>
      </c>
      <c r="D89" s="289" t="s">
        <v>147</v>
      </c>
      <c r="E89" s="290">
        <v>400</v>
      </c>
      <c r="F89" s="229">
        <f t="shared" si="1"/>
        <v>75600</v>
      </c>
      <c r="G89" s="292">
        <v>0</v>
      </c>
      <c r="H89" s="229">
        <f t="shared" si="2"/>
        <v>0</v>
      </c>
      <c r="I89" s="230">
        <f t="shared" si="3"/>
        <v>75600</v>
      </c>
      <c r="J89" s="97"/>
    </row>
    <row r="90" spans="1:12" s="203" customFormat="1" ht="21" customHeight="1">
      <c r="A90" s="218"/>
      <c r="B90" s="291" t="s">
        <v>148</v>
      </c>
      <c r="C90" s="288">
        <v>145</v>
      </c>
      <c r="D90" s="289" t="s">
        <v>15</v>
      </c>
      <c r="E90" s="290">
        <v>0</v>
      </c>
      <c r="F90" s="229">
        <f t="shared" si="1"/>
        <v>0</v>
      </c>
      <c r="G90" s="292">
        <f>G80</f>
        <v>139</v>
      </c>
      <c r="H90" s="229">
        <f t="shared" si="2"/>
        <v>20155</v>
      </c>
      <c r="I90" s="230">
        <f t="shared" si="3"/>
        <v>20155</v>
      </c>
      <c r="J90" s="97"/>
    </row>
    <row r="91" spans="1:12" s="203" customFormat="1" ht="21" customHeight="1">
      <c r="A91" s="218"/>
      <c r="B91" s="291" t="s">
        <v>149</v>
      </c>
      <c r="C91" s="288">
        <v>36</v>
      </c>
      <c r="D91" s="289" t="s">
        <v>144</v>
      </c>
      <c r="E91" s="290">
        <f>E81</f>
        <v>44.86</v>
      </c>
      <c r="F91" s="229">
        <f t="shared" si="1"/>
        <v>1614.96</v>
      </c>
      <c r="G91" s="292">
        <v>0</v>
      </c>
      <c r="H91" s="229">
        <f t="shared" si="2"/>
        <v>0</v>
      </c>
      <c r="I91" s="230">
        <f t="shared" si="3"/>
        <v>1614.96</v>
      </c>
      <c r="J91" s="97"/>
    </row>
    <row r="92" spans="1:12" s="203" customFormat="1" ht="21" customHeight="1">
      <c r="A92" s="218"/>
      <c r="B92" s="291" t="s">
        <v>150</v>
      </c>
      <c r="C92" s="288">
        <v>25</v>
      </c>
      <c r="D92" s="289" t="s">
        <v>144</v>
      </c>
      <c r="E92" s="290">
        <f>E82</f>
        <v>30</v>
      </c>
      <c r="F92" s="295">
        <f t="shared" si="1"/>
        <v>750</v>
      </c>
      <c r="G92" s="292">
        <v>0</v>
      </c>
      <c r="H92" s="229">
        <f t="shared" si="2"/>
        <v>0</v>
      </c>
      <c r="I92" s="230">
        <f t="shared" si="3"/>
        <v>750</v>
      </c>
      <c r="J92" s="97"/>
    </row>
    <row r="93" spans="1:12" s="203" customFormat="1" ht="21" customHeight="1">
      <c r="A93" s="275">
        <v>2.7</v>
      </c>
      <c r="B93" s="294" t="s">
        <v>162</v>
      </c>
      <c r="C93" s="288"/>
      <c r="D93" s="296"/>
      <c r="E93" s="297"/>
      <c r="F93" s="295"/>
      <c r="G93" s="297"/>
      <c r="H93" s="229"/>
      <c r="I93" s="230"/>
      <c r="J93" s="97"/>
    </row>
    <row r="94" spans="1:12" s="303" customFormat="1" ht="21" customHeight="1">
      <c r="A94" s="218"/>
      <c r="B94" s="298" t="s">
        <v>437</v>
      </c>
      <c r="C94" s="299">
        <f>ROUND(18*103.2,0)</f>
        <v>1858</v>
      </c>
      <c r="D94" s="225" t="s">
        <v>144</v>
      </c>
      <c r="E94" s="300">
        <f>3756.48/103.2</f>
        <v>36.4</v>
      </c>
      <c r="F94" s="295">
        <f>ROUND(E94*C94,2)</f>
        <v>67631.199999999997</v>
      </c>
      <c r="G94" s="301">
        <v>35</v>
      </c>
      <c r="H94" s="229">
        <f t="shared" si="2"/>
        <v>65030</v>
      </c>
      <c r="I94" s="230">
        <f t="shared" si="3"/>
        <v>132661.20000000001</v>
      </c>
      <c r="J94" s="302"/>
    </row>
    <row r="95" spans="1:12" s="303" customFormat="1" ht="21" customHeight="1">
      <c r="A95" s="218"/>
      <c r="B95" s="298" t="s">
        <v>438</v>
      </c>
      <c r="C95" s="299">
        <f>ROUND(3*127.8,0)</f>
        <v>383</v>
      </c>
      <c r="D95" s="225" t="s">
        <v>144</v>
      </c>
      <c r="E95" s="300">
        <f>(4651.92/127.8)</f>
        <v>36.4</v>
      </c>
      <c r="F95" s="295">
        <f>ROUND(E95*C95,2)</f>
        <v>13941.2</v>
      </c>
      <c r="G95" s="301">
        <v>35</v>
      </c>
      <c r="H95" s="229">
        <f t="shared" si="2"/>
        <v>13405</v>
      </c>
      <c r="I95" s="230">
        <f t="shared" si="3"/>
        <v>27346.2</v>
      </c>
      <c r="J95" s="302"/>
      <c r="L95" s="304"/>
    </row>
    <row r="96" spans="1:12" s="303" customFormat="1" ht="21" customHeight="1">
      <c r="A96" s="218"/>
      <c r="B96" s="298" t="s">
        <v>439</v>
      </c>
      <c r="C96" s="299">
        <f>ROUND(16*38.5,0)</f>
        <v>616</v>
      </c>
      <c r="D96" s="225" t="s">
        <v>144</v>
      </c>
      <c r="E96" s="300">
        <f>1251.81/42.12</f>
        <v>29.720085470085472</v>
      </c>
      <c r="F96" s="295">
        <f t="shared" si="1"/>
        <v>18307.57</v>
      </c>
      <c r="G96" s="301">
        <v>10</v>
      </c>
      <c r="H96" s="229">
        <f t="shared" si="2"/>
        <v>6160</v>
      </c>
      <c r="I96" s="230">
        <f t="shared" si="3"/>
        <v>24467.57</v>
      </c>
      <c r="J96" s="305"/>
      <c r="L96" s="304"/>
    </row>
    <row r="97" spans="1:13" s="303" customFormat="1" ht="21" customHeight="1">
      <c r="A97" s="218"/>
      <c r="B97" s="298" t="s">
        <v>440</v>
      </c>
      <c r="C97" s="299">
        <f>ROUND(32*53,0)</f>
        <v>1696</v>
      </c>
      <c r="D97" s="225" t="s">
        <v>144</v>
      </c>
      <c r="E97" s="300">
        <f>2010.29/70.29</f>
        <v>28.599943092900837</v>
      </c>
      <c r="F97" s="295">
        <f t="shared" ref="F97:F104" si="13">ROUND(E97*C97,2)</f>
        <v>48505.5</v>
      </c>
      <c r="G97" s="301">
        <v>10</v>
      </c>
      <c r="H97" s="229">
        <f t="shared" ref="H97:H104" si="14">ROUND(G97*C97,2)</f>
        <v>16960</v>
      </c>
      <c r="I97" s="230">
        <f t="shared" ref="I97:I104" si="15">+F97+H97</f>
        <v>65465.5</v>
      </c>
      <c r="J97" s="306"/>
      <c r="L97" s="304"/>
    </row>
    <row r="98" spans="1:13" s="308" customFormat="1" ht="21" customHeight="1">
      <c r="A98" s="218"/>
      <c r="B98" s="298" t="s">
        <v>441</v>
      </c>
      <c r="C98" s="299">
        <f>ROUND(125*49.56,0)</f>
        <v>6195</v>
      </c>
      <c r="D98" s="225" t="s">
        <v>144</v>
      </c>
      <c r="E98" s="300">
        <v>29.92</v>
      </c>
      <c r="F98" s="295">
        <f t="shared" si="13"/>
        <v>185354.4</v>
      </c>
      <c r="G98" s="301">
        <v>10</v>
      </c>
      <c r="H98" s="295">
        <f t="shared" si="14"/>
        <v>61950</v>
      </c>
      <c r="I98" s="307">
        <f t="shared" si="15"/>
        <v>247304.4</v>
      </c>
      <c r="J98" s="305"/>
      <c r="L98" s="309"/>
    </row>
    <row r="99" spans="1:13" s="303" customFormat="1" ht="21" customHeight="1">
      <c r="A99" s="218"/>
      <c r="B99" s="298" t="s">
        <v>442</v>
      </c>
      <c r="C99" s="299">
        <f>ROUND(32*120.76,0)</f>
        <v>3864</v>
      </c>
      <c r="D99" s="225" t="s">
        <v>144</v>
      </c>
      <c r="E99" s="300">
        <f>(4651.92/127.8)</f>
        <v>36.4</v>
      </c>
      <c r="F99" s="295">
        <f t="shared" si="13"/>
        <v>140649.60000000001</v>
      </c>
      <c r="G99" s="301">
        <v>10</v>
      </c>
      <c r="H99" s="229">
        <f t="shared" si="14"/>
        <v>38640</v>
      </c>
      <c r="I99" s="230">
        <f t="shared" si="15"/>
        <v>179289.60000000001</v>
      </c>
      <c r="J99" s="306"/>
      <c r="L99" s="304"/>
    </row>
    <row r="100" spans="1:13" s="203" customFormat="1" ht="21" customHeight="1">
      <c r="A100" s="218"/>
      <c r="B100" s="310" t="s">
        <v>163</v>
      </c>
      <c r="C100" s="311">
        <f>46+5+12</f>
        <v>63</v>
      </c>
      <c r="D100" s="289" t="s">
        <v>164</v>
      </c>
      <c r="E100" s="290">
        <v>275</v>
      </c>
      <c r="F100" s="295">
        <f t="shared" si="13"/>
        <v>17325</v>
      </c>
      <c r="G100" s="300">
        <v>30</v>
      </c>
      <c r="H100" s="229">
        <f>ROUND(G100*C100,2)</f>
        <v>1890</v>
      </c>
      <c r="I100" s="230">
        <f t="shared" si="15"/>
        <v>19215</v>
      </c>
      <c r="J100" s="87"/>
      <c r="L100" s="210"/>
    </row>
    <row r="101" spans="1:13" s="203" customFormat="1" ht="21" customHeight="1">
      <c r="A101" s="218"/>
      <c r="B101" s="310" t="s">
        <v>165</v>
      </c>
      <c r="C101" s="311">
        <f>C100*4</f>
        <v>252</v>
      </c>
      <c r="D101" s="289" t="s">
        <v>95</v>
      </c>
      <c r="E101" s="290">
        <v>58.4</v>
      </c>
      <c r="F101" s="295">
        <f t="shared" si="13"/>
        <v>14716.8</v>
      </c>
      <c r="G101" s="292">
        <v>0</v>
      </c>
      <c r="H101" s="229">
        <f t="shared" si="14"/>
        <v>0</v>
      </c>
      <c r="I101" s="230">
        <f t="shared" si="15"/>
        <v>14716.8</v>
      </c>
      <c r="J101" s="89"/>
      <c r="L101" s="210"/>
    </row>
    <row r="102" spans="1:13" s="203" customFormat="1" ht="21" customHeight="1">
      <c r="A102" s="218"/>
      <c r="B102" s="310" t="s">
        <v>166</v>
      </c>
      <c r="C102" s="311">
        <v>6</v>
      </c>
      <c r="D102" s="289" t="s">
        <v>167</v>
      </c>
      <c r="E102" s="290">
        <v>250</v>
      </c>
      <c r="F102" s="295">
        <f t="shared" si="13"/>
        <v>1500</v>
      </c>
      <c r="G102" s="292">
        <v>0</v>
      </c>
      <c r="H102" s="229">
        <f t="shared" si="14"/>
        <v>0</v>
      </c>
      <c r="I102" s="230">
        <f t="shared" si="15"/>
        <v>1500</v>
      </c>
      <c r="J102" s="87"/>
      <c r="L102" s="210"/>
    </row>
    <row r="103" spans="1:13" s="203" customFormat="1" ht="21" customHeight="1">
      <c r="A103" s="218">
        <v>2.8</v>
      </c>
      <c r="B103" s="291" t="s">
        <v>168</v>
      </c>
      <c r="C103" s="312">
        <v>1</v>
      </c>
      <c r="D103" s="225" t="s">
        <v>97</v>
      </c>
      <c r="E103" s="290">
        <v>25000</v>
      </c>
      <c r="F103" s="295">
        <f t="shared" si="13"/>
        <v>25000</v>
      </c>
      <c r="G103" s="292">
        <v>12500</v>
      </c>
      <c r="H103" s="229">
        <f t="shared" si="14"/>
        <v>12500</v>
      </c>
      <c r="I103" s="230">
        <f t="shared" si="15"/>
        <v>37500</v>
      </c>
      <c r="J103" s="89"/>
      <c r="L103" s="210"/>
    </row>
    <row r="104" spans="1:13" s="203" customFormat="1" ht="21" customHeight="1">
      <c r="A104" s="313">
        <v>2.9</v>
      </c>
      <c r="B104" s="314" t="s">
        <v>169</v>
      </c>
      <c r="C104" s="312">
        <v>1</v>
      </c>
      <c r="D104" s="225" t="s">
        <v>97</v>
      </c>
      <c r="E104" s="315">
        <v>10500</v>
      </c>
      <c r="F104" s="229">
        <f t="shared" si="13"/>
        <v>10500</v>
      </c>
      <c r="G104" s="292">
        <v>3000</v>
      </c>
      <c r="H104" s="229">
        <f t="shared" si="14"/>
        <v>3000</v>
      </c>
      <c r="I104" s="230">
        <f t="shared" si="15"/>
        <v>13500</v>
      </c>
      <c r="J104" s="87"/>
      <c r="L104" s="210"/>
    </row>
    <row r="105" spans="1:13" s="203" customFormat="1" ht="21" customHeight="1">
      <c r="A105" s="316"/>
      <c r="B105" s="317"/>
      <c r="C105" s="316"/>
      <c r="D105" s="316"/>
      <c r="E105" s="318"/>
      <c r="F105" s="319"/>
      <c r="G105" s="318"/>
      <c r="H105" s="319"/>
      <c r="I105" s="320"/>
      <c r="J105" s="89"/>
      <c r="L105" s="210"/>
    </row>
    <row r="106" spans="1:13" s="203" customFormat="1" ht="21" customHeight="1" thickBot="1">
      <c r="A106" s="240"/>
      <c r="B106" s="239" t="str">
        <f>"รวมราคา"&amp;B27</f>
        <v>รวมราคาหมวดงานวิศวกรรมโครงสร้าง</v>
      </c>
      <c r="C106" s="321"/>
      <c r="D106" s="240"/>
      <c r="E106" s="322"/>
      <c r="F106" s="323">
        <f>SUM(F28:F105)</f>
        <v>4732369.0100000007</v>
      </c>
      <c r="G106" s="322"/>
      <c r="H106" s="323">
        <f>SUM(H28:H105)</f>
        <v>1257482.3499999999</v>
      </c>
      <c r="I106" s="323">
        <f>SUM(I28:I105)</f>
        <v>5989851.3600000003</v>
      </c>
      <c r="J106" s="99"/>
      <c r="L106" s="210"/>
    </row>
    <row r="107" spans="1:13" s="203" customFormat="1" ht="21" customHeight="1" thickTop="1">
      <c r="A107" s="232"/>
      <c r="B107" s="324"/>
      <c r="C107" s="325"/>
      <c r="D107" s="232"/>
      <c r="E107" s="326"/>
      <c r="F107" s="327"/>
      <c r="G107" s="326"/>
      <c r="H107" s="327"/>
      <c r="I107" s="328"/>
      <c r="J107" s="100"/>
      <c r="L107" s="210"/>
    </row>
    <row r="108" spans="1:13" s="203" customFormat="1" ht="21" customHeight="1">
      <c r="A108" s="275">
        <v>3</v>
      </c>
      <c r="B108" s="329" t="s">
        <v>170</v>
      </c>
      <c r="C108" s="277"/>
      <c r="D108" s="275"/>
      <c r="E108" s="278"/>
      <c r="F108" s="279"/>
      <c r="G108" s="278"/>
      <c r="H108" s="279"/>
      <c r="I108" s="330"/>
      <c r="J108" s="101"/>
      <c r="L108" s="210"/>
    </row>
    <row r="109" spans="1:13" ht="21" customHeight="1">
      <c r="A109" s="249">
        <v>3.1</v>
      </c>
      <c r="B109" s="250" t="s">
        <v>171</v>
      </c>
      <c r="C109" s="331"/>
      <c r="D109" s="332"/>
      <c r="E109" s="333"/>
      <c r="F109" s="334"/>
      <c r="G109" s="333"/>
      <c r="H109" s="334"/>
      <c r="I109" s="335"/>
      <c r="J109" s="336"/>
    </row>
    <row r="110" spans="1:13" ht="21" customHeight="1">
      <c r="A110" s="225"/>
      <c r="B110" s="337" t="s">
        <v>381</v>
      </c>
      <c r="C110" s="251">
        <v>483</v>
      </c>
      <c r="D110" s="338" t="s">
        <v>15</v>
      </c>
      <c r="E110" s="290">
        <v>350</v>
      </c>
      <c r="F110" s="229">
        <f t="shared" ref="F110:F166" si="16">ROUND(E110*C110,2)</f>
        <v>169050</v>
      </c>
      <c r="G110" s="292">
        <v>222</v>
      </c>
      <c r="H110" s="229">
        <f t="shared" ref="H110:H167" si="17">ROUND(G110*C110,2)</f>
        <v>107226</v>
      </c>
      <c r="I110" s="230">
        <f t="shared" ref="I110:I173" si="18">+F110+H110</f>
        <v>276276</v>
      </c>
      <c r="J110" s="97"/>
    </row>
    <row r="111" spans="1:13" ht="21" customHeight="1">
      <c r="A111" s="225"/>
      <c r="B111" s="337" t="s">
        <v>382</v>
      </c>
      <c r="C111" s="251">
        <v>560</v>
      </c>
      <c r="D111" s="338" t="s">
        <v>15</v>
      </c>
      <c r="E111" s="290">
        <v>350</v>
      </c>
      <c r="F111" s="229">
        <f t="shared" si="16"/>
        <v>196000</v>
      </c>
      <c r="G111" s="292">
        <v>222</v>
      </c>
      <c r="H111" s="229">
        <f t="shared" si="17"/>
        <v>124320</v>
      </c>
      <c r="I111" s="230">
        <f t="shared" si="18"/>
        <v>320320</v>
      </c>
      <c r="J111" s="97"/>
    </row>
    <row r="112" spans="1:13" ht="21" customHeight="1">
      <c r="A112" s="225"/>
      <c r="B112" s="337" t="s">
        <v>383</v>
      </c>
      <c r="C112" s="251">
        <v>69</v>
      </c>
      <c r="D112" s="338" t="s">
        <v>15</v>
      </c>
      <c r="E112" s="290">
        <v>350</v>
      </c>
      <c r="F112" s="229">
        <f t="shared" si="16"/>
        <v>24150</v>
      </c>
      <c r="G112" s="292">
        <v>158</v>
      </c>
      <c r="H112" s="229">
        <f t="shared" si="17"/>
        <v>10902</v>
      </c>
      <c r="I112" s="230">
        <f t="shared" si="18"/>
        <v>35052</v>
      </c>
      <c r="J112" s="97"/>
      <c r="M112" s="203"/>
    </row>
    <row r="113" spans="1:13" ht="21" customHeight="1">
      <c r="A113" s="225"/>
      <c r="B113" s="337" t="s">
        <v>384</v>
      </c>
      <c r="C113" s="251">
        <v>112</v>
      </c>
      <c r="D113" s="338" t="s">
        <v>15</v>
      </c>
      <c r="E113" s="290">
        <v>390</v>
      </c>
      <c r="F113" s="229">
        <f t="shared" si="16"/>
        <v>43680</v>
      </c>
      <c r="G113" s="292">
        <v>50</v>
      </c>
      <c r="H113" s="229">
        <f t="shared" si="17"/>
        <v>5600</v>
      </c>
      <c r="I113" s="230">
        <f t="shared" si="18"/>
        <v>49280</v>
      </c>
      <c r="J113" s="98"/>
      <c r="M113" s="203"/>
    </row>
    <row r="114" spans="1:13" ht="21" customHeight="1">
      <c r="A114" s="225"/>
      <c r="B114" s="337" t="s">
        <v>385</v>
      </c>
      <c r="C114" s="251">
        <v>316</v>
      </c>
      <c r="D114" s="338" t="s">
        <v>15</v>
      </c>
      <c r="E114" s="290">
        <v>394</v>
      </c>
      <c r="F114" s="229">
        <f t="shared" si="16"/>
        <v>124504</v>
      </c>
      <c r="G114" s="292">
        <v>104</v>
      </c>
      <c r="H114" s="229">
        <f t="shared" si="17"/>
        <v>32864</v>
      </c>
      <c r="I114" s="230">
        <f t="shared" si="18"/>
        <v>157368</v>
      </c>
      <c r="J114" s="98"/>
      <c r="M114" s="203"/>
    </row>
    <row r="115" spans="1:13" ht="21" customHeight="1">
      <c r="A115" s="225"/>
      <c r="B115" s="339" t="s">
        <v>386</v>
      </c>
      <c r="C115" s="340">
        <v>11</v>
      </c>
      <c r="D115" s="225" t="s">
        <v>15</v>
      </c>
      <c r="E115" s="252">
        <v>394</v>
      </c>
      <c r="F115" s="229">
        <f t="shared" si="16"/>
        <v>4334</v>
      </c>
      <c r="G115" s="252">
        <v>104</v>
      </c>
      <c r="H115" s="229">
        <f t="shared" si="17"/>
        <v>1144</v>
      </c>
      <c r="I115" s="230">
        <f t="shared" si="18"/>
        <v>5478</v>
      </c>
      <c r="J115" s="341"/>
    </row>
    <row r="116" spans="1:13" ht="21" customHeight="1">
      <c r="A116" s="249">
        <v>3.2</v>
      </c>
      <c r="B116" s="342" t="s">
        <v>172</v>
      </c>
      <c r="C116" s="331"/>
      <c r="D116" s="332"/>
      <c r="E116" s="333"/>
      <c r="F116" s="334"/>
      <c r="G116" s="333"/>
      <c r="H116" s="334"/>
      <c r="I116" s="335"/>
      <c r="J116" s="343"/>
    </row>
    <row r="117" spans="1:13" ht="21" customHeight="1">
      <c r="A117" s="225"/>
      <c r="B117" s="226" t="s">
        <v>173</v>
      </c>
      <c r="C117" s="251"/>
      <c r="D117" s="338"/>
      <c r="E117" s="252"/>
      <c r="F117" s="229"/>
      <c r="G117" s="252"/>
      <c r="H117" s="229"/>
      <c r="I117" s="230"/>
      <c r="J117" s="341"/>
    </row>
    <row r="118" spans="1:13" ht="21" customHeight="1">
      <c r="A118" s="225"/>
      <c r="B118" s="226" t="s">
        <v>387</v>
      </c>
      <c r="C118" s="340">
        <v>2170</v>
      </c>
      <c r="D118" s="344" t="s">
        <v>15</v>
      </c>
      <c r="E118" s="345">
        <v>273</v>
      </c>
      <c r="F118" s="229">
        <f t="shared" si="16"/>
        <v>592410</v>
      </c>
      <c r="G118" s="252">
        <v>56</v>
      </c>
      <c r="H118" s="229">
        <f t="shared" si="17"/>
        <v>121520</v>
      </c>
      <c r="I118" s="230">
        <f t="shared" si="18"/>
        <v>713930</v>
      </c>
      <c r="J118" s="346"/>
    </row>
    <row r="119" spans="1:13" ht="21" customHeight="1">
      <c r="A119" s="225"/>
      <c r="B119" s="226" t="s">
        <v>174</v>
      </c>
      <c r="C119" s="340">
        <v>462</v>
      </c>
      <c r="D119" s="347" t="s">
        <v>15</v>
      </c>
      <c r="E119" s="228">
        <v>284</v>
      </c>
      <c r="F119" s="229">
        <f t="shared" si="16"/>
        <v>131208</v>
      </c>
      <c r="G119" s="228">
        <v>94</v>
      </c>
      <c r="H119" s="229">
        <f t="shared" si="17"/>
        <v>43428</v>
      </c>
      <c r="I119" s="230">
        <f t="shared" si="18"/>
        <v>174636</v>
      </c>
      <c r="J119" s="346"/>
    </row>
    <row r="120" spans="1:13" ht="21" customHeight="1">
      <c r="A120" s="225"/>
      <c r="B120" s="226" t="s">
        <v>175</v>
      </c>
      <c r="C120" s="340">
        <v>1755</v>
      </c>
      <c r="D120" s="347" t="s">
        <v>176</v>
      </c>
      <c r="E120" s="345">
        <v>79</v>
      </c>
      <c r="F120" s="229">
        <f t="shared" si="16"/>
        <v>138645</v>
      </c>
      <c r="G120" s="252">
        <v>44</v>
      </c>
      <c r="H120" s="229">
        <f t="shared" si="17"/>
        <v>77220</v>
      </c>
      <c r="I120" s="230">
        <f t="shared" si="18"/>
        <v>215865</v>
      </c>
      <c r="J120" s="348"/>
    </row>
    <row r="121" spans="1:13" ht="21" customHeight="1">
      <c r="A121" s="225"/>
      <c r="B121" s="337" t="s">
        <v>177</v>
      </c>
      <c r="C121" s="251"/>
      <c r="D121" s="338"/>
      <c r="E121" s="252"/>
      <c r="F121" s="229"/>
      <c r="G121" s="252"/>
      <c r="H121" s="229"/>
      <c r="I121" s="230"/>
      <c r="J121" s="97"/>
    </row>
    <row r="122" spans="1:13" ht="21" customHeight="1">
      <c r="A122" s="225"/>
      <c r="B122" s="337" t="s">
        <v>178</v>
      </c>
      <c r="C122" s="340">
        <v>2356</v>
      </c>
      <c r="D122" s="347" t="s">
        <v>15</v>
      </c>
      <c r="E122" s="228">
        <v>120</v>
      </c>
      <c r="F122" s="229">
        <f t="shared" si="16"/>
        <v>282720</v>
      </c>
      <c r="G122" s="228">
        <v>80</v>
      </c>
      <c r="H122" s="229">
        <f t="shared" si="17"/>
        <v>188480</v>
      </c>
      <c r="I122" s="230">
        <f t="shared" si="18"/>
        <v>471200</v>
      </c>
      <c r="J122" s="97"/>
    </row>
    <row r="123" spans="1:13" ht="21" customHeight="1">
      <c r="A123" s="225"/>
      <c r="B123" s="337" t="s">
        <v>179</v>
      </c>
      <c r="C123" s="340">
        <v>1596</v>
      </c>
      <c r="D123" s="347" t="s">
        <v>15</v>
      </c>
      <c r="E123" s="228">
        <v>120</v>
      </c>
      <c r="F123" s="229">
        <f t="shared" si="16"/>
        <v>191520</v>
      </c>
      <c r="G123" s="228">
        <v>80</v>
      </c>
      <c r="H123" s="229">
        <f t="shared" si="17"/>
        <v>127680</v>
      </c>
      <c r="I123" s="230">
        <f t="shared" si="18"/>
        <v>319200</v>
      </c>
      <c r="J123" s="97"/>
    </row>
    <row r="124" spans="1:13" ht="21" customHeight="1">
      <c r="A124" s="225"/>
      <c r="B124" s="226" t="s">
        <v>388</v>
      </c>
      <c r="C124" s="340">
        <v>287</v>
      </c>
      <c r="D124" s="225" t="s">
        <v>15</v>
      </c>
      <c r="E124" s="228">
        <v>350</v>
      </c>
      <c r="F124" s="229">
        <f t="shared" si="16"/>
        <v>100450</v>
      </c>
      <c r="G124" s="252">
        <v>158</v>
      </c>
      <c r="H124" s="229">
        <f t="shared" si="17"/>
        <v>45346</v>
      </c>
      <c r="I124" s="230">
        <f t="shared" si="18"/>
        <v>145796</v>
      </c>
      <c r="J124" s="98"/>
    </row>
    <row r="125" spans="1:13" ht="21" customHeight="1">
      <c r="A125" s="225"/>
      <c r="B125" s="226" t="s">
        <v>419</v>
      </c>
      <c r="C125" s="340">
        <v>140</v>
      </c>
      <c r="D125" s="225" t="s">
        <v>15</v>
      </c>
      <c r="E125" s="228">
        <v>1870</v>
      </c>
      <c r="F125" s="229">
        <f t="shared" si="16"/>
        <v>261800</v>
      </c>
      <c r="G125" s="252">
        <v>525</v>
      </c>
      <c r="H125" s="229">
        <f t="shared" si="17"/>
        <v>73500</v>
      </c>
      <c r="I125" s="230">
        <f t="shared" si="18"/>
        <v>335300</v>
      </c>
      <c r="J125" s="98"/>
    </row>
    <row r="126" spans="1:13" ht="21" customHeight="1">
      <c r="A126" s="249">
        <v>3.3</v>
      </c>
      <c r="B126" s="250" t="s">
        <v>180</v>
      </c>
      <c r="C126" s="331"/>
      <c r="D126" s="332"/>
      <c r="E126" s="333"/>
      <c r="F126" s="334"/>
      <c r="G126" s="333"/>
      <c r="H126" s="334"/>
      <c r="I126" s="335"/>
      <c r="J126" s="349"/>
    </row>
    <row r="127" spans="1:13" s="203" customFormat="1" ht="21" customHeight="1">
      <c r="A127" s="225"/>
      <c r="B127" s="350" t="s">
        <v>181</v>
      </c>
      <c r="C127" s="340">
        <v>696</v>
      </c>
      <c r="D127" s="344" t="s">
        <v>15</v>
      </c>
      <c r="E127" s="345">
        <v>100</v>
      </c>
      <c r="F127" s="229">
        <f t="shared" si="16"/>
        <v>69600</v>
      </c>
      <c r="G127" s="252">
        <v>87</v>
      </c>
      <c r="H127" s="229">
        <f t="shared" si="17"/>
        <v>60552</v>
      </c>
      <c r="I127" s="230">
        <f t="shared" si="18"/>
        <v>130152</v>
      </c>
      <c r="J127" s="346"/>
      <c r="L127" s="210"/>
    </row>
    <row r="128" spans="1:13" ht="21" customHeight="1">
      <c r="A128" s="225"/>
      <c r="B128" s="350" t="s">
        <v>182</v>
      </c>
      <c r="C128" s="340">
        <v>584</v>
      </c>
      <c r="D128" s="344" t="s">
        <v>15</v>
      </c>
      <c r="E128" s="345">
        <v>298</v>
      </c>
      <c r="F128" s="229">
        <f t="shared" si="16"/>
        <v>174032</v>
      </c>
      <c r="G128" s="252">
        <v>75</v>
      </c>
      <c r="H128" s="229">
        <f t="shared" si="17"/>
        <v>43800</v>
      </c>
      <c r="I128" s="230">
        <f t="shared" si="18"/>
        <v>217832</v>
      </c>
      <c r="J128" s="348"/>
    </row>
    <row r="129" spans="1:13" ht="21" customHeight="1">
      <c r="A129" s="225"/>
      <c r="B129" s="226" t="s">
        <v>389</v>
      </c>
      <c r="C129" s="340">
        <v>90</v>
      </c>
      <c r="D129" s="225" t="s">
        <v>15</v>
      </c>
      <c r="E129" s="345">
        <v>326</v>
      </c>
      <c r="F129" s="229">
        <f t="shared" si="16"/>
        <v>29340</v>
      </c>
      <c r="G129" s="252">
        <v>52</v>
      </c>
      <c r="H129" s="229">
        <f t="shared" si="17"/>
        <v>4680</v>
      </c>
      <c r="I129" s="230">
        <f t="shared" si="18"/>
        <v>34020</v>
      </c>
      <c r="J129" s="346"/>
    </row>
    <row r="130" spans="1:13" s="203" customFormat="1" ht="21" customHeight="1">
      <c r="A130" s="249">
        <v>3.4</v>
      </c>
      <c r="B130" s="342" t="s">
        <v>183</v>
      </c>
      <c r="C130" s="331"/>
      <c r="D130" s="332"/>
      <c r="E130" s="333"/>
      <c r="F130" s="334"/>
      <c r="G130" s="333"/>
      <c r="H130" s="334"/>
      <c r="I130" s="335"/>
      <c r="J130" s="102"/>
      <c r="L130" s="210"/>
      <c r="M130" s="210"/>
    </row>
    <row r="131" spans="1:13" s="203" customFormat="1" ht="21" customHeight="1">
      <c r="A131" s="225"/>
      <c r="B131" s="337" t="s">
        <v>184</v>
      </c>
      <c r="C131" s="340">
        <v>90</v>
      </c>
      <c r="D131" s="340" t="s">
        <v>176</v>
      </c>
      <c r="E131" s="300">
        <f>E110</f>
        <v>350</v>
      </c>
      <c r="F131" s="229">
        <f t="shared" si="16"/>
        <v>31500</v>
      </c>
      <c r="G131" s="300">
        <v>179</v>
      </c>
      <c r="H131" s="229">
        <f t="shared" si="17"/>
        <v>16110</v>
      </c>
      <c r="I131" s="230">
        <f t="shared" si="18"/>
        <v>47610</v>
      </c>
      <c r="J131" s="341"/>
      <c r="L131" s="210"/>
      <c r="M131" s="210"/>
    </row>
    <row r="132" spans="1:13" s="203" customFormat="1" ht="21" customHeight="1">
      <c r="A132" s="225"/>
      <c r="B132" s="337" t="s">
        <v>185</v>
      </c>
      <c r="C132" s="340">
        <v>90</v>
      </c>
      <c r="D132" s="340" t="s">
        <v>176</v>
      </c>
      <c r="E132" s="300">
        <v>79</v>
      </c>
      <c r="F132" s="229">
        <f t="shared" si="16"/>
        <v>7110</v>
      </c>
      <c r="G132" s="300">
        <v>42</v>
      </c>
      <c r="H132" s="229">
        <f t="shared" si="17"/>
        <v>3780</v>
      </c>
      <c r="I132" s="230">
        <f t="shared" si="18"/>
        <v>10890</v>
      </c>
      <c r="J132" s="346"/>
      <c r="L132" s="210"/>
      <c r="M132" s="210"/>
    </row>
    <row r="133" spans="1:13" s="203" customFormat="1" ht="21" customHeight="1">
      <c r="A133" s="225"/>
      <c r="B133" s="337" t="s">
        <v>186</v>
      </c>
      <c r="C133" s="340">
        <v>36</v>
      </c>
      <c r="D133" s="340" t="s">
        <v>15</v>
      </c>
      <c r="E133" s="300">
        <f>E131</f>
        <v>350</v>
      </c>
      <c r="F133" s="229">
        <f t="shared" si="16"/>
        <v>12600</v>
      </c>
      <c r="G133" s="300">
        <f>G131</f>
        <v>179</v>
      </c>
      <c r="H133" s="229">
        <f t="shared" si="17"/>
        <v>6444</v>
      </c>
      <c r="I133" s="230">
        <f t="shared" si="18"/>
        <v>19044</v>
      </c>
      <c r="J133" s="341"/>
      <c r="L133" s="210"/>
    </row>
    <row r="134" spans="1:13" s="203" customFormat="1" ht="21" customHeight="1">
      <c r="A134" s="225"/>
      <c r="B134" s="337" t="s">
        <v>390</v>
      </c>
      <c r="C134" s="340">
        <v>18</v>
      </c>
      <c r="D134" s="340" t="s">
        <v>176</v>
      </c>
      <c r="E134" s="300">
        <v>2200</v>
      </c>
      <c r="F134" s="229">
        <f t="shared" si="16"/>
        <v>39600</v>
      </c>
      <c r="G134" s="300">
        <v>161</v>
      </c>
      <c r="H134" s="229">
        <f t="shared" si="17"/>
        <v>2898</v>
      </c>
      <c r="I134" s="230">
        <f t="shared" si="18"/>
        <v>42498</v>
      </c>
      <c r="J134" s="346"/>
      <c r="L134" s="210"/>
    </row>
    <row r="135" spans="1:13" s="203" customFormat="1" ht="21" customHeight="1">
      <c r="A135" s="225"/>
      <c r="B135" s="337" t="s">
        <v>391</v>
      </c>
      <c r="C135" s="340">
        <v>14.5</v>
      </c>
      <c r="D135" s="340" t="s">
        <v>176</v>
      </c>
      <c r="E135" s="300">
        <v>1200</v>
      </c>
      <c r="F135" s="229">
        <f t="shared" si="16"/>
        <v>17400</v>
      </c>
      <c r="G135" s="300">
        <v>161</v>
      </c>
      <c r="H135" s="229">
        <f t="shared" si="17"/>
        <v>2334.5</v>
      </c>
      <c r="I135" s="230">
        <f t="shared" si="18"/>
        <v>19734.5</v>
      </c>
      <c r="J135" s="346"/>
      <c r="L135" s="210"/>
    </row>
    <row r="136" spans="1:13" s="203" customFormat="1" ht="21" customHeight="1">
      <c r="A136" s="249">
        <v>3.5</v>
      </c>
      <c r="B136" s="250" t="s">
        <v>187</v>
      </c>
      <c r="C136" s="331"/>
      <c r="D136" s="332"/>
      <c r="E136" s="333"/>
      <c r="F136" s="334"/>
      <c r="G136" s="333"/>
      <c r="H136" s="334"/>
      <c r="I136" s="335"/>
      <c r="J136" s="336"/>
      <c r="L136" s="210"/>
    </row>
    <row r="137" spans="1:13" s="203" customFormat="1" ht="21" customHeight="1">
      <c r="A137" s="225"/>
      <c r="B137" s="250" t="s">
        <v>188</v>
      </c>
      <c r="C137" s="227"/>
      <c r="D137" s="351"/>
      <c r="E137" s="228"/>
      <c r="F137" s="229"/>
      <c r="G137" s="252"/>
      <c r="H137" s="229"/>
      <c r="I137" s="230"/>
      <c r="J137" s="341"/>
      <c r="L137" s="210"/>
    </row>
    <row r="138" spans="1:13" s="203" customFormat="1" ht="21" customHeight="1">
      <c r="A138" s="225"/>
      <c r="B138" s="337" t="s">
        <v>392</v>
      </c>
      <c r="C138" s="227">
        <v>10</v>
      </c>
      <c r="D138" s="351" t="s">
        <v>94</v>
      </c>
      <c r="E138" s="300">
        <v>4500</v>
      </c>
      <c r="F138" s="229">
        <f t="shared" si="16"/>
        <v>45000</v>
      </c>
      <c r="G138" s="300">
        <v>1000</v>
      </c>
      <c r="H138" s="229">
        <f t="shared" si="17"/>
        <v>10000</v>
      </c>
      <c r="I138" s="230">
        <f t="shared" si="18"/>
        <v>55000</v>
      </c>
      <c r="J138" s="341"/>
      <c r="L138" s="210"/>
    </row>
    <row r="139" spans="1:13" s="203" customFormat="1" ht="21" customHeight="1">
      <c r="A139" s="225"/>
      <c r="B139" s="337" t="s">
        <v>393</v>
      </c>
      <c r="C139" s="227">
        <v>7</v>
      </c>
      <c r="D139" s="351" t="s">
        <v>94</v>
      </c>
      <c r="E139" s="300">
        <v>27300</v>
      </c>
      <c r="F139" s="229">
        <f t="shared" si="16"/>
        <v>191100</v>
      </c>
      <c r="G139" s="300">
        <v>0</v>
      </c>
      <c r="H139" s="229">
        <f t="shared" si="17"/>
        <v>0</v>
      </c>
      <c r="I139" s="230">
        <f t="shared" si="18"/>
        <v>191100</v>
      </c>
      <c r="J139" s="346"/>
      <c r="L139" s="210"/>
    </row>
    <row r="140" spans="1:13" s="203" customFormat="1" ht="21" customHeight="1">
      <c r="A140" s="225"/>
      <c r="B140" s="337" t="s">
        <v>394</v>
      </c>
      <c r="C140" s="227">
        <v>2</v>
      </c>
      <c r="D140" s="351" t="s">
        <v>94</v>
      </c>
      <c r="E140" s="300">
        <v>3500</v>
      </c>
      <c r="F140" s="229">
        <f t="shared" si="16"/>
        <v>7000</v>
      </c>
      <c r="G140" s="300">
        <v>1000</v>
      </c>
      <c r="H140" s="229">
        <f t="shared" si="17"/>
        <v>2000</v>
      </c>
      <c r="I140" s="230">
        <f t="shared" si="18"/>
        <v>9000</v>
      </c>
      <c r="J140" s="97"/>
      <c r="L140" s="210"/>
    </row>
    <row r="141" spans="1:13" s="203" customFormat="1" ht="21" customHeight="1">
      <c r="A141" s="225"/>
      <c r="B141" s="337" t="s">
        <v>395</v>
      </c>
      <c r="C141" s="227">
        <v>3</v>
      </c>
      <c r="D141" s="351" t="s">
        <v>94</v>
      </c>
      <c r="E141" s="300">
        <v>14000</v>
      </c>
      <c r="F141" s="229">
        <f t="shared" si="16"/>
        <v>42000</v>
      </c>
      <c r="G141" s="300">
        <v>0</v>
      </c>
      <c r="H141" s="229">
        <f t="shared" si="17"/>
        <v>0</v>
      </c>
      <c r="I141" s="230">
        <f t="shared" si="18"/>
        <v>42000</v>
      </c>
      <c r="J141" s="97"/>
      <c r="L141" s="210"/>
    </row>
    <row r="142" spans="1:13" s="293" customFormat="1" ht="21" customHeight="1">
      <c r="A142" s="225"/>
      <c r="B142" s="337" t="s">
        <v>396</v>
      </c>
      <c r="C142" s="227">
        <v>3</v>
      </c>
      <c r="D142" s="351" t="s">
        <v>94</v>
      </c>
      <c r="E142" s="300">
        <v>23800</v>
      </c>
      <c r="F142" s="229">
        <f t="shared" si="16"/>
        <v>71400</v>
      </c>
      <c r="G142" s="300">
        <v>0</v>
      </c>
      <c r="H142" s="229">
        <f t="shared" si="17"/>
        <v>0</v>
      </c>
      <c r="I142" s="230">
        <f t="shared" si="18"/>
        <v>71400</v>
      </c>
      <c r="J142" s="97"/>
      <c r="L142" s="209"/>
    </row>
    <row r="143" spans="1:13" s="203" customFormat="1" ht="21" customHeight="1">
      <c r="A143" s="225"/>
      <c r="B143" s="337" t="s">
        <v>397</v>
      </c>
      <c r="C143" s="227">
        <v>1</v>
      </c>
      <c r="D143" s="351" t="s">
        <v>94</v>
      </c>
      <c r="E143" s="300">
        <v>16450</v>
      </c>
      <c r="F143" s="229">
        <f t="shared" si="16"/>
        <v>16450</v>
      </c>
      <c r="G143" s="300">
        <v>0</v>
      </c>
      <c r="H143" s="229">
        <f t="shared" si="17"/>
        <v>0</v>
      </c>
      <c r="I143" s="230">
        <f t="shared" si="18"/>
        <v>16450</v>
      </c>
      <c r="J143" s="97"/>
      <c r="L143" s="210"/>
    </row>
    <row r="144" spans="1:13" s="203" customFormat="1" ht="21" customHeight="1">
      <c r="A144" s="225"/>
      <c r="B144" s="337" t="s">
        <v>398</v>
      </c>
      <c r="C144" s="227">
        <v>1</v>
      </c>
      <c r="D144" s="351" t="s">
        <v>94</v>
      </c>
      <c r="E144" s="300">
        <v>11700</v>
      </c>
      <c r="F144" s="229">
        <f t="shared" si="16"/>
        <v>11700</v>
      </c>
      <c r="G144" s="300">
        <v>3500</v>
      </c>
      <c r="H144" s="229">
        <f t="shared" si="17"/>
        <v>3500</v>
      </c>
      <c r="I144" s="230">
        <f t="shared" si="18"/>
        <v>15200</v>
      </c>
      <c r="J144" s="97"/>
      <c r="L144" s="210"/>
    </row>
    <row r="145" spans="1:12" s="203" customFormat="1" ht="21" customHeight="1">
      <c r="A145" s="225"/>
      <c r="B145" s="250" t="s">
        <v>189</v>
      </c>
      <c r="C145" s="227"/>
      <c r="D145" s="351"/>
      <c r="E145" s="300"/>
      <c r="F145" s="229"/>
      <c r="G145" s="252"/>
      <c r="H145" s="229"/>
      <c r="I145" s="230"/>
      <c r="J145" s="97"/>
      <c r="L145" s="210"/>
    </row>
    <row r="146" spans="1:12" s="203" customFormat="1" ht="21" customHeight="1">
      <c r="A146" s="225"/>
      <c r="B146" s="337" t="s">
        <v>190</v>
      </c>
      <c r="C146" s="227">
        <v>1</v>
      </c>
      <c r="D146" s="351" t="s">
        <v>94</v>
      </c>
      <c r="E146" s="300">
        <v>49350</v>
      </c>
      <c r="F146" s="229">
        <f t="shared" si="16"/>
        <v>49350</v>
      </c>
      <c r="G146" s="300">
        <v>0</v>
      </c>
      <c r="H146" s="229">
        <f t="shared" si="17"/>
        <v>0</v>
      </c>
      <c r="I146" s="230">
        <f t="shared" si="18"/>
        <v>49350</v>
      </c>
      <c r="J146" s="97"/>
      <c r="L146" s="210"/>
    </row>
    <row r="147" spans="1:12" s="203" customFormat="1" ht="21" customHeight="1">
      <c r="A147" s="225"/>
      <c r="B147" s="337" t="s">
        <v>399</v>
      </c>
      <c r="C147" s="227">
        <v>5</v>
      </c>
      <c r="D147" s="351" t="s">
        <v>94</v>
      </c>
      <c r="E147" s="300">
        <v>45900</v>
      </c>
      <c r="F147" s="229">
        <f t="shared" si="16"/>
        <v>229500</v>
      </c>
      <c r="G147" s="300">
        <v>0</v>
      </c>
      <c r="H147" s="229">
        <f t="shared" si="17"/>
        <v>0</v>
      </c>
      <c r="I147" s="230">
        <f t="shared" si="18"/>
        <v>229500</v>
      </c>
      <c r="J147" s="97"/>
      <c r="L147" s="210"/>
    </row>
    <row r="148" spans="1:12" s="203" customFormat="1" ht="21" customHeight="1">
      <c r="A148" s="225"/>
      <c r="B148" s="337" t="s">
        <v>191</v>
      </c>
      <c r="C148" s="227">
        <v>2</v>
      </c>
      <c r="D148" s="351" t="s">
        <v>94</v>
      </c>
      <c r="E148" s="300">
        <v>22750</v>
      </c>
      <c r="F148" s="229">
        <f t="shared" si="16"/>
        <v>45500</v>
      </c>
      <c r="G148" s="300">
        <v>0</v>
      </c>
      <c r="H148" s="229">
        <f t="shared" si="17"/>
        <v>0</v>
      </c>
      <c r="I148" s="230">
        <f t="shared" si="18"/>
        <v>45500</v>
      </c>
      <c r="J148" s="88"/>
      <c r="L148" s="210"/>
    </row>
    <row r="149" spans="1:12" s="203" customFormat="1" ht="21" customHeight="1">
      <c r="A149" s="225"/>
      <c r="B149" s="337" t="s">
        <v>192</v>
      </c>
      <c r="C149" s="227">
        <v>1</v>
      </c>
      <c r="D149" s="351" t="s">
        <v>94</v>
      </c>
      <c r="E149" s="300">
        <v>21700</v>
      </c>
      <c r="F149" s="229">
        <f t="shared" si="16"/>
        <v>21700</v>
      </c>
      <c r="G149" s="300">
        <v>0</v>
      </c>
      <c r="H149" s="229">
        <f t="shared" si="17"/>
        <v>0</v>
      </c>
      <c r="I149" s="230">
        <f t="shared" si="18"/>
        <v>21700</v>
      </c>
      <c r="J149" s="88"/>
      <c r="L149" s="210"/>
    </row>
    <row r="150" spans="1:12" s="203" customFormat="1" ht="21" customHeight="1">
      <c r="A150" s="225"/>
      <c r="B150" s="337" t="s">
        <v>193</v>
      </c>
      <c r="C150" s="227">
        <v>2</v>
      </c>
      <c r="D150" s="351" t="s">
        <v>94</v>
      </c>
      <c r="E150" s="300">
        <v>2800</v>
      </c>
      <c r="F150" s="229">
        <f t="shared" si="16"/>
        <v>5600</v>
      </c>
      <c r="G150" s="300">
        <v>0</v>
      </c>
      <c r="H150" s="229">
        <f t="shared" si="17"/>
        <v>0</v>
      </c>
      <c r="I150" s="230">
        <f t="shared" si="18"/>
        <v>5600</v>
      </c>
      <c r="J150" s="88"/>
      <c r="L150" s="210"/>
    </row>
    <row r="151" spans="1:12" s="203" customFormat="1" ht="21" customHeight="1">
      <c r="A151" s="225"/>
      <c r="B151" s="337" t="s">
        <v>400</v>
      </c>
      <c r="C151" s="227">
        <v>5</v>
      </c>
      <c r="D151" s="351" t="s">
        <v>94</v>
      </c>
      <c r="E151" s="300">
        <v>6250</v>
      </c>
      <c r="F151" s="229">
        <f t="shared" si="16"/>
        <v>31250</v>
      </c>
      <c r="G151" s="300">
        <v>0</v>
      </c>
      <c r="H151" s="229">
        <f t="shared" si="17"/>
        <v>0</v>
      </c>
      <c r="I151" s="230">
        <f t="shared" si="18"/>
        <v>31250</v>
      </c>
      <c r="J151" s="88"/>
      <c r="L151" s="210"/>
    </row>
    <row r="152" spans="1:12" s="203" customFormat="1" ht="21" customHeight="1">
      <c r="A152" s="225"/>
      <c r="B152" s="337" t="s">
        <v>401</v>
      </c>
      <c r="C152" s="227">
        <v>6</v>
      </c>
      <c r="D152" s="351" t="s">
        <v>94</v>
      </c>
      <c r="E152" s="300">
        <v>4900</v>
      </c>
      <c r="F152" s="229">
        <f t="shared" si="16"/>
        <v>29400</v>
      </c>
      <c r="G152" s="300">
        <v>0</v>
      </c>
      <c r="H152" s="229">
        <f t="shared" si="17"/>
        <v>0</v>
      </c>
      <c r="I152" s="230">
        <f t="shared" si="18"/>
        <v>29400</v>
      </c>
      <c r="J152" s="88"/>
      <c r="L152" s="210"/>
    </row>
    <row r="153" spans="1:12" s="203" customFormat="1" ht="21" customHeight="1">
      <c r="A153" s="225"/>
      <c r="B153" s="337" t="s">
        <v>402</v>
      </c>
      <c r="C153" s="227">
        <v>6</v>
      </c>
      <c r="D153" s="351" t="s">
        <v>94</v>
      </c>
      <c r="E153" s="300">
        <v>1575</v>
      </c>
      <c r="F153" s="229">
        <f t="shared" si="16"/>
        <v>9450</v>
      </c>
      <c r="G153" s="300">
        <v>0</v>
      </c>
      <c r="H153" s="229">
        <f t="shared" si="17"/>
        <v>0</v>
      </c>
      <c r="I153" s="230">
        <f t="shared" si="18"/>
        <v>9450</v>
      </c>
      <c r="J153" s="88"/>
    </row>
    <row r="154" spans="1:12" s="203" customFormat="1" ht="21" customHeight="1">
      <c r="A154" s="225"/>
      <c r="B154" s="337" t="s">
        <v>403</v>
      </c>
      <c r="C154" s="227">
        <v>1</v>
      </c>
      <c r="D154" s="351" t="s">
        <v>94</v>
      </c>
      <c r="E154" s="300">
        <v>2975</v>
      </c>
      <c r="F154" s="229">
        <f t="shared" si="16"/>
        <v>2975</v>
      </c>
      <c r="G154" s="300">
        <v>0</v>
      </c>
      <c r="H154" s="229">
        <f t="shared" si="17"/>
        <v>0</v>
      </c>
      <c r="I154" s="230">
        <f t="shared" si="18"/>
        <v>2975</v>
      </c>
      <c r="J154" s="97"/>
    </row>
    <row r="155" spans="1:12" s="203" customFormat="1" ht="21" customHeight="1">
      <c r="A155" s="225"/>
      <c r="B155" s="337" t="s">
        <v>404</v>
      </c>
      <c r="C155" s="227">
        <v>3</v>
      </c>
      <c r="D155" s="351" t="s">
        <v>94</v>
      </c>
      <c r="E155" s="300">
        <v>20475</v>
      </c>
      <c r="F155" s="229">
        <f t="shared" si="16"/>
        <v>61425</v>
      </c>
      <c r="G155" s="300">
        <v>0</v>
      </c>
      <c r="H155" s="229">
        <f t="shared" si="17"/>
        <v>0</v>
      </c>
      <c r="I155" s="230">
        <f t="shared" si="18"/>
        <v>61425</v>
      </c>
      <c r="J155" s="97"/>
    </row>
    <row r="156" spans="1:12" s="203" customFormat="1" ht="21" customHeight="1">
      <c r="A156" s="225"/>
      <c r="B156" s="337" t="s">
        <v>405</v>
      </c>
      <c r="C156" s="227">
        <v>1</v>
      </c>
      <c r="D156" s="351" t="s">
        <v>94</v>
      </c>
      <c r="E156" s="300">
        <v>39200</v>
      </c>
      <c r="F156" s="229">
        <f>ROUND(E156*C156,2)</f>
        <v>39200</v>
      </c>
      <c r="G156" s="300">
        <v>0</v>
      </c>
      <c r="H156" s="229">
        <f t="shared" si="17"/>
        <v>0</v>
      </c>
      <c r="I156" s="230">
        <f t="shared" si="18"/>
        <v>39200</v>
      </c>
      <c r="J156" s="97"/>
    </row>
    <row r="157" spans="1:12" s="203" customFormat="1" ht="21" customHeight="1">
      <c r="A157" s="225"/>
      <c r="B157" s="337" t="s">
        <v>406</v>
      </c>
      <c r="C157" s="227">
        <v>2</v>
      </c>
      <c r="D157" s="351" t="s">
        <v>94</v>
      </c>
      <c r="E157" s="300">
        <v>63000</v>
      </c>
      <c r="F157" s="229">
        <f t="shared" si="16"/>
        <v>126000</v>
      </c>
      <c r="G157" s="300">
        <v>0</v>
      </c>
      <c r="H157" s="229">
        <f t="shared" si="17"/>
        <v>0</v>
      </c>
      <c r="I157" s="230">
        <f t="shared" si="18"/>
        <v>126000</v>
      </c>
      <c r="J157" s="97"/>
    </row>
    <row r="158" spans="1:12" s="203" customFormat="1" ht="21" customHeight="1">
      <c r="A158" s="225"/>
      <c r="B158" s="337" t="s">
        <v>407</v>
      </c>
      <c r="C158" s="227">
        <v>5</v>
      </c>
      <c r="D158" s="351" t="s">
        <v>94</v>
      </c>
      <c r="E158" s="300">
        <v>15400</v>
      </c>
      <c r="F158" s="229">
        <f t="shared" si="16"/>
        <v>77000</v>
      </c>
      <c r="G158" s="300">
        <v>0</v>
      </c>
      <c r="H158" s="229">
        <f t="shared" si="17"/>
        <v>0</v>
      </c>
      <c r="I158" s="230">
        <f t="shared" si="18"/>
        <v>77000</v>
      </c>
      <c r="J158" s="97"/>
    </row>
    <row r="159" spans="1:12" s="203" customFormat="1" ht="21" customHeight="1">
      <c r="A159" s="225"/>
      <c r="B159" s="337" t="s">
        <v>194</v>
      </c>
      <c r="C159" s="227">
        <v>1</v>
      </c>
      <c r="D159" s="351" t="s">
        <v>94</v>
      </c>
      <c r="E159" s="300">
        <v>46900</v>
      </c>
      <c r="F159" s="229">
        <f t="shared" si="16"/>
        <v>46900</v>
      </c>
      <c r="G159" s="300">
        <v>0</v>
      </c>
      <c r="H159" s="229">
        <f t="shared" si="17"/>
        <v>0</v>
      </c>
      <c r="I159" s="230">
        <f t="shared" si="18"/>
        <v>46900</v>
      </c>
      <c r="J159" s="97"/>
      <c r="L159" s="210"/>
    </row>
    <row r="160" spans="1:12" s="203" customFormat="1" ht="21" customHeight="1">
      <c r="A160" s="225"/>
      <c r="B160" s="337" t="s">
        <v>408</v>
      </c>
      <c r="C160" s="227">
        <v>1</v>
      </c>
      <c r="D160" s="351" t="s">
        <v>94</v>
      </c>
      <c r="E160" s="300">
        <v>92400</v>
      </c>
      <c r="F160" s="229">
        <f t="shared" si="16"/>
        <v>92400</v>
      </c>
      <c r="G160" s="300">
        <v>0</v>
      </c>
      <c r="H160" s="229">
        <f t="shared" si="17"/>
        <v>0</v>
      </c>
      <c r="I160" s="230">
        <f t="shared" si="18"/>
        <v>92400</v>
      </c>
      <c r="J160" s="97"/>
    </row>
    <row r="161" spans="1:12" s="203" customFormat="1" ht="21" customHeight="1">
      <c r="A161" s="249">
        <v>3.6</v>
      </c>
      <c r="B161" s="250" t="s">
        <v>195</v>
      </c>
      <c r="C161" s="331"/>
      <c r="D161" s="332"/>
      <c r="E161" s="333"/>
      <c r="F161" s="334"/>
      <c r="G161" s="333"/>
      <c r="H161" s="334"/>
      <c r="I161" s="335"/>
      <c r="J161" s="102"/>
    </row>
    <row r="162" spans="1:12" s="203" customFormat="1" ht="21" customHeight="1">
      <c r="A162" s="225"/>
      <c r="B162" s="352" t="s">
        <v>196</v>
      </c>
      <c r="C162" s="353"/>
      <c r="D162" s="354"/>
      <c r="E162" s="355"/>
      <c r="F162" s="229"/>
      <c r="G162" s="355"/>
      <c r="H162" s="229"/>
      <c r="I162" s="230"/>
      <c r="J162" s="97"/>
    </row>
    <row r="163" spans="1:12" s="203" customFormat="1" ht="21" customHeight="1">
      <c r="A163" s="225"/>
      <c r="B163" s="356" t="s">
        <v>197</v>
      </c>
      <c r="C163" s="340">
        <v>15</v>
      </c>
      <c r="D163" s="340" t="s">
        <v>94</v>
      </c>
      <c r="E163" s="357">
        <f>4850</f>
        <v>4850</v>
      </c>
      <c r="F163" s="229">
        <f>ROUND(E163*C163,2)</f>
        <v>72750</v>
      </c>
      <c r="G163" s="300">
        <v>450</v>
      </c>
      <c r="H163" s="229">
        <f t="shared" si="17"/>
        <v>6750</v>
      </c>
      <c r="I163" s="230">
        <f t="shared" si="18"/>
        <v>79500</v>
      </c>
      <c r="J163" s="97"/>
    </row>
    <row r="164" spans="1:12" s="203" customFormat="1" ht="21" customHeight="1">
      <c r="A164" s="225"/>
      <c r="B164" s="356" t="s">
        <v>198</v>
      </c>
      <c r="C164" s="340">
        <v>1</v>
      </c>
      <c r="D164" s="340" t="s">
        <v>94</v>
      </c>
      <c r="E164" s="357">
        <v>4850</v>
      </c>
      <c r="F164" s="229">
        <f t="shared" si="16"/>
        <v>4850</v>
      </c>
      <c r="G164" s="300">
        <v>450</v>
      </c>
      <c r="H164" s="229">
        <f t="shared" si="17"/>
        <v>450</v>
      </c>
      <c r="I164" s="230">
        <f t="shared" si="18"/>
        <v>5300</v>
      </c>
      <c r="J164" s="97"/>
    </row>
    <row r="165" spans="1:12" s="203" customFormat="1" ht="21" customHeight="1">
      <c r="A165" s="225"/>
      <c r="B165" s="356" t="s">
        <v>199</v>
      </c>
      <c r="C165" s="340">
        <v>16</v>
      </c>
      <c r="D165" s="340" t="s">
        <v>94</v>
      </c>
      <c r="E165" s="357">
        <v>300</v>
      </c>
      <c r="F165" s="229">
        <f t="shared" si="16"/>
        <v>4800</v>
      </c>
      <c r="G165" s="300">
        <v>70</v>
      </c>
      <c r="H165" s="229">
        <f t="shared" si="17"/>
        <v>1120</v>
      </c>
      <c r="I165" s="230">
        <f t="shared" si="18"/>
        <v>5920</v>
      </c>
      <c r="J165" s="97"/>
      <c r="L165" s="210"/>
    </row>
    <row r="166" spans="1:12" s="203" customFormat="1" ht="21" customHeight="1">
      <c r="A166" s="225"/>
      <c r="B166" s="358" t="s">
        <v>200</v>
      </c>
      <c r="C166" s="340">
        <v>16</v>
      </c>
      <c r="D166" s="340" t="s">
        <v>94</v>
      </c>
      <c r="E166" s="359">
        <v>390</v>
      </c>
      <c r="F166" s="229">
        <f t="shared" si="16"/>
        <v>6240</v>
      </c>
      <c r="G166" s="290">
        <v>70</v>
      </c>
      <c r="H166" s="229">
        <f t="shared" si="17"/>
        <v>1120</v>
      </c>
      <c r="I166" s="230">
        <f t="shared" si="18"/>
        <v>7360</v>
      </c>
      <c r="J166" s="97"/>
    </row>
    <row r="167" spans="1:12" s="203" customFormat="1" ht="21" customHeight="1">
      <c r="A167" s="225"/>
      <c r="B167" s="356" t="s">
        <v>201</v>
      </c>
      <c r="C167" s="340">
        <v>10</v>
      </c>
      <c r="D167" s="340" t="s">
        <v>94</v>
      </c>
      <c r="E167" s="357">
        <v>4000</v>
      </c>
      <c r="F167" s="229">
        <f>ROUND(E167*C167,2)</f>
        <v>40000</v>
      </c>
      <c r="G167" s="300">
        <v>450</v>
      </c>
      <c r="H167" s="229">
        <f t="shared" si="17"/>
        <v>4500</v>
      </c>
      <c r="I167" s="230">
        <f t="shared" si="18"/>
        <v>44500</v>
      </c>
      <c r="J167" s="97"/>
    </row>
    <row r="168" spans="1:12" s="203" customFormat="1" ht="21" customHeight="1">
      <c r="A168" s="225"/>
      <c r="B168" s="356" t="s">
        <v>202</v>
      </c>
      <c r="C168" s="340"/>
      <c r="D168" s="340"/>
      <c r="E168" s="357"/>
      <c r="F168" s="229"/>
      <c r="G168" s="300"/>
      <c r="H168" s="229"/>
      <c r="I168" s="230" t="s">
        <v>203</v>
      </c>
      <c r="J168" s="97"/>
    </row>
    <row r="169" spans="1:12" s="203" customFormat="1" ht="21" customHeight="1">
      <c r="A169" s="225"/>
      <c r="B169" s="356" t="s">
        <v>204</v>
      </c>
      <c r="C169" s="340"/>
      <c r="D169" s="340"/>
      <c r="E169" s="357"/>
      <c r="F169" s="229"/>
      <c r="G169" s="300"/>
      <c r="H169" s="229"/>
      <c r="I169" s="230" t="s">
        <v>203</v>
      </c>
      <c r="J169" s="97"/>
    </row>
    <row r="170" spans="1:12" s="203" customFormat="1" ht="21" customHeight="1">
      <c r="A170" s="225"/>
      <c r="B170" s="356" t="s">
        <v>205</v>
      </c>
      <c r="C170" s="340"/>
      <c r="D170" s="340"/>
      <c r="E170" s="357"/>
      <c r="F170" s="229"/>
      <c r="G170" s="300"/>
      <c r="H170" s="229"/>
      <c r="I170" s="230" t="s">
        <v>203</v>
      </c>
      <c r="J170" s="97"/>
    </row>
    <row r="171" spans="1:12" s="203" customFormat="1" ht="21" customHeight="1">
      <c r="A171" s="225"/>
      <c r="B171" s="356" t="s">
        <v>206</v>
      </c>
      <c r="C171" s="340"/>
      <c r="D171" s="340"/>
      <c r="E171" s="357"/>
      <c r="F171" s="229"/>
      <c r="G171" s="300"/>
      <c r="H171" s="229"/>
      <c r="I171" s="230" t="s">
        <v>203</v>
      </c>
      <c r="J171" s="97"/>
    </row>
    <row r="172" spans="1:12" s="203" customFormat="1" ht="21" customHeight="1">
      <c r="A172" s="225"/>
      <c r="B172" s="356" t="s">
        <v>207</v>
      </c>
      <c r="C172" s="340"/>
      <c r="D172" s="340"/>
      <c r="E172" s="357"/>
      <c r="F172" s="229"/>
      <c r="G172" s="300"/>
      <c r="H172" s="229"/>
      <c r="I172" s="230" t="s">
        <v>203</v>
      </c>
      <c r="J172" s="97"/>
    </row>
    <row r="173" spans="1:12" s="203" customFormat="1" ht="21" customHeight="1">
      <c r="A173" s="225"/>
      <c r="B173" s="356" t="s">
        <v>208</v>
      </c>
      <c r="C173" s="340">
        <v>1</v>
      </c>
      <c r="D173" s="340" t="s">
        <v>94</v>
      </c>
      <c r="E173" s="357">
        <v>2800</v>
      </c>
      <c r="F173" s="229">
        <f>ROUND(E173*C173,2)</f>
        <v>2800</v>
      </c>
      <c r="G173" s="300">
        <v>450</v>
      </c>
      <c r="H173" s="229">
        <f>ROUND(G173*C173,2)</f>
        <v>450</v>
      </c>
      <c r="I173" s="230">
        <f t="shared" si="18"/>
        <v>3250</v>
      </c>
      <c r="J173" s="97"/>
    </row>
    <row r="174" spans="1:12" s="203" customFormat="1" ht="21" customHeight="1">
      <c r="A174" s="225"/>
      <c r="B174" s="356" t="s">
        <v>202</v>
      </c>
      <c r="C174" s="340"/>
      <c r="D174" s="340"/>
      <c r="E174" s="357"/>
      <c r="F174" s="229"/>
      <c r="G174" s="300"/>
      <c r="H174" s="229"/>
      <c r="I174" s="230" t="s">
        <v>203</v>
      </c>
      <c r="J174" s="97"/>
      <c r="L174" s="210"/>
    </row>
    <row r="175" spans="1:12" s="203" customFormat="1" ht="21" customHeight="1">
      <c r="A175" s="225"/>
      <c r="B175" s="356" t="s">
        <v>204</v>
      </c>
      <c r="C175" s="340"/>
      <c r="D175" s="340"/>
      <c r="E175" s="357"/>
      <c r="F175" s="229"/>
      <c r="G175" s="300"/>
      <c r="H175" s="229"/>
      <c r="I175" s="230" t="s">
        <v>203</v>
      </c>
      <c r="J175" s="97"/>
    </row>
    <row r="176" spans="1:12" s="203" customFormat="1" ht="21" customHeight="1">
      <c r="A176" s="225"/>
      <c r="B176" s="356" t="s">
        <v>205</v>
      </c>
      <c r="C176" s="340"/>
      <c r="D176" s="340"/>
      <c r="E176" s="357"/>
      <c r="F176" s="229"/>
      <c r="G176" s="300"/>
      <c r="H176" s="229"/>
      <c r="I176" s="230" t="s">
        <v>203</v>
      </c>
      <c r="J176" s="97"/>
    </row>
    <row r="177" spans="1:12" s="203" customFormat="1" ht="21" customHeight="1">
      <c r="A177" s="225"/>
      <c r="B177" s="356" t="s">
        <v>206</v>
      </c>
      <c r="C177" s="340"/>
      <c r="D177" s="340"/>
      <c r="E177" s="357"/>
      <c r="F177" s="229"/>
      <c r="G177" s="300"/>
      <c r="H177" s="229"/>
      <c r="I177" s="230" t="s">
        <v>203</v>
      </c>
      <c r="J177" s="97"/>
    </row>
    <row r="178" spans="1:12" s="203" customFormat="1" ht="21" customHeight="1">
      <c r="A178" s="225"/>
      <c r="B178" s="356" t="s">
        <v>207</v>
      </c>
      <c r="C178" s="340"/>
      <c r="D178" s="340"/>
      <c r="E178" s="357"/>
      <c r="F178" s="229"/>
      <c r="G178" s="300"/>
      <c r="H178" s="229"/>
      <c r="I178" s="230" t="s">
        <v>203</v>
      </c>
      <c r="J178" s="97"/>
    </row>
    <row r="179" spans="1:12" s="203" customFormat="1" ht="21" customHeight="1">
      <c r="A179" s="225"/>
      <c r="B179" s="358" t="s">
        <v>409</v>
      </c>
      <c r="C179" s="340">
        <v>1</v>
      </c>
      <c r="D179" s="340" t="s">
        <v>209</v>
      </c>
      <c r="E179" s="290">
        <v>700</v>
      </c>
      <c r="F179" s="229">
        <f t="shared" ref="F179:F204" si="19">ROUND(E179*C179,2)</f>
        <v>700</v>
      </c>
      <c r="G179" s="300">
        <v>70</v>
      </c>
      <c r="H179" s="229">
        <f t="shared" ref="H179:H204" si="20">ROUND(G179*C179,2)</f>
        <v>70</v>
      </c>
      <c r="I179" s="230">
        <f t="shared" ref="I179:I204" si="21">+F179+H179</f>
        <v>770</v>
      </c>
      <c r="J179" s="97"/>
    </row>
    <row r="180" spans="1:12" s="203" customFormat="1" ht="21" customHeight="1">
      <c r="A180" s="225"/>
      <c r="B180" s="360" t="s">
        <v>210</v>
      </c>
      <c r="C180" s="340">
        <v>1</v>
      </c>
      <c r="D180" s="340" t="s">
        <v>209</v>
      </c>
      <c r="E180" s="357">
        <f>(1.15*1500)</f>
        <v>1724.9999999999998</v>
      </c>
      <c r="F180" s="229">
        <f t="shared" si="19"/>
        <v>1725</v>
      </c>
      <c r="G180" s="300">
        <v>70</v>
      </c>
      <c r="H180" s="229">
        <f t="shared" si="20"/>
        <v>70</v>
      </c>
      <c r="I180" s="230">
        <f t="shared" si="21"/>
        <v>1795</v>
      </c>
      <c r="J180" s="97"/>
    </row>
    <row r="181" spans="1:12" s="203" customFormat="1" ht="21" customHeight="1">
      <c r="A181" s="225"/>
      <c r="B181" s="360" t="s">
        <v>211</v>
      </c>
      <c r="C181" s="340">
        <v>1</v>
      </c>
      <c r="D181" s="340" t="s">
        <v>209</v>
      </c>
      <c r="E181" s="357">
        <f>(1.7*1500)</f>
        <v>2550</v>
      </c>
      <c r="F181" s="229">
        <f>ROUND(E181*C181,2)</f>
        <v>2550</v>
      </c>
      <c r="G181" s="300">
        <v>70</v>
      </c>
      <c r="H181" s="229">
        <f t="shared" si="20"/>
        <v>70</v>
      </c>
      <c r="I181" s="230">
        <f t="shared" si="21"/>
        <v>2620</v>
      </c>
      <c r="J181" s="97"/>
    </row>
    <row r="182" spans="1:12" s="203" customFormat="1" ht="21" customHeight="1">
      <c r="A182" s="225"/>
      <c r="B182" s="360" t="s">
        <v>212</v>
      </c>
      <c r="C182" s="340">
        <v>1</v>
      </c>
      <c r="D182" s="340" t="s">
        <v>209</v>
      </c>
      <c r="E182" s="357">
        <f>(1.95*1500)</f>
        <v>2925</v>
      </c>
      <c r="F182" s="229">
        <f t="shared" si="19"/>
        <v>2925</v>
      </c>
      <c r="G182" s="300">
        <v>70</v>
      </c>
      <c r="H182" s="229">
        <f t="shared" si="20"/>
        <v>70</v>
      </c>
      <c r="I182" s="230">
        <f t="shared" si="21"/>
        <v>2995</v>
      </c>
      <c r="J182" s="97"/>
    </row>
    <row r="183" spans="1:12" s="203" customFormat="1" ht="21" customHeight="1">
      <c r="A183" s="225"/>
      <c r="B183" s="360" t="s">
        <v>213</v>
      </c>
      <c r="C183" s="340">
        <v>1</v>
      </c>
      <c r="D183" s="340" t="s">
        <v>209</v>
      </c>
      <c r="E183" s="357">
        <f>(2*1500)</f>
        <v>3000</v>
      </c>
      <c r="F183" s="229">
        <f t="shared" si="19"/>
        <v>3000</v>
      </c>
      <c r="G183" s="300">
        <v>70</v>
      </c>
      <c r="H183" s="229">
        <f t="shared" si="20"/>
        <v>70</v>
      </c>
      <c r="I183" s="230">
        <f t="shared" si="21"/>
        <v>3070</v>
      </c>
      <c r="J183" s="97"/>
    </row>
    <row r="184" spans="1:12" s="203" customFormat="1" ht="21" customHeight="1">
      <c r="A184" s="225"/>
      <c r="B184" s="360" t="s">
        <v>214</v>
      </c>
      <c r="C184" s="340">
        <v>2</v>
      </c>
      <c r="D184" s="340" t="s">
        <v>209</v>
      </c>
      <c r="E184" s="357">
        <f>(1.4*1500)</f>
        <v>2100</v>
      </c>
      <c r="F184" s="229">
        <f t="shared" si="19"/>
        <v>4200</v>
      </c>
      <c r="G184" s="300">
        <v>70</v>
      </c>
      <c r="H184" s="229">
        <f t="shared" si="20"/>
        <v>140</v>
      </c>
      <c r="I184" s="230">
        <f t="shared" si="21"/>
        <v>4340</v>
      </c>
      <c r="J184" s="97"/>
    </row>
    <row r="185" spans="1:12" s="203" customFormat="1" ht="21" customHeight="1">
      <c r="A185" s="225"/>
      <c r="B185" s="356" t="s">
        <v>215</v>
      </c>
      <c r="C185" s="340">
        <v>6</v>
      </c>
      <c r="D185" s="340" t="s">
        <v>94</v>
      </c>
      <c r="E185" s="357">
        <v>5500</v>
      </c>
      <c r="F185" s="229">
        <f t="shared" si="19"/>
        <v>33000</v>
      </c>
      <c r="G185" s="300">
        <v>450</v>
      </c>
      <c r="H185" s="229">
        <f t="shared" si="20"/>
        <v>2700</v>
      </c>
      <c r="I185" s="230">
        <f t="shared" si="21"/>
        <v>35700</v>
      </c>
      <c r="J185" s="97"/>
    </row>
    <row r="186" spans="1:12" s="203" customFormat="1" ht="21" customHeight="1">
      <c r="A186" s="225"/>
      <c r="B186" s="356" t="s">
        <v>410</v>
      </c>
      <c r="C186" s="340">
        <v>3</v>
      </c>
      <c r="D186" s="340" t="s">
        <v>94</v>
      </c>
      <c r="E186" s="357">
        <v>700</v>
      </c>
      <c r="F186" s="229">
        <f t="shared" si="19"/>
        <v>2100</v>
      </c>
      <c r="G186" s="300">
        <v>170</v>
      </c>
      <c r="H186" s="229">
        <f t="shared" si="20"/>
        <v>510</v>
      </c>
      <c r="I186" s="230">
        <f t="shared" si="21"/>
        <v>2610</v>
      </c>
      <c r="J186" s="97"/>
    </row>
    <row r="187" spans="1:12" s="203" customFormat="1" ht="21" customHeight="1">
      <c r="A187" s="225"/>
      <c r="B187" s="356" t="s">
        <v>216</v>
      </c>
      <c r="C187" s="340">
        <v>1</v>
      </c>
      <c r="D187" s="340" t="s">
        <v>94</v>
      </c>
      <c r="E187" s="357">
        <v>2200</v>
      </c>
      <c r="F187" s="229">
        <f t="shared" si="19"/>
        <v>2200</v>
      </c>
      <c r="G187" s="300">
        <v>70</v>
      </c>
      <c r="H187" s="229">
        <f t="shared" si="20"/>
        <v>70</v>
      </c>
      <c r="I187" s="230">
        <f t="shared" si="21"/>
        <v>2270</v>
      </c>
      <c r="J187" s="97"/>
      <c r="L187" s="210"/>
    </row>
    <row r="188" spans="1:12" s="203" customFormat="1" ht="21" customHeight="1">
      <c r="A188" s="225"/>
      <c r="B188" s="361" t="s">
        <v>217</v>
      </c>
      <c r="C188" s="340">
        <v>2</v>
      </c>
      <c r="D188" s="340" t="s">
        <v>94</v>
      </c>
      <c r="E188" s="357">
        <v>3400</v>
      </c>
      <c r="F188" s="229">
        <f t="shared" si="19"/>
        <v>6800</v>
      </c>
      <c r="G188" s="300">
        <v>70</v>
      </c>
      <c r="H188" s="229">
        <v>105</v>
      </c>
      <c r="I188" s="230">
        <f t="shared" si="21"/>
        <v>6905</v>
      </c>
      <c r="J188" s="97"/>
      <c r="L188" s="210"/>
    </row>
    <row r="189" spans="1:12" s="203" customFormat="1" ht="21" customHeight="1">
      <c r="A189" s="225"/>
      <c r="B189" s="356" t="s">
        <v>411</v>
      </c>
      <c r="C189" s="340">
        <v>7</v>
      </c>
      <c r="D189" s="340" t="s">
        <v>95</v>
      </c>
      <c r="E189" s="357">
        <v>125</v>
      </c>
      <c r="F189" s="229">
        <f t="shared" si="19"/>
        <v>875</v>
      </c>
      <c r="G189" s="300">
        <v>25</v>
      </c>
      <c r="H189" s="229">
        <f t="shared" si="20"/>
        <v>175</v>
      </c>
      <c r="I189" s="230">
        <f t="shared" si="21"/>
        <v>1050</v>
      </c>
      <c r="J189" s="97"/>
      <c r="L189" s="210"/>
    </row>
    <row r="190" spans="1:12" s="203" customFormat="1" ht="21" customHeight="1">
      <c r="A190" s="225"/>
      <c r="B190" s="356" t="s">
        <v>218</v>
      </c>
      <c r="C190" s="340">
        <v>17</v>
      </c>
      <c r="D190" s="340" t="s">
        <v>95</v>
      </c>
      <c r="E190" s="357">
        <v>250</v>
      </c>
      <c r="F190" s="229">
        <f t="shared" si="19"/>
        <v>4250</v>
      </c>
      <c r="G190" s="300">
        <v>75</v>
      </c>
      <c r="H190" s="229">
        <f t="shared" si="20"/>
        <v>1275</v>
      </c>
      <c r="I190" s="230">
        <f t="shared" si="21"/>
        <v>5525</v>
      </c>
      <c r="J190" s="97"/>
      <c r="L190" s="210"/>
    </row>
    <row r="191" spans="1:12" s="203" customFormat="1" ht="21" customHeight="1">
      <c r="A191" s="225"/>
      <c r="B191" s="362" t="s">
        <v>412</v>
      </c>
      <c r="C191" s="340">
        <v>14</v>
      </c>
      <c r="D191" s="340" t="s">
        <v>94</v>
      </c>
      <c r="E191" s="357">
        <v>10500</v>
      </c>
      <c r="F191" s="229">
        <f t="shared" si="19"/>
        <v>147000</v>
      </c>
      <c r="G191" s="300">
        <v>1500</v>
      </c>
      <c r="H191" s="229">
        <f t="shared" si="20"/>
        <v>21000</v>
      </c>
      <c r="I191" s="230">
        <f t="shared" si="21"/>
        <v>168000</v>
      </c>
      <c r="J191" s="97"/>
      <c r="L191" s="210"/>
    </row>
    <row r="192" spans="1:12" s="203" customFormat="1" ht="21" customHeight="1">
      <c r="A192" s="225"/>
      <c r="B192" s="363" t="s">
        <v>413</v>
      </c>
      <c r="C192" s="340">
        <v>11</v>
      </c>
      <c r="D192" s="364" t="s">
        <v>176</v>
      </c>
      <c r="E192" s="365">
        <v>2500</v>
      </c>
      <c r="F192" s="229">
        <f t="shared" si="19"/>
        <v>27500</v>
      </c>
      <c r="G192" s="365">
        <v>160</v>
      </c>
      <c r="H192" s="229">
        <f t="shared" si="20"/>
        <v>1760</v>
      </c>
      <c r="I192" s="230">
        <f t="shared" si="21"/>
        <v>29260</v>
      </c>
      <c r="J192" s="97"/>
      <c r="L192" s="210"/>
    </row>
    <row r="193" spans="1:14" s="203" customFormat="1" ht="21" customHeight="1">
      <c r="A193" s="225"/>
      <c r="B193" s="363" t="s">
        <v>219</v>
      </c>
      <c r="C193" s="340">
        <v>11</v>
      </c>
      <c r="D193" s="364" t="s">
        <v>176</v>
      </c>
      <c r="E193" s="365">
        <v>800</v>
      </c>
      <c r="F193" s="229">
        <f t="shared" si="19"/>
        <v>8800</v>
      </c>
      <c r="G193" s="365">
        <v>160</v>
      </c>
      <c r="H193" s="229">
        <f t="shared" si="20"/>
        <v>1760</v>
      </c>
      <c r="I193" s="230">
        <f t="shared" si="21"/>
        <v>10560</v>
      </c>
      <c r="J193" s="97"/>
      <c r="L193" s="210"/>
    </row>
    <row r="194" spans="1:14" s="203" customFormat="1" ht="21" customHeight="1">
      <c r="A194" s="225"/>
      <c r="B194" s="366" t="s">
        <v>414</v>
      </c>
      <c r="C194" s="340">
        <v>1</v>
      </c>
      <c r="D194" s="340" t="s">
        <v>94</v>
      </c>
      <c r="E194" s="357">
        <v>14500</v>
      </c>
      <c r="F194" s="229">
        <f t="shared" si="19"/>
        <v>14500</v>
      </c>
      <c r="G194" s="300">
        <v>3000</v>
      </c>
      <c r="H194" s="229">
        <f t="shared" si="20"/>
        <v>3000</v>
      </c>
      <c r="I194" s="230">
        <f t="shared" si="21"/>
        <v>17500</v>
      </c>
      <c r="J194" s="97"/>
      <c r="L194" s="210"/>
    </row>
    <row r="195" spans="1:14" s="203" customFormat="1" ht="21" customHeight="1">
      <c r="A195" s="249">
        <v>3.7</v>
      </c>
      <c r="B195" s="367" t="s">
        <v>220</v>
      </c>
      <c r="C195" s="331"/>
      <c r="D195" s="332"/>
      <c r="E195" s="333"/>
      <c r="F195" s="334"/>
      <c r="G195" s="333"/>
      <c r="H195" s="334"/>
      <c r="I195" s="335"/>
      <c r="J195" s="102"/>
      <c r="L195" s="210"/>
    </row>
    <row r="196" spans="1:14" s="203" customFormat="1" ht="21" customHeight="1">
      <c r="A196" s="225"/>
      <c r="B196" s="226" t="s">
        <v>221</v>
      </c>
      <c r="C196" s="340">
        <v>2356</v>
      </c>
      <c r="D196" s="225" t="s">
        <v>15</v>
      </c>
      <c r="E196" s="345">
        <v>35</v>
      </c>
      <c r="F196" s="229">
        <f t="shared" si="19"/>
        <v>82460</v>
      </c>
      <c r="G196" s="345">
        <v>30</v>
      </c>
      <c r="H196" s="229">
        <f t="shared" si="20"/>
        <v>70680</v>
      </c>
      <c r="I196" s="230">
        <f t="shared" si="21"/>
        <v>153140</v>
      </c>
      <c r="J196" s="97"/>
      <c r="L196" s="210"/>
    </row>
    <row r="197" spans="1:14" s="203" customFormat="1" ht="21" customHeight="1">
      <c r="A197" s="225"/>
      <c r="B197" s="226" t="s">
        <v>222</v>
      </c>
      <c r="C197" s="340">
        <v>1596</v>
      </c>
      <c r="D197" s="225" t="s">
        <v>15</v>
      </c>
      <c r="E197" s="345">
        <v>44</v>
      </c>
      <c r="F197" s="229">
        <f t="shared" si="19"/>
        <v>70224</v>
      </c>
      <c r="G197" s="345">
        <v>34</v>
      </c>
      <c r="H197" s="229">
        <f t="shared" si="20"/>
        <v>54264</v>
      </c>
      <c r="I197" s="230">
        <f t="shared" si="21"/>
        <v>124488</v>
      </c>
      <c r="J197" s="97"/>
      <c r="L197" s="210"/>
    </row>
    <row r="198" spans="1:14" s="203" customFormat="1" ht="21" customHeight="1">
      <c r="A198" s="225"/>
      <c r="B198" s="226" t="s">
        <v>223</v>
      </c>
      <c r="C198" s="340">
        <v>1280</v>
      </c>
      <c r="D198" s="225" t="s">
        <v>15</v>
      </c>
      <c r="E198" s="345">
        <v>33</v>
      </c>
      <c r="F198" s="229">
        <f t="shared" si="19"/>
        <v>42240</v>
      </c>
      <c r="G198" s="345">
        <v>30</v>
      </c>
      <c r="H198" s="229">
        <f t="shared" si="20"/>
        <v>38400</v>
      </c>
      <c r="I198" s="230">
        <f t="shared" si="21"/>
        <v>80640</v>
      </c>
      <c r="J198" s="97"/>
      <c r="L198" s="210"/>
    </row>
    <row r="199" spans="1:14" s="203" customFormat="1" ht="21" customHeight="1">
      <c r="A199" s="249">
        <v>3.8</v>
      </c>
      <c r="B199" s="250" t="s">
        <v>224</v>
      </c>
      <c r="C199" s="251"/>
      <c r="D199" s="338"/>
      <c r="E199" s="252"/>
      <c r="F199" s="229"/>
      <c r="G199" s="252"/>
      <c r="H199" s="229"/>
      <c r="I199" s="230"/>
      <c r="J199" s="97"/>
      <c r="L199" s="210"/>
    </row>
    <row r="200" spans="1:14" s="203" customFormat="1" ht="21" customHeight="1">
      <c r="A200" s="225"/>
      <c r="B200" s="337" t="s">
        <v>415</v>
      </c>
      <c r="C200" s="251"/>
      <c r="D200" s="338"/>
      <c r="E200" s="252"/>
      <c r="F200" s="229"/>
      <c r="G200" s="252"/>
      <c r="H200" s="229"/>
      <c r="I200" s="230"/>
      <c r="J200" s="97"/>
      <c r="L200" s="210"/>
    </row>
    <row r="201" spans="1:14" s="203" customFormat="1" ht="21" customHeight="1">
      <c r="A201" s="225"/>
      <c r="B201" s="226" t="s">
        <v>416</v>
      </c>
      <c r="C201" s="340">
        <v>789</v>
      </c>
      <c r="D201" s="225" t="s">
        <v>15</v>
      </c>
      <c r="E201" s="228">
        <v>400</v>
      </c>
      <c r="F201" s="229">
        <f t="shared" si="19"/>
        <v>315600</v>
      </c>
      <c r="G201" s="228">
        <v>70</v>
      </c>
      <c r="H201" s="229">
        <f t="shared" si="20"/>
        <v>55230</v>
      </c>
      <c r="I201" s="230">
        <f t="shared" si="21"/>
        <v>370830</v>
      </c>
      <c r="J201" s="97"/>
      <c r="L201" s="210"/>
    </row>
    <row r="202" spans="1:14" s="203" customFormat="1" ht="21" customHeight="1">
      <c r="A202" s="225"/>
      <c r="B202" s="226" t="s">
        <v>417</v>
      </c>
      <c r="C202" s="340">
        <v>132</v>
      </c>
      <c r="D202" s="225" t="s">
        <v>176</v>
      </c>
      <c r="E202" s="228">
        <v>260</v>
      </c>
      <c r="F202" s="229">
        <f t="shared" si="19"/>
        <v>34320</v>
      </c>
      <c r="G202" s="228">
        <v>50</v>
      </c>
      <c r="H202" s="229">
        <f t="shared" si="20"/>
        <v>6600</v>
      </c>
      <c r="I202" s="230">
        <f t="shared" si="21"/>
        <v>40920</v>
      </c>
      <c r="J202" s="97"/>
      <c r="L202" s="210"/>
    </row>
    <row r="203" spans="1:14" s="203" customFormat="1" ht="21" customHeight="1">
      <c r="A203" s="225"/>
      <c r="B203" s="226" t="s">
        <v>225</v>
      </c>
      <c r="C203" s="340">
        <v>75</v>
      </c>
      <c r="D203" s="225" t="s">
        <v>15</v>
      </c>
      <c r="E203" s="228">
        <v>800</v>
      </c>
      <c r="F203" s="229">
        <f t="shared" si="19"/>
        <v>60000</v>
      </c>
      <c r="G203" s="228">
        <v>50</v>
      </c>
      <c r="H203" s="229">
        <f t="shared" si="20"/>
        <v>3750</v>
      </c>
      <c r="I203" s="230">
        <f t="shared" si="21"/>
        <v>63750</v>
      </c>
      <c r="J203" s="97"/>
      <c r="L203" s="210"/>
    </row>
    <row r="204" spans="1:14" s="203" customFormat="1" ht="21" customHeight="1">
      <c r="A204" s="225"/>
      <c r="B204" s="226" t="s">
        <v>420</v>
      </c>
      <c r="C204" s="340">
        <v>68</v>
      </c>
      <c r="D204" s="225" t="s">
        <v>176</v>
      </c>
      <c r="E204" s="228">
        <v>1850</v>
      </c>
      <c r="F204" s="229">
        <f t="shared" si="19"/>
        <v>125800</v>
      </c>
      <c r="G204" s="228">
        <v>25</v>
      </c>
      <c r="H204" s="229">
        <f t="shared" si="20"/>
        <v>1700</v>
      </c>
      <c r="I204" s="230">
        <f t="shared" si="21"/>
        <v>127500</v>
      </c>
      <c r="J204" s="368"/>
      <c r="L204" s="210"/>
    </row>
    <row r="205" spans="1:14" s="203" customFormat="1" ht="21" customHeight="1">
      <c r="A205" s="249">
        <v>3.9</v>
      </c>
      <c r="B205" s="250" t="s">
        <v>447</v>
      </c>
      <c r="C205" s="369"/>
      <c r="D205" s="338"/>
      <c r="E205" s="252"/>
      <c r="F205" s="229"/>
      <c r="G205" s="252"/>
      <c r="H205" s="229"/>
      <c r="I205" s="230"/>
      <c r="J205" s="97"/>
      <c r="L205" s="370"/>
      <c r="M205" s="370"/>
      <c r="N205" s="210"/>
    </row>
    <row r="206" spans="1:14" s="203" customFormat="1" ht="21" customHeight="1">
      <c r="A206" s="225"/>
      <c r="B206" s="226" t="s">
        <v>448</v>
      </c>
      <c r="C206" s="340">
        <v>1</v>
      </c>
      <c r="D206" s="225" t="s">
        <v>94</v>
      </c>
      <c r="E206" s="228">
        <v>12675</v>
      </c>
      <c r="F206" s="229">
        <f t="shared" ref="F206:F212" si="22">ROUND(E206*C206,2)</f>
        <v>12675</v>
      </c>
      <c r="G206" s="228">
        <v>0</v>
      </c>
      <c r="H206" s="229">
        <f t="shared" ref="H206:H212" si="23">ROUND(G206*C206,2)</f>
        <v>0</v>
      </c>
      <c r="I206" s="230">
        <f t="shared" ref="I206:I212" si="24">+F206+H206</f>
        <v>12675</v>
      </c>
      <c r="J206" s="97"/>
      <c r="L206" s="370"/>
      <c r="M206" s="370"/>
      <c r="N206" s="210"/>
    </row>
    <row r="207" spans="1:14" s="203" customFormat="1" ht="21" customHeight="1">
      <c r="A207" s="225"/>
      <c r="B207" s="226" t="s">
        <v>449</v>
      </c>
      <c r="C207" s="340">
        <v>2</v>
      </c>
      <c r="D207" s="225" t="s">
        <v>94</v>
      </c>
      <c r="E207" s="228">
        <v>5980</v>
      </c>
      <c r="F207" s="229">
        <f t="shared" si="22"/>
        <v>11960</v>
      </c>
      <c r="G207" s="228">
        <v>0</v>
      </c>
      <c r="H207" s="229">
        <f t="shared" si="23"/>
        <v>0</v>
      </c>
      <c r="I207" s="230">
        <f t="shared" si="24"/>
        <v>11960</v>
      </c>
      <c r="J207" s="97"/>
      <c r="L207" s="370"/>
      <c r="M207" s="370"/>
      <c r="N207" s="210"/>
    </row>
    <row r="208" spans="1:14" s="203" customFormat="1" ht="21" customHeight="1">
      <c r="A208" s="225"/>
      <c r="B208" s="226" t="s">
        <v>450</v>
      </c>
      <c r="C208" s="340">
        <v>4</v>
      </c>
      <c r="D208" s="225" t="s">
        <v>94</v>
      </c>
      <c r="E208" s="228">
        <v>1500</v>
      </c>
      <c r="F208" s="229">
        <f t="shared" si="22"/>
        <v>6000</v>
      </c>
      <c r="G208" s="228">
        <v>0</v>
      </c>
      <c r="H208" s="229">
        <f t="shared" si="23"/>
        <v>0</v>
      </c>
      <c r="I208" s="230">
        <f t="shared" si="24"/>
        <v>6000</v>
      </c>
      <c r="J208" s="97"/>
      <c r="L208" s="370"/>
      <c r="M208" s="370"/>
      <c r="N208" s="210"/>
    </row>
    <row r="209" spans="1:14" s="203" customFormat="1" ht="21" customHeight="1">
      <c r="A209" s="225"/>
      <c r="B209" s="226" t="s">
        <v>451</v>
      </c>
      <c r="C209" s="340">
        <v>3</v>
      </c>
      <c r="D209" s="225" t="s">
        <v>94</v>
      </c>
      <c r="E209" s="228">
        <v>5395</v>
      </c>
      <c r="F209" s="229">
        <f t="shared" si="22"/>
        <v>16185</v>
      </c>
      <c r="G209" s="228">
        <v>0</v>
      </c>
      <c r="H209" s="229">
        <f t="shared" si="23"/>
        <v>0</v>
      </c>
      <c r="I209" s="230">
        <f t="shared" si="24"/>
        <v>16185</v>
      </c>
      <c r="J209" s="97"/>
      <c r="L209" s="370"/>
      <c r="M209" s="370"/>
      <c r="N209" s="210"/>
    </row>
    <row r="210" spans="1:14" s="203" customFormat="1" ht="21" customHeight="1">
      <c r="A210" s="225"/>
      <c r="B210" s="226" t="s">
        <v>452</v>
      </c>
      <c r="C210" s="340">
        <v>5</v>
      </c>
      <c r="D210" s="225" t="s">
        <v>94</v>
      </c>
      <c r="E210" s="228">
        <v>4225</v>
      </c>
      <c r="F210" s="229">
        <f t="shared" si="22"/>
        <v>21125</v>
      </c>
      <c r="G210" s="228">
        <v>0</v>
      </c>
      <c r="H210" s="229">
        <f t="shared" si="23"/>
        <v>0</v>
      </c>
      <c r="I210" s="230">
        <f t="shared" si="24"/>
        <v>21125</v>
      </c>
      <c r="J210" s="97"/>
      <c r="L210" s="370"/>
      <c r="M210" s="370"/>
      <c r="N210" s="210"/>
    </row>
    <row r="211" spans="1:14" s="203" customFormat="1" ht="21" customHeight="1">
      <c r="A211" s="225"/>
      <c r="B211" s="226" t="s">
        <v>453</v>
      </c>
      <c r="C211" s="340">
        <v>1</v>
      </c>
      <c r="D211" s="225" t="s">
        <v>94</v>
      </c>
      <c r="E211" s="228">
        <v>12350</v>
      </c>
      <c r="F211" s="229">
        <f t="shared" si="22"/>
        <v>12350</v>
      </c>
      <c r="G211" s="228">
        <v>0</v>
      </c>
      <c r="H211" s="229">
        <f t="shared" si="23"/>
        <v>0</v>
      </c>
      <c r="I211" s="230">
        <f t="shared" si="24"/>
        <v>12350</v>
      </c>
      <c r="J211" s="97"/>
      <c r="L211" s="370"/>
      <c r="M211" s="370"/>
      <c r="N211" s="210"/>
    </row>
    <row r="212" spans="1:14" s="203" customFormat="1" ht="21" customHeight="1">
      <c r="A212" s="225"/>
      <c r="B212" s="226" t="s">
        <v>454</v>
      </c>
      <c r="C212" s="340">
        <v>1</v>
      </c>
      <c r="D212" s="225" t="s">
        <v>94</v>
      </c>
      <c r="E212" s="228">
        <v>24000</v>
      </c>
      <c r="F212" s="229">
        <f t="shared" si="22"/>
        <v>24000</v>
      </c>
      <c r="G212" s="228">
        <v>0</v>
      </c>
      <c r="H212" s="229">
        <f t="shared" si="23"/>
        <v>0</v>
      </c>
      <c r="I212" s="230">
        <f t="shared" si="24"/>
        <v>24000</v>
      </c>
      <c r="J212" s="97"/>
      <c r="L212" s="370"/>
      <c r="M212" s="370"/>
      <c r="N212" s="210"/>
    </row>
    <row r="213" spans="1:14" s="203" customFormat="1" ht="21" customHeight="1">
      <c r="A213" s="225"/>
      <c r="B213" s="337"/>
      <c r="C213" s="371"/>
      <c r="D213" s="225"/>
      <c r="E213" s="228"/>
      <c r="F213" s="229"/>
      <c r="G213" s="228"/>
      <c r="H213" s="229"/>
      <c r="I213" s="230"/>
      <c r="J213" s="103"/>
      <c r="L213" s="210"/>
    </row>
    <row r="214" spans="1:14" s="203" customFormat="1" ht="21" customHeight="1" thickBot="1">
      <c r="A214" s="240"/>
      <c r="B214" s="372" t="s">
        <v>226</v>
      </c>
      <c r="C214" s="373"/>
      <c r="D214" s="374"/>
      <c r="E214" s="375"/>
      <c r="F214" s="376">
        <f>SUM(F108:F213)</f>
        <v>5122457</v>
      </c>
      <c r="G214" s="375"/>
      <c r="H214" s="376">
        <f>SUM(H108:H213)</f>
        <v>1393187.5</v>
      </c>
      <c r="I214" s="376">
        <f>SUM(I108:I213)</f>
        <v>6515644.5</v>
      </c>
      <c r="J214" s="104"/>
      <c r="L214" s="210"/>
    </row>
    <row r="215" spans="1:14" s="203" customFormat="1" ht="21" customHeight="1" thickTop="1">
      <c r="A215" s="269"/>
      <c r="B215" s="377"/>
      <c r="C215" s="378"/>
      <c r="D215" s="379"/>
      <c r="E215" s="380"/>
      <c r="F215" s="381"/>
      <c r="G215" s="380"/>
      <c r="H215" s="381"/>
      <c r="I215" s="382"/>
      <c r="J215" s="105"/>
      <c r="L215" s="210"/>
    </row>
    <row r="216" spans="1:14" s="203" customFormat="1" ht="21" customHeight="1">
      <c r="A216" s="249">
        <v>4</v>
      </c>
      <c r="B216" s="383" t="s">
        <v>227</v>
      </c>
      <c r="C216" s="384"/>
      <c r="D216" s="249"/>
      <c r="E216" s="333"/>
      <c r="F216" s="334"/>
      <c r="G216" s="333"/>
      <c r="H216" s="334"/>
      <c r="I216" s="335"/>
      <c r="J216" s="106"/>
      <c r="L216" s="210"/>
    </row>
    <row r="217" spans="1:14" s="203" customFormat="1" ht="21" customHeight="1">
      <c r="A217" s="218"/>
      <c r="B217" s="385" t="s">
        <v>228</v>
      </c>
      <c r="C217" s="386"/>
      <c r="D217" s="289"/>
      <c r="E217" s="252"/>
      <c r="F217" s="229"/>
      <c r="G217" s="252"/>
      <c r="H217" s="229"/>
      <c r="I217" s="230"/>
      <c r="J217" s="368"/>
      <c r="L217" s="210"/>
    </row>
    <row r="218" spans="1:14" ht="21" customHeight="1">
      <c r="A218" s="218"/>
      <c r="B218" s="385" t="s">
        <v>229</v>
      </c>
      <c r="C218" s="386">
        <v>5</v>
      </c>
      <c r="D218" s="289" t="s">
        <v>230</v>
      </c>
      <c r="E218" s="228">
        <v>1165</v>
      </c>
      <c r="F218" s="295">
        <f t="shared" ref="F218:F282" si="25">ROUND(E218*C218,2)</f>
        <v>5825</v>
      </c>
      <c r="G218" s="252">
        <v>250</v>
      </c>
      <c r="H218" s="229">
        <f t="shared" ref="H218:H282" si="26">ROUND(G218*C218,2)</f>
        <v>1250</v>
      </c>
      <c r="I218" s="230">
        <f t="shared" ref="I218:I282" si="27">+F218+H218</f>
        <v>7075</v>
      </c>
      <c r="J218" s="387"/>
    </row>
    <row r="219" spans="1:14" ht="21" customHeight="1">
      <c r="A219" s="218"/>
      <c r="B219" s="385" t="s">
        <v>231</v>
      </c>
      <c r="C219" s="386">
        <v>28</v>
      </c>
      <c r="D219" s="289" t="s">
        <v>230</v>
      </c>
      <c r="E219" s="228">
        <v>550</v>
      </c>
      <c r="F219" s="295">
        <f t="shared" si="25"/>
        <v>15400</v>
      </c>
      <c r="G219" s="252">
        <v>120</v>
      </c>
      <c r="H219" s="229">
        <f t="shared" si="26"/>
        <v>3360</v>
      </c>
      <c r="I219" s="230">
        <f t="shared" si="27"/>
        <v>18760</v>
      </c>
      <c r="J219" s="387"/>
    </row>
    <row r="220" spans="1:14" s="203" customFormat="1" ht="21" customHeight="1">
      <c r="A220" s="218"/>
      <c r="B220" s="385" t="s">
        <v>232</v>
      </c>
      <c r="C220" s="386">
        <v>4</v>
      </c>
      <c r="D220" s="289" t="s">
        <v>230</v>
      </c>
      <c r="E220" s="252">
        <v>155</v>
      </c>
      <c r="F220" s="295">
        <f t="shared" si="25"/>
        <v>620</v>
      </c>
      <c r="G220" s="252">
        <v>40</v>
      </c>
      <c r="H220" s="229">
        <f t="shared" si="26"/>
        <v>160</v>
      </c>
      <c r="I220" s="230">
        <f t="shared" si="27"/>
        <v>780</v>
      </c>
      <c r="J220" s="87"/>
      <c r="L220" s="210"/>
    </row>
    <row r="221" spans="1:14" s="203" customFormat="1" ht="21" customHeight="1">
      <c r="A221" s="218"/>
      <c r="B221" s="385" t="s">
        <v>233</v>
      </c>
      <c r="C221" s="386">
        <v>1</v>
      </c>
      <c r="D221" s="289" t="s">
        <v>97</v>
      </c>
      <c r="E221" s="252">
        <f>(F218+F219+F220)*(0.4+0.3+0.1)</f>
        <v>17476</v>
      </c>
      <c r="F221" s="295">
        <f t="shared" si="25"/>
        <v>17476</v>
      </c>
      <c r="G221" s="252">
        <f>((((F218+F219+F220)*0.4)*0.3)+(((F218+F219+F220)*0.3)*0.3)+(((F218+F219+F220)*0.1)*0.3))</f>
        <v>5242.8</v>
      </c>
      <c r="H221" s="229">
        <f t="shared" si="26"/>
        <v>5242.8</v>
      </c>
      <c r="I221" s="230">
        <f t="shared" si="27"/>
        <v>22718.799999999999</v>
      </c>
      <c r="J221" s="87"/>
      <c r="L221" s="210"/>
    </row>
    <row r="222" spans="1:14" s="203" customFormat="1" ht="21" customHeight="1">
      <c r="A222" s="218"/>
      <c r="B222" s="385" t="s">
        <v>234</v>
      </c>
      <c r="C222" s="386"/>
      <c r="D222" s="289"/>
      <c r="E222" s="252"/>
      <c r="F222" s="295"/>
      <c r="G222" s="252"/>
      <c r="H222" s="229"/>
      <c r="I222" s="230"/>
      <c r="J222" s="87"/>
      <c r="L222" s="210"/>
    </row>
    <row r="223" spans="1:14" s="203" customFormat="1" ht="21" customHeight="1">
      <c r="A223" s="218"/>
      <c r="B223" s="385" t="s">
        <v>235</v>
      </c>
      <c r="C223" s="386">
        <v>6</v>
      </c>
      <c r="D223" s="289" t="s">
        <v>230</v>
      </c>
      <c r="E223" s="252">
        <v>340</v>
      </c>
      <c r="F223" s="295">
        <f t="shared" si="25"/>
        <v>2040</v>
      </c>
      <c r="G223" s="252">
        <v>75</v>
      </c>
      <c r="H223" s="229">
        <f t="shared" si="26"/>
        <v>450</v>
      </c>
      <c r="I223" s="230">
        <f t="shared" si="27"/>
        <v>2490</v>
      </c>
      <c r="J223" s="97"/>
      <c r="L223" s="210"/>
    </row>
    <row r="224" spans="1:14" s="203" customFormat="1" ht="21" customHeight="1">
      <c r="A224" s="218"/>
      <c r="B224" s="385" t="s">
        <v>232</v>
      </c>
      <c r="C224" s="386">
        <v>23</v>
      </c>
      <c r="D224" s="289" t="s">
        <v>230</v>
      </c>
      <c r="E224" s="252">
        <f>E220</f>
        <v>155</v>
      </c>
      <c r="F224" s="295">
        <f t="shared" si="25"/>
        <v>3565</v>
      </c>
      <c r="G224" s="252">
        <f>G220</f>
        <v>40</v>
      </c>
      <c r="H224" s="229">
        <f t="shared" si="26"/>
        <v>920</v>
      </c>
      <c r="I224" s="230">
        <f t="shared" si="27"/>
        <v>4485</v>
      </c>
      <c r="J224" s="97"/>
      <c r="L224" s="210"/>
    </row>
    <row r="225" spans="1:12" s="203" customFormat="1" ht="21" customHeight="1">
      <c r="A225" s="218"/>
      <c r="B225" s="385" t="s">
        <v>233</v>
      </c>
      <c r="C225" s="386">
        <v>1</v>
      </c>
      <c r="D225" s="289" t="s">
        <v>97</v>
      </c>
      <c r="E225" s="252">
        <f>(F223+F224)*(0.4+0.3+0.1)</f>
        <v>4484</v>
      </c>
      <c r="F225" s="295">
        <f t="shared" si="25"/>
        <v>4484</v>
      </c>
      <c r="G225" s="252">
        <f>((((F223+F224)*0.4)*0.3)+(((F223+F224)*0.3)*0.3)+(((F223+F224)*0.1)*0.3))</f>
        <v>1345.2</v>
      </c>
      <c r="H225" s="229">
        <f t="shared" si="26"/>
        <v>1345.2</v>
      </c>
      <c r="I225" s="230">
        <f t="shared" si="27"/>
        <v>5829.2</v>
      </c>
      <c r="J225" s="97"/>
      <c r="L225" s="210"/>
    </row>
    <row r="226" spans="1:12" s="203" customFormat="1" ht="21" customHeight="1">
      <c r="A226" s="218"/>
      <c r="B226" s="385" t="s">
        <v>236</v>
      </c>
      <c r="C226" s="386"/>
      <c r="D226" s="289"/>
      <c r="E226" s="252"/>
      <c r="F226" s="295"/>
      <c r="G226" s="252"/>
      <c r="H226" s="229"/>
      <c r="I226" s="230"/>
      <c r="J226" s="97"/>
      <c r="L226" s="210"/>
    </row>
    <row r="227" spans="1:12" s="203" customFormat="1" ht="21" customHeight="1">
      <c r="A227" s="218"/>
      <c r="B227" s="385" t="s">
        <v>237</v>
      </c>
      <c r="C227" s="386">
        <v>17</v>
      </c>
      <c r="D227" s="289" t="s">
        <v>230</v>
      </c>
      <c r="E227" s="228">
        <v>60</v>
      </c>
      <c r="F227" s="295">
        <f t="shared" si="25"/>
        <v>1020</v>
      </c>
      <c r="G227" s="252">
        <v>40</v>
      </c>
      <c r="H227" s="229">
        <f t="shared" si="26"/>
        <v>680</v>
      </c>
      <c r="I227" s="230">
        <f t="shared" si="27"/>
        <v>1700</v>
      </c>
      <c r="J227" s="97"/>
      <c r="L227" s="210"/>
    </row>
    <row r="228" spans="1:12" s="203" customFormat="1" ht="21" customHeight="1">
      <c r="A228" s="218"/>
      <c r="B228" s="385" t="s">
        <v>233</v>
      </c>
      <c r="C228" s="386">
        <v>1</v>
      </c>
      <c r="D228" s="289" t="s">
        <v>97</v>
      </c>
      <c r="E228" s="252">
        <f>(F227)*(0.4+0.3+0.1)</f>
        <v>815.99999999999989</v>
      </c>
      <c r="F228" s="295">
        <f t="shared" si="25"/>
        <v>816</v>
      </c>
      <c r="G228" s="252">
        <f>((((F226+F227)*0.4)*0.3)+(((F226+F227)*0.3)*0.3)+(((F227)*0.1)*0.3))</f>
        <v>244.79999999999998</v>
      </c>
      <c r="H228" s="229">
        <f t="shared" si="26"/>
        <v>244.8</v>
      </c>
      <c r="I228" s="230">
        <f t="shared" si="27"/>
        <v>1060.8</v>
      </c>
      <c r="J228" s="97"/>
      <c r="L228" s="210"/>
    </row>
    <row r="229" spans="1:12" s="203" customFormat="1" ht="21" customHeight="1">
      <c r="A229" s="218"/>
      <c r="B229" s="385" t="s">
        <v>238</v>
      </c>
      <c r="C229" s="386"/>
      <c r="D229" s="289"/>
      <c r="E229" s="228"/>
      <c r="F229" s="295"/>
      <c r="G229" s="252"/>
      <c r="H229" s="229"/>
      <c r="I229" s="230"/>
      <c r="J229" s="97"/>
      <c r="L229" s="210"/>
    </row>
    <row r="230" spans="1:12" s="203" customFormat="1" ht="21" customHeight="1">
      <c r="A230" s="218"/>
      <c r="B230" s="385" t="s">
        <v>229</v>
      </c>
      <c r="C230" s="386">
        <v>1</v>
      </c>
      <c r="D230" s="289" t="s">
        <v>94</v>
      </c>
      <c r="E230" s="228">
        <v>1165</v>
      </c>
      <c r="F230" s="295">
        <f t="shared" si="25"/>
        <v>1165</v>
      </c>
      <c r="G230" s="252">
        <v>250</v>
      </c>
      <c r="H230" s="229">
        <f t="shared" si="26"/>
        <v>250</v>
      </c>
      <c r="I230" s="230">
        <f t="shared" si="27"/>
        <v>1415</v>
      </c>
      <c r="J230" s="97"/>
      <c r="L230" s="210"/>
    </row>
    <row r="231" spans="1:12" s="203" customFormat="1" ht="21" customHeight="1">
      <c r="A231" s="218"/>
      <c r="B231" s="385" t="s">
        <v>231</v>
      </c>
      <c r="C231" s="386">
        <v>3</v>
      </c>
      <c r="D231" s="289" t="s">
        <v>94</v>
      </c>
      <c r="E231" s="228">
        <v>550</v>
      </c>
      <c r="F231" s="295">
        <f t="shared" si="25"/>
        <v>1650</v>
      </c>
      <c r="G231" s="252">
        <v>120</v>
      </c>
      <c r="H231" s="229">
        <f t="shared" si="26"/>
        <v>360</v>
      </c>
      <c r="I231" s="230">
        <f t="shared" si="27"/>
        <v>2010</v>
      </c>
      <c r="J231" s="97"/>
      <c r="L231" s="210"/>
    </row>
    <row r="232" spans="1:12" s="203" customFormat="1" ht="21" customHeight="1">
      <c r="A232" s="218"/>
      <c r="B232" s="385" t="s">
        <v>235</v>
      </c>
      <c r="C232" s="386">
        <v>2</v>
      </c>
      <c r="D232" s="289" t="s">
        <v>94</v>
      </c>
      <c r="E232" s="228">
        <v>340</v>
      </c>
      <c r="F232" s="295">
        <f t="shared" si="25"/>
        <v>680</v>
      </c>
      <c r="G232" s="252">
        <v>75</v>
      </c>
      <c r="H232" s="229">
        <f t="shared" si="26"/>
        <v>150</v>
      </c>
      <c r="I232" s="230">
        <f t="shared" si="27"/>
        <v>830</v>
      </c>
      <c r="J232" s="97"/>
      <c r="L232" s="210"/>
    </row>
    <row r="233" spans="1:12" s="203" customFormat="1" ht="21" customHeight="1">
      <c r="A233" s="218"/>
      <c r="B233" s="385" t="s">
        <v>239</v>
      </c>
      <c r="C233" s="386"/>
      <c r="D233" s="289"/>
      <c r="E233" s="228"/>
      <c r="F233" s="295"/>
      <c r="G233" s="252"/>
      <c r="H233" s="229"/>
      <c r="I233" s="230"/>
      <c r="J233" s="97"/>
      <c r="L233" s="210"/>
    </row>
    <row r="234" spans="1:12" s="203" customFormat="1" ht="21" customHeight="1">
      <c r="A234" s="218"/>
      <c r="B234" s="385" t="s">
        <v>231</v>
      </c>
      <c r="C234" s="386">
        <v>4</v>
      </c>
      <c r="D234" s="289" t="s">
        <v>94</v>
      </c>
      <c r="E234" s="228">
        <v>550</v>
      </c>
      <c r="F234" s="295">
        <f t="shared" si="25"/>
        <v>2200</v>
      </c>
      <c r="G234" s="252">
        <v>120</v>
      </c>
      <c r="H234" s="229">
        <f t="shared" si="26"/>
        <v>480</v>
      </c>
      <c r="I234" s="230">
        <f t="shared" si="27"/>
        <v>2680</v>
      </c>
      <c r="J234" s="97"/>
      <c r="L234" s="210"/>
    </row>
    <row r="235" spans="1:12" s="203" customFormat="1" ht="21" customHeight="1">
      <c r="A235" s="218"/>
      <c r="B235" s="385" t="s">
        <v>235</v>
      </c>
      <c r="C235" s="386">
        <v>3</v>
      </c>
      <c r="D235" s="289" t="s">
        <v>94</v>
      </c>
      <c r="E235" s="228">
        <v>340</v>
      </c>
      <c r="F235" s="295">
        <f t="shared" si="25"/>
        <v>1020</v>
      </c>
      <c r="G235" s="252">
        <v>75</v>
      </c>
      <c r="H235" s="229">
        <f t="shared" si="26"/>
        <v>225</v>
      </c>
      <c r="I235" s="230">
        <f t="shared" si="27"/>
        <v>1245</v>
      </c>
      <c r="J235" s="87"/>
      <c r="L235" s="210"/>
    </row>
    <row r="236" spans="1:12" s="203" customFormat="1" ht="21" customHeight="1">
      <c r="A236" s="218"/>
      <c r="B236" s="385" t="s">
        <v>232</v>
      </c>
      <c r="C236" s="386">
        <v>1</v>
      </c>
      <c r="D236" s="289" t="s">
        <v>94</v>
      </c>
      <c r="E236" s="228">
        <v>155</v>
      </c>
      <c r="F236" s="295">
        <f t="shared" si="25"/>
        <v>155</v>
      </c>
      <c r="G236" s="252">
        <v>40</v>
      </c>
      <c r="H236" s="229">
        <f t="shared" si="26"/>
        <v>40</v>
      </c>
      <c r="I236" s="230">
        <f t="shared" si="27"/>
        <v>195</v>
      </c>
      <c r="J236" s="97"/>
      <c r="L236" s="210"/>
    </row>
    <row r="237" spans="1:12" s="203" customFormat="1" ht="21" customHeight="1">
      <c r="A237" s="218"/>
      <c r="B237" s="385" t="s">
        <v>240</v>
      </c>
      <c r="C237" s="386">
        <v>16</v>
      </c>
      <c r="D237" s="289" t="s">
        <v>94</v>
      </c>
      <c r="E237" s="228">
        <v>155</v>
      </c>
      <c r="F237" s="295">
        <f t="shared" si="25"/>
        <v>2480</v>
      </c>
      <c r="G237" s="252">
        <v>200</v>
      </c>
      <c r="H237" s="229">
        <f t="shared" si="26"/>
        <v>3200</v>
      </c>
      <c r="I237" s="230">
        <f t="shared" si="27"/>
        <v>5680</v>
      </c>
      <c r="J237" s="97"/>
      <c r="L237" s="210"/>
    </row>
    <row r="238" spans="1:12" s="203" customFormat="1" ht="21" customHeight="1">
      <c r="A238" s="218"/>
      <c r="B238" s="385" t="s">
        <v>241</v>
      </c>
      <c r="C238" s="386"/>
      <c r="D238" s="289"/>
      <c r="E238" s="228"/>
      <c r="F238" s="295"/>
      <c r="G238" s="252"/>
      <c r="H238" s="229"/>
      <c r="I238" s="230"/>
      <c r="J238" s="97"/>
      <c r="L238" s="210"/>
    </row>
    <row r="239" spans="1:12" s="203" customFormat="1" ht="21" customHeight="1">
      <c r="A239" s="218"/>
      <c r="B239" s="385" t="s">
        <v>231</v>
      </c>
      <c r="C239" s="386">
        <v>3</v>
      </c>
      <c r="D239" s="289" t="s">
        <v>94</v>
      </c>
      <c r="E239" s="228">
        <v>550</v>
      </c>
      <c r="F239" s="295">
        <f t="shared" si="25"/>
        <v>1650</v>
      </c>
      <c r="G239" s="252">
        <v>120</v>
      </c>
      <c r="H239" s="229">
        <f t="shared" si="26"/>
        <v>360</v>
      </c>
      <c r="I239" s="230">
        <f t="shared" si="27"/>
        <v>2010</v>
      </c>
      <c r="J239" s="97"/>
      <c r="L239" s="210"/>
    </row>
    <row r="240" spans="1:12" s="203" customFormat="1" ht="21" customHeight="1">
      <c r="A240" s="218"/>
      <c r="B240" s="385" t="s">
        <v>235</v>
      </c>
      <c r="C240" s="386">
        <v>5</v>
      </c>
      <c r="D240" s="289" t="s">
        <v>94</v>
      </c>
      <c r="E240" s="228">
        <v>340</v>
      </c>
      <c r="F240" s="295">
        <f t="shared" si="25"/>
        <v>1700</v>
      </c>
      <c r="G240" s="252">
        <v>75</v>
      </c>
      <c r="H240" s="229">
        <f t="shared" si="26"/>
        <v>375</v>
      </c>
      <c r="I240" s="230">
        <f t="shared" si="27"/>
        <v>2075</v>
      </c>
      <c r="J240" s="97"/>
      <c r="L240" s="210"/>
    </row>
    <row r="241" spans="1:12" s="203" customFormat="1" ht="21" customHeight="1">
      <c r="A241" s="218"/>
      <c r="B241" s="388" t="s">
        <v>242</v>
      </c>
      <c r="C241" s="386">
        <v>2</v>
      </c>
      <c r="D241" s="289" t="s">
        <v>94</v>
      </c>
      <c r="E241" s="228">
        <v>37600</v>
      </c>
      <c r="F241" s="295">
        <f t="shared" si="25"/>
        <v>75200</v>
      </c>
      <c r="G241" s="252">
        <v>5640</v>
      </c>
      <c r="H241" s="229">
        <f t="shared" si="26"/>
        <v>11280</v>
      </c>
      <c r="I241" s="230">
        <f t="shared" si="27"/>
        <v>86480</v>
      </c>
      <c r="J241" s="97"/>
      <c r="L241" s="210"/>
    </row>
    <row r="242" spans="1:12" s="203" customFormat="1" ht="21" customHeight="1">
      <c r="A242" s="218"/>
      <c r="B242" s="389" t="s">
        <v>243</v>
      </c>
      <c r="C242" s="386"/>
      <c r="D242" s="289"/>
      <c r="E242" s="228"/>
      <c r="F242" s="295"/>
      <c r="G242" s="252"/>
      <c r="H242" s="229"/>
      <c r="I242" s="230"/>
      <c r="J242" s="97"/>
      <c r="L242" s="210"/>
    </row>
    <row r="243" spans="1:12" s="203" customFormat="1" ht="21" customHeight="1">
      <c r="A243" s="218"/>
      <c r="B243" s="385" t="s">
        <v>244</v>
      </c>
      <c r="C243" s="386"/>
      <c r="D243" s="289"/>
      <c r="E243" s="228"/>
      <c r="F243" s="295"/>
      <c r="G243" s="252"/>
      <c r="H243" s="229"/>
      <c r="I243" s="230"/>
      <c r="J243" s="97"/>
      <c r="L243" s="210"/>
    </row>
    <row r="244" spans="1:12" s="203" customFormat="1" ht="21" customHeight="1">
      <c r="A244" s="218"/>
      <c r="B244" s="390" t="s">
        <v>245</v>
      </c>
      <c r="C244" s="391">
        <v>175</v>
      </c>
      <c r="D244" s="392" t="s">
        <v>176</v>
      </c>
      <c r="E244" s="393">
        <f>55/4</f>
        <v>13.75</v>
      </c>
      <c r="F244" s="295">
        <f t="shared" si="25"/>
        <v>2406.25</v>
      </c>
      <c r="G244" s="394">
        <f>30</f>
        <v>30</v>
      </c>
      <c r="H244" s="229">
        <f t="shared" si="26"/>
        <v>5250</v>
      </c>
      <c r="I244" s="230">
        <f t="shared" si="27"/>
        <v>7656.25</v>
      </c>
      <c r="J244" s="97"/>
      <c r="L244" s="210"/>
    </row>
    <row r="245" spans="1:12" s="203" customFormat="1" ht="21" customHeight="1">
      <c r="A245" s="218"/>
      <c r="B245" s="390" t="s">
        <v>246</v>
      </c>
      <c r="C245" s="391">
        <v>78</v>
      </c>
      <c r="D245" s="392" t="s">
        <v>176</v>
      </c>
      <c r="E245" s="393">
        <f>87/4</f>
        <v>21.75</v>
      </c>
      <c r="F245" s="295">
        <f t="shared" si="25"/>
        <v>1696.5</v>
      </c>
      <c r="G245" s="395">
        <f>30</f>
        <v>30</v>
      </c>
      <c r="H245" s="229">
        <f t="shared" si="26"/>
        <v>2340</v>
      </c>
      <c r="I245" s="230">
        <f t="shared" si="27"/>
        <v>4036.5</v>
      </c>
      <c r="J245" s="97"/>
      <c r="L245" s="210"/>
    </row>
    <row r="246" spans="1:12" s="203" customFormat="1" ht="21" customHeight="1">
      <c r="A246" s="218"/>
      <c r="B246" s="390" t="s">
        <v>247</v>
      </c>
      <c r="C246" s="391">
        <v>148</v>
      </c>
      <c r="D246" s="392" t="s">
        <v>176</v>
      </c>
      <c r="E246" s="393">
        <f>146/4</f>
        <v>36.5</v>
      </c>
      <c r="F246" s="295">
        <f t="shared" si="25"/>
        <v>5402</v>
      </c>
      <c r="G246" s="394">
        <f>30</f>
        <v>30</v>
      </c>
      <c r="H246" s="229">
        <f t="shared" si="26"/>
        <v>4440</v>
      </c>
      <c r="I246" s="230">
        <f t="shared" si="27"/>
        <v>9842</v>
      </c>
      <c r="J246" s="97"/>
      <c r="L246" s="210"/>
    </row>
    <row r="247" spans="1:12" s="203" customFormat="1" ht="21" customHeight="1">
      <c r="A247" s="218"/>
      <c r="B247" s="390" t="s">
        <v>248</v>
      </c>
      <c r="C247" s="391">
        <v>65</v>
      </c>
      <c r="D247" s="392" t="s">
        <v>176</v>
      </c>
      <c r="E247" s="393">
        <f>224/4</f>
        <v>56</v>
      </c>
      <c r="F247" s="295">
        <f t="shared" si="25"/>
        <v>3640</v>
      </c>
      <c r="G247" s="394">
        <f>40</f>
        <v>40</v>
      </c>
      <c r="H247" s="229">
        <f t="shared" si="26"/>
        <v>2600</v>
      </c>
      <c r="I247" s="230">
        <f t="shared" si="27"/>
        <v>6240</v>
      </c>
      <c r="J247" s="97"/>
      <c r="L247" s="210"/>
    </row>
    <row r="248" spans="1:12" s="203" customFormat="1" ht="21" customHeight="1">
      <c r="A248" s="218"/>
      <c r="B248" s="385" t="s">
        <v>233</v>
      </c>
      <c r="C248" s="386">
        <v>1</v>
      </c>
      <c r="D248" s="289" t="s">
        <v>97</v>
      </c>
      <c r="E248" s="252">
        <f>(F244+F245+F246+F247)*(0.5+0.3+0.1)</f>
        <v>11830.275</v>
      </c>
      <c r="F248" s="295">
        <f t="shared" si="25"/>
        <v>11830.28</v>
      </c>
      <c r="G248" s="252">
        <f>((((F244+F245+F246+F247)*0.5)*0.3)+(((F244+F245+F246+F247)*0.3)*0.3)+(((F244+F245+F246+F247)*0.1)*0.3))</f>
        <v>3549.0825</v>
      </c>
      <c r="H248" s="229">
        <f t="shared" si="26"/>
        <v>3549.08</v>
      </c>
      <c r="I248" s="230">
        <f t="shared" si="27"/>
        <v>15379.36</v>
      </c>
      <c r="J248" s="87"/>
      <c r="L248" s="210"/>
    </row>
    <row r="249" spans="1:12" s="203" customFormat="1" ht="21" customHeight="1">
      <c r="A249" s="218"/>
      <c r="B249" s="396" t="s">
        <v>249</v>
      </c>
      <c r="C249" s="397"/>
      <c r="D249" s="397"/>
      <c r="E249" s="398"/>
      <c r="F249" s="295"/>
      <c r="G249" s="399"/>
      <c r="H249" s="229"/>
      <c r="I249" s="230"/>
      <c r="J249" s="97"/>
      <c r="L249" s="210"/>
    </row>
    <row r="250" spans="1:12" s="203" customFormat="1" ht="21" customHeight="1">
      <c r="A250" s="218"/>
      <c r="B250" s="390" t="s">
        <v>250</v>
      </c>
      <c r="C250" s="400">
        <v>2</v>
      </c>
      <c r="D250" s="401" t="s">
        <v>104</v>
      </c>
      <c r="E250" s="398">
        <v>35000</v>
      </c>
      <c r="F250" s="295">
        <f t="shared" si="25"/>
        <v>70000</v>
      </c>
      <c r="G250" s="402">
        <v>1000</v>
      </c>
      <c r="H250" s="229">
        <f t="shared" si="26"/>
        <v>2000</v>
      </c>
      <c r="I250" s="230">
        <f t="shared" si="27"/>
        <v>72000</v>
      </c>
      <c r="J250" s="97"/>
      <c r="L250" s="210"/>
    </row>
    <row r="251" spans="1:12" s="203" customFormat="1" ht="21" customHeight="1">
      <c r="A251" s="218"/>
      <c r="B251" s="385" t="s">
        <v>251</v>
      </c>
      <c r="C251" s="386"/>
      <c r="D251" s="289"/>
      <c r="E251" s="228"/>
      <c r="F251" s="295"/>
      <c r="G251" s="252"/>
      <c r="H251" s="229"/>
      <c r="I251" s="230"/>
      <c r="J251" s="97"/>
      <c r="L251" s="210"/>
    </row>
    <row r="252" spans="1:12" s="203" customFormat="1" ht="21" customHeight="1">
      <c r="A252" s="218"/>
      <c r="B252" s="390" t="s">
        <v>247</v>
      </c>
      <c r="C252" s="391">
        <v>5</v>
      </c>
      <c r="D252" s="392" t="s">
        <v>95</v>
      </c>
      <c r="E252" s="393">
        <v>1450</v>
      </c>
      <c r="F252" s="295">
        <f t="shared" si="25"/>
        <v>7250</v>
      </c>
      <c r="G252" s="393">
        <v>200</v>
      </c>
      <c r="H252" s="229">
        <f t="shared" si="26"/>
        <v>1000</v>
      </c>
      <c r="I252" s="230">
        <f t="shared" si="27"/>
        <v>8250</v>
      </c>
      <c r="J252" s="97"/>
      <c r="L252" s="210"/>
    </row>
    <row r="253" spans="1:12" s="203" customFormat="1" ht="21" customHeight="1">
      <c r="A253" s="218"/>
      <c r="B253" s="390" t="s">
        <v>248</v>
      </c>
      <c r="C253" s="391">
        <v>4</v>
      </c>
      <c r="D253" s="392" t="s">
        <v>95</v>
      </c>
      <c r="E253" s="393">
        <v>1600</v>
      </c>
      <c r="F253" s="295">
        <f t="shared" si="25"/>
        <v>6400</v>
      </c>
      <c r="G253" s="393">
        <v>240</v>
      </c>
      <c r="H253" s="229">
        <f t="shared" si="26"/>
        <v>960</v>
      </c>
      <c r="I253" s="230">
        <f t="shared" si="27"/>
        <v>7360</v>
      </c>
      <c r="J253" s="97"/>
      <c r="L253" s="210"/>
    </row>
    <row r="254" spans="1:12" s="203" customFormat="1" ht="21" customHeight="1">
      <c r="A254" s="218"/>
      <c r="B254" s="385" t="s">
        <v>252</v>
      </c>
      <c r="C254" s="386"/>
      <c r="D254" s="289"/>
      <c r="E254" s="228"/>
      <c r="F254" s="295"/>
      <c r="G254" s="252"/>
      <c r="H254" s="229"/>
      <c r="I254" s="230"/>
      <c r="J254" s="97"/>
      <c r="L254" s="210"/>
    </row>
    <row r="255" spans="1:12" s="203" customFormat="1" ht="21" customHeight="1">
      <c r="A255" s="218"/>
      <c r="B255" s="390" t="s">
        <v>253</v>
      </c>
      <c r="C255" s="391">
        <v>1</v>
      </c>
      <c r="D255" s="392" t="s">
        <v>95</v>
      </c>
      <c r="E255" s="228">
        <v>4350</v>
      </c>
      <c r="F255" s="295">
        <f t="shared" si="25"/>
        <v>4350</v>
      </c>
      <c r="G255" s="252">
        <v>360</v>
      </c>
      <c r="H255" s="229">
        <f t="shared" si="26"/>
        <v>360</v>
      </c>
      <c r="I255" s="230">
        <f t="shared" si="27"/>
        <v>4710</v>
      </c>
      <c r="J255" s="97"/>
      <c r="L255" s="210"/>
    </row>
    <row r="256" spans="1:12" s="203" customFormat="1" ht="21" customHeight="1">
      <c r="A256" s="218"/>
      <c r="B256" s="403" t="s">
        <v>254</v>
      </c>
      <c r="C256" s="391"/>
      <c r="D256" s="392"/>
      <c r="E256" s="393"/>
      <c r="F256" s="295"/>
      <c r="G256" s="393"/>
      <c r="H256" s="229"/>
      <c r="I256" s="230"/>
      <c r="J256" s="97"/>
      <c r="L256" s="210"/>
    </row>
    <row r="257" spans="1:12" s="203" customFormat="1" ht="21" customHeight="1">
      <c r="A257" s="218"/>
      <c r="B257" s="390" t="s">
        <v>247</v>
      </c>
      <c r="C257" s="391">
        <v>1</v>
      </c>
      <c r="D257" s="392" t="s">
        <v>95</v>
      </c>
      <c r="E257" s="393">
        <v>1540</v>
      </c>
      <c r="F257" s="295">
        <f t="shared" si="25"/>
        <v>1540</v>
      </c>
      <c r="G257" s="393">
        <v>200</v>
      </c>
      <c r="H257" s="229">
        <f t="shared" si="26"/>
        <v>200</v>
      </c>
      <c r="I257" s="230">
        <f t="shared" si="27"/>
        <v>1740</v>
      </c>
      <c r="J257" s="97"/>
      <c r="L257" s="210"/>
    </row>
    <row r="258" spans="1:12" s="203" customFormat="1" ht="21" customHeight="1">
      <c r="A258" s="218"/>
      <c r="B258" s="390" t="s">
        <v>248</v>
      </c>
      <c r="C258" s="391">
        <v>2</v>
      </c>
      <c r="D258" s="392" t="s">
        <v>95</v>
      </c>
      <c r="E258" s="393">
        <v>2350</v>
      </c>
      <c r="F258" s="295">
        <f t="shared" si="25"/>
        <v>4700</v>
      </c>
      <c r="G258" s="393">
        <v>240</v>
      </c>
      <c r="H258" s="229">
        <f t="shared" si="26"/>
        <v>480</v>
      </c>
      <c r="I258" s="230">
        <f t="shared" si="27"/>
        <v>5180</v>
      </c>
      <c r="J258" s="97"/>
      <c r="L258" s="210"/>
    </row>
    <row r="259" spans="1:12" ht="21" customHeight="1">
      <c r="A259" s="218"/>
      <c r="B259" s="403" t="s">
        <v>255</v>
      </c>
      <c r="C259" s="391"/>
      <c r="D259" s="392"/>
      <c r="E259" s="393"/>
      <c r="F259" s="295"/>
      <c r="G259" s="393"/>
      <c r="H259" s="229"/>
      <c r="I259" s="230"/>
      <c r="J259" s="88"/>
    </row>
    <row r="260" spans="1:12" ht="21" customHeight="1">
      <c r="A260" s="218"/>
      <c r="B260" s="390" t="s">
        <v>248</v>
      </c>
      <c r="C260" s="391">
        <v>2</v>
      </c>
      <c r="D260" s="392" t="s">
        <v>95</v>
      </c>
      <c r="E260" s="393">
        <v>1800</v>
      </c>
      <c r="F260" s="295">
        <f t="shared" si="25"/>
        <v>3600</v>
      </c>
      <c r="G260" s="393">
        <v>240</v>
      </c>
      <c r="H260" s="229">
        <f t="shared" si="26"/>
        <v>480</v>
      </c>
      <c r="I260" s="230">
        <f t="shared" si="27"/>
        <v>4080</v>
      </c>
      <c r="J260" s="88"/>
    </row>
    <row r="261" spans="1:12" ht="21" customHeight="1">
      <c r="A261" s="218"/>
      <c r="B261" s="403" t="s">
        <v>256</v>
      </c>
      <c r="C261" s="391"/>
      <c r="D261" s="392"/>
      <c r="E261" s="393"/>
      <c r="F261" s="295"/>
      <c r="G261" s="393"/>
      <c r="H261" s="229"/>
      <c r="I261" s="230"/>
      <c r="J261" s="88"/>
    </row>
    <row r="262" spans="1:12" ht="21" customHeight="1">
      <c r="A262" s="218"/>
      <c r="B262" s="390" t="s">
        <v>247</v>
      </c>
      <c r="C262" s="391">
        <v>1</v>
      </c>
      <c r="D262" s="392" t="s">
        <v>98</v>
      </c>
      <c r="E262" s="393">
        <v>4400</v>
      </c>
      <c r="F262" s="295">
        <f t="shared" si="25"/>
        <v>4400</v>
      </c>
      <c r="G262" s="393">
        <v>200</v>
      </c>
      <c r="H262" s="229">
        <f t="shared" si="26"/>
        <v>200</v>
      </c>
      <c r="I262" s="230">
        <f t="shared" si="27"/>
        <v>4600</v>
      </c>
      <c r="J262" s="88"/>
    </row>
    <row r="263" spans="1:12" ht="21" customHeight="1">
      <c r="A263" s="218"/>
      <c r="B263" s="390" t="s">
        <v>257</v>
      </c>
      <c r="C263" s="391"/>
      <c r="D263" s="392"/>
      <c r="E263" s="393"/>
      <c r="F263" s="295"/>
      <c r="G263" s="393"/>
      <c r="H263" s="229"/>
      <c r="I263" s="230"/>
      <c r="J263" s="88"/>
    </row>
    <row r="264" spans="1:12" ht="21" customHeight="1">
      <c r="A264" s="218"/>
      <c r="B264" s="390" t="s">
        <v>247</v>
      </c>
      <c r="C264" s="391">
        <v>2</v>
      </c>
      <c r="D264" s="392" t="s">
        <v>94</v>
      </c>
      <c r="E264" s="393">
        <v>1850</v>
      </c>
      <c r="F264" s="295">
        <f t="shared" si="25"/>
        <v>3700</v>
      </c>
      <c r="G264" s="393">
        <v>200</v>
      </c>
      <c r="H264" s="229">
        <f t="shared" si="26"/>
        <v>400</v>
      </c>
      <c r="I264" s="230">
        <f t="shared" si="27"/>
        <v>4100</v>
      </c>
      <c r="J264" s="88"/>
    </row>
    <row r="265" spans="1:12" ht="21" customHeight="1">
      <c r="A265" s="218"/>
      <c r="B265" s="403" t="s">
        <v>258</v>
      </c>
      <c r="C265" s="391"/>
      <c r="D265" s="392"/>
      <c r="E265" s="393"/>
      <c r="F265" s="295"/>
      <c r="G265" s="393"/>
      <c r="H265" s="229"/>
      <c r="I265" s="230"/>
      <c r="J265" s="88"/>
    </row>
    <row r="266" spans="1:12" ht="21" customHeight="1">
      <c r="A266" s="218"/>
      <c r="B266" s="390" t="s">
        <v>247</v>
      </c>
      <c r="C266" s="391">
        <v>1</v>
      </c>
      <c r="D266" s="392" t="s">
        <v>95</v>
      </c>
      <c r="E266" s="393">
        <v>925</v>
      </c>
      <c r="F266" s="295">
        <f t="shared" si="25"/>
        <v>925</v>
      </c>
      <c r="G266" s="393">
        <v>200</v>
      </c>
      <c r="H266" s="229">
        <f t="shared" si="26"/>
        <v>200</v>
      </c>
      <c r="I266" s="230">
        <f t="shared" si="27"/>
        <v>1125</v>
      </c>
      <c r="J266" s="88"/>
    </row>
    <row r="267" spans="1:12" ht="21" customHeight="1">
      <c r="A267" s="218"/>
      <c r="B267" s="390" t="s">
        <v>248</v>
      </c>
      <c r="C267" s="391">
        <v>2</v>
      </c>
      <c r="D267" s="392" t="s">
        <v>95</v>
      </c>
      <c r="E267" s="393">
        <v>2035</v>
      </c>
      <c r="F267" s="295">
        <f t="shared" si="25"/>
        <v>4070</v>
      </c>
      <c r="G267" s="393">
        <v>240</v>
      </c>
      <c r="H267" s="229">
        <f t="shared" si="26"/>
        <v>480</v>
      </c>
      <c r="I267" s="230">
        <f t="shared" si="27"/>
        <v>4550</v>
      </c>
      <c r="J267" s="88"/>
    </row>
    <row r="268" spans="1:12" ht="21" customHeight="1">
      <c r="A268" s="218"/>
      <c r="B268" s="385" t="s">
        <v>259</v>
      </c>
      <c r="C268" s="386"/>
      <c r="D268" s="289"/>
      <c r="E268" s="228"/>
      <c r="F268" s="295"/>
      <c r="G268" s="252"/>
      <c r="H268" s="229"/>
      <c r="I268" s="230"/>
      <c r="J268" s="88"/>
    </row>
    <row r="269" spans="1:12" ht="21" customHeight="1">
      <c r="A269" s="218"/>
      <c r="B269" s="385" t="s">
        <v>237</v>
      </c>
      <c r="C269" s="386">
        <v>10</v>
      </c>
      <c r="D269" s="289" t="s">
        <v>94</v>
      </c>
      <c r="E269" s="228">
        <v>455</v>
      </c>
      <c r="F269" s="295">
        <f t="shared" si="25"/>
        <v>4550</v>
      </c>
      <c r="G269" s="252">
        <v>120</v>
      </c>
      <c r="H269" s="229">
        <f t="shared" si="26"/>
        <v>1200</v>
      </c>
      <c r="I269" s="230">
        <f t="shared" si="27"/>
        <v>5750</v>
      </c>
      <c r="J269" s="88"/>
    </row>
    <row r="270" spans="1:12" ht="21" customHeight="1">
      <c r="A270" s="218"/>
      <c r="B270" s="385" t="s">
        <v>260</v>
      </c>
      <c r="C270" s="386">
        <v>1</v>
      </c>
      <c r="D270" s="289" t="s">
        <v>94</v>
      </c>
      <c r="E270" s="228">
        <v>780</v>
      </c>
      <c r="F270" s="295">
        <f t="shared" si="25"/>
        <v>780</v>
      </c>
      <c r="G270" s="252">
        <v>130</v>
      </c>
      <c r="H270" s="229">
        <f t="shared" si="26"/>
        <v>130</v>
      </c>
      <c r="I270" s="230">
        <f t="shared" si="27"/>
        <v>910</v>
      </c>
      <c r="J270" s="88"/>
    </row>
    <row r="271" spans="1:12" ht="21" customHeight="1">
      <c r="A271" s="218"/>
      <c r="B271" s="404" t="s">
        <v>261</v>
      </c>
      <c r="C271" s="391">
        <v>3</v>
      </c>
      <c r="D271" s="392" t="s">
        <v>94</v>
      </c>
      <c r="E271" s="393">
        <f>315+850+700</f>
        <v>1865</v>
      </c>
      <c r="F271" s="295">
        <f t="shared" si="25"/>
        <v>5595</v>
      </c>
      <c r="G271" s="394">
        <v>50</v>
      </c>
      <c r="H271" s="229">
        <f t="shared" si="26"/>
        <v>150</v>
      </c>
      <c r="I271" s="230">
        <f t="shared" si="27"/>
        <v>5745</v>
      </c>
      <c r="J271" s="88"/>
    </row>
    <row r="272" spans="1:12" ht="21" customHeight="1">
      <c r="A272" s="218"/>
      <c r="B272" s="385" t="s">
        <v>262</v>
      </c>
      <c r="C272" s="386">
        <v>5</v>
      </c>
      <c r="D272" s="289" t="s">
        <v>94</v>
      </c>
      <c r="E272" s="228">
        <v>898</v>
      </c>
      <c r="F272" s="295">
        <f t="shared" si="25"/>
        <v>4490</v>
      </c>
      <c r="G272" s="252">
        <v>0</v>
      </c>
      <c r="H272" s="229">
        <f t="shared" si="26"/>
        <v>0</v>
      </c>
      <c r="I272" s="230">
        <f t="shared" si="27"/>
        <v>4490</v>
      </c>
      <c r="J272" s="88"/>
    </row>
    <row r="273" spans="1:12" s="203" customFormat="1" ht="21" customHeight="1">
      <c r="A273" s="218"/>
      <c r="B273" s="385" t="s">
        <v>263</v>
      </c>
      <c r="C273" s="386">
        <v>1</v>
      </c>
      <c r="D273" s="289" t="s">
        <v>94</v>
      </c>
      <c r="E273" s="228">
        <v>3480</v>
      </c>
      <c r="F273" s="295">
        <f t="shared" si="25"/>
        <v>3480</v>
      </c>
      <c r="G273" s="252">
        <v>0</v>
      </c>
      <c r="H273" s="229">
        <f t="shared" si="26"/>
        <v>0</v>
      </c>
      <c r="I273" s="230">
        <f t="shared" si="27"/>
        <v>3480</v>
      </c>
      <c r="J273" s="87"/>
      <c r="L273" s="210"/>
    </row>
    <row r="274" spans="1:12" s="203" customFormat="1" ht="21" customHeight="1">
      <c r="A274" s="218"/>
      <c r="B274" s="385" t="s">
        <v>264</v>
      </c>
      <c r="C274" s="386"/>
      <c r="D274" s="289"/>
      <c r="E274" s="228"/>
      <c r="F274" s="295"/>
      <c r="G274" s="252"/>
      <c r="H274" s="229"/>
      <c r="I274" s="230"/>
      <c r="J274" s="97"/>
      <c r="L274" s="210"/>
    </row>
    <row r="275" spans="1:12" s="203" customFormat="1" ht="21" customHeight="1">
      <c r="A275" s="218"/>
      <c r="B275" s="385" t="s">
        <v>231</v>
      </c>
      <c r="C275" s="386">
        <v>30</v>
      </c>
      <c r="D275" s="289" t="s">
        <v>230</v>
      </c>
      <c r="E275" s="228">
        <f>E219</f>
        <v>550</v>
      </c>
      <c r="F275" s="295">
        <f t="shared" si="25"/>
        <v>16500</v>
      </c>
      <c r="G275" s="252">
        <v>100</v>
      </c>
      <c r="H275" s="229">
        <f t="shared" si="26"/>
        <v>3000</v>
      </c>
      <c r="I275" s="230">
        <f t="shared" si="27"/>
        <v>19500</v>
      </c>
      <c r="J275" s="97"/>
      <c r="L275" s="210"/>
    </row>
    <row r="276" spans="1:12" s="203" customFormat="1" ht="21" customHeight="1">
      <c r="A276" s="218"/>
      <c r="B276" s="389" t="s">
        <v>265</v>
      </c>
      <c r="C276" s="405"/>
      <c r="D276" s="406"/>
      <c r="E276" s="407"/>
      <c r="F276" s="295"/>
      <c r="G276" s="407"/>
      <c r="H276" s="229"/>
      <c r="I276" s="230"/>
      <c r="J276" s="97"/>
      <c r="L276" s="210"/>
    </row>
    <row r="277" spans="1:12" s="203" customFormat="1" ht="21" customHeight="1">
      <c r="A277" s="218"/>
      <c r="B277" s="389" t="s">
        <v>266</v>
      </c>
      <c r="C277" s="405">
        <v>111</v>
      </c>
      <c r="D277" s="408" t="s">
        <v>230</v>
      </c>
      <c r="E277" s="407">
        <v>310</v>
      </c>
      <c r="F277" s="295">
        <f t="shared" si="25"/>
        <v>34410</v>
      </c>
      <c r="G277" s="409">
        <v>0</v>
      </c>
      <c r="H277" s="229">
        <f t="shared" si="26"/>
        <v>0</v>
      </c>
      <c r="I277" s="230">
        <f t="shared" si="27"/>
        <v>34410</v>
      </c>
      <c r="J277" s="97"/>
      <c r="L277" s="210"/>
    </row>
    <row r="278" spans="1:12" s="203" customFormat="1" ht="21" customHeight="1">
      <c r="A278" s="218"/>
      <c r="B278" s="410" t="s">
        <v>379</v>
      </c>
      <c r="C278" s="405">
        <v>14</v>
      </c>
      <c r="D278" s="408" t="s">
        <v>267</v>
      </c>
      <c r="E278" s="407">
        <v>2300</v>
      </c>
      <c r="F278" s="295">
        <f t="shared" si="25"/>
        <v>32200</v>
      </c>
      <c r="G278" s="407">
        <v>500</v>
      </c>
      <c r="H278" s="229">
        <f t="shared" si="26"/>
        <v>7000</v>
      </c>
      <c r="I278" s="230">
        <f t="shared" si="27"/>
        <v>39200</v>
      </c>
      <c r="J278" s="97"/>
      <c r="L278" s="210"/>
    </row>
    <row r="279" spans="1:12" s="203" customFormat="1" ht="21" customHeight="1">
      <c r="A279" s="218"/>
      <c r="B279" s="410" t="s">
        <v>380</v>
      </c>
      <c r="C279" s="405">
        <v>8</v>
      </c>
      <c r="D279" s="408" t="s">
        <v>230</v>
      </c>
      <c r="E279" s="407">
        <v>260</v>
      </c>
      <c r="F279" s="295">
        <f t="shared" si="25"/>
        <v>2080</v>
      </c>
      <c r="G279" s="407">
        <v>180</v>
      </c>
      <c r="H279" s="229">
        <f t="shared" si="26"/>
        <v>1440</v>
      </c>
      <c r="I279" s="230">
        <f t="shared" si="27"/>
        <v>3520</v>
      </c>
      <c r="J279" s="97"/>
      <c r="L279" s="210"/>
    </row>
    <row r="280" spans="1:12" s="203" customFormat="1" ht="21" customHeight="1">
      <c r="A280" s="218"/>
      <c r="B280" s="411" t="s">
        <v>268</v>
      </c>
      <c r="C280" s="412">
        <v>192.28</v>
      </c>
      <c r="D280" s="413" t="s">
        <v>14</v>
      </c>
      <c r="E280" s="414">
        <v>0</v>
      </c>
      <c r="F280" s="295">
        <f t="shared" si="25"/>
        <v>0</v>
      </c>
      <c r="G280" s="414">
        <f>G32</f>
        <v>142</v>
      </c>
      <c r="H280" s="229">
        <f t="shared" si="26"/>
        <v>27303.759999999998</v>
      </c>
      <c r="I280" s="230">
        <f t="shared" si="27"/>
        <v>27303.759999999998</v>
      </c>
      <c r="J280" s="97"/>
      <c r="L280" s="210"/>
    </row>
    <row r="281" spans="1:12" s="203" customFormat="1" ht="21" customHeight="1">
      <c r="A281" s="218"/>
      <c r="B281" s="415" t="s">
        <v>269</v>
      </c>
      <c r="C281" s="400">
        <v>15.58</v>
      </c>
      <c r="D281" s="400" t="s">
        <v>14</v>
      </c>
      <c r="E281" s="402">
        <f>E34</f>
        <v>1610</v>
      </c>
      <c r="F281" s="295">
        <f t="shared" si="25"/>
        <v>25083.8</v>
      </c>
      <c r="G281" s="402">
        <f>G34</f>
        <v>426</v>
      </c>
      <c r="H281" s="229">
        <f t="shared" si="26"/>
        <v>6637.08</v>
      </c>
      <c r="I281" s="230">
        <f t="shared" si="27"/>
        <v>31720.879999999997</v>
      </c>
      <c r="J281" s="97"/>
      <c r="L281" s="210"/>
    </row>
    <row r="282" spans="1:12" s="203" customFormat="1" ht="21" customHeight="1">
      <c r="A282" s="218"/>
      <c r="B282" s="416" t="s">
        <v>270</v>
      </c>
      <c r="C282" s="400">
        <v>7.79</v>
      </c>
      <c r="D282" s="400" t="s">
        <v>14</v>
      </c>
      <c r="E282" s="417">
        <f>E33</f>
        <v>280.37</v>
      </c>
      <c r="F282" s="295">
        <f t="shared" si="25"/>
        <v>2184.08</v>
      </c>
      <c r="G282" s="418">
        <f>G33</f>
        <v>104</v>
      </c>
      <c r="H282" s="229">
        <f t="shared" si="26"/>
        <v>810.16</v>
      </c>
      <c r="I282" s="230">
        <f t="shared" si="27"/>
        <v>2994.24</v>
      </c>
      <c r="J282" s="97"/>
      <c r="L282" s="210"/>
    </row>
    <row r="283" spans="1:12" s="203" customFormat="1" ht="21" customHeight="1">
      <c r="A283" s="218"/>
      <c r="B283" s="419" t="s">
        <v>271</v>
      </c>
      <c r="C283" s="400"/>
      <c r="D283" s="400"/>
      <c r="E283" s="252"/>
      <c r="F283" s="295"/>
      <c r="G283" s="252"/>
      <c r="H283" s="229"/>
      <c r="I283" s="230"/>
      <c r="J283" s="97"/>
      <c r="L283" s="210"/>
    </row>
    <row r="284" spans="1:12" s="203" customFormat="1" ht="21" customHeight="1">
      <c r="A284" s="218"/>
      <c r="B284" s="390" t="s">
        <v>253</v>
      </c>
      <c r="C284" s="400">
        <v>6</v>
      </c>
      <c r="D284" s="401" t="s">
        <v>94</v>
      </c>
      <c r="E284" s="228">
        <v>420</v>
      </c>
      <c r="F284" s="295">
        <f t="shared" ref="F284:F285" si="28">ROUND(E284*C284,2)</f>
        <v>2520</v>
      </c>
      <c r="G284" s="252">
        <v>180</v>
      </c>
      <c r="H284" s="229">
        <f t="shared" ref="H284:H285" si="29">ROUND(G284*C284,2)</f>
        <v>1080</v>
      </c>
      <c r="I284" s="230">
        <f t="shared" ref="I284:I285" si="30">+F284+H284</f>
        <v>3600</v>
      </c>
      <c r="J284" s="97"/>
      <c r="L284" s="210"/>
    </row>
    <row r="285" spans="1:12" s="203" customFormat="1" ht="21" customHeight="1">
      <c r="A285" s="218"/>
      <c r="B285" s="390" t="s">
        <v>272</v>
      </c>
      <c r="C285" s="400">
        <v>4</v>
      </c>
      <c r="D285" s="401" t="s">
        <v>94</v>
      </c>
      <c r="E285" s="228">
        <v>480</v>
      </c>
      <c r="F285" s="295">
        <f t="shared" si="28"/>
        <v>1920</v>
      </c>
      <c r="G285" s="252">
        <v>200</v>
      </c>
      <c r="H285" s="229">
        <f t="shared" si="29"/>
        <v>800</v>
      </c>
      <c r="I285" s="230">
        <f t="shared" si="30"/>
        <v>2720</v>
      </c>
      <c r="J285" s="97"/>
      <c r="L285" s="210"/>
    </row>
    <row r="286" spans="1:12" s="203" customFormat="1" ht="21" customHeight="1">
      <c r="A286" s="218"/>
      <c r="B286" s="420" t="s">
        <v>273</v>
      </c>
      <c r="C286" s="421">
        <v>1</v>
      </c>
      <c r="D286" s="422" t="s">
        <v>94</v>
      </c>
      <c r="E286" s="228">
        <v>77000</v>
      </c>
      <c r="F286" s="295">
        <f t="shared" ref="F286" si="31">ROUND(E286*C286,2)</f>
        <v>77000</v>
      </c>
      <c r="G286" s="252">
        <v>5000</v>
      </c>
      <c r="H286" s="229">
        <f t="shared" ref="H286" si="32">ROUND(G286*C286,2)</f>
        <v>5000</v>
      </c>
      <c r="I286" s="230">
        <f t="shared" ref="I286" si="33">+F286+H286</f>
        <v>82000</v>
      </c>
      <c r="J286" s="97"/>
      <c r="L286" s="210"/>
    </row>
    <row r="287" spans="1:12" s="203" customFormat="1" ht="21" customHeight="1">
      <c r="A287" s="218"/>
      <c r="B287" s="396" t="s">
        <v>368</v>
      </c>
      <c r="C287" s="397"/>
      <c r="D287" s="423"/>
      <c r="E287" s="228"/>
      <c r="F287" s="295"/>
      <c r="G287" s="252"/>
      <c r="H287" s="229"/>
      <c r="I287" s="424"/>
      <c r="J287" s="97"/>
      <c r="L287" s="210"/>
    </row>
    <row r="288" spans="1:12" s="203" customFormat="1" ht="21" customHeight="1">
      <c r="A288" s="218"/>
      <c r="B288" s="396" t="s">
        <v>274</v>
      </c>
      <c r="C288" s="397"/>
      <c r="D288" s="423"/>
      <c r="E288" s="228"/>
      <c r="F288" s="295"/>
      <c r="G288" s="252"/>
      <c r="H288" s="229"/>
      <c r="I288" s="424"/>
      <c r="J288" s="97"/>
      <c r="L288" s="210"/>
    </row>
    <row r="289" spans="1:12" s="203" customFormat="1" ht="21" customHeight="1">
      <c r="A289" s="218"/>
      <c r="B289" s="396" t="s">
        <v>275</v>
      </c>
      <c r="C289" s="397"/>
      <c r="D289" s="423"/>
      <c r="E289" s="228"/>
      <c r="F289" s="295"/>
      <c r="G289" s="252"/>
      <c r="H289" s="229"/>
      <c r="I289" s="424"/>
      <c r="J289" s="97"/>
      <c r="L289" s="210"/>
    </row>
    <row r="290" spans="1:12" s="203" customFormat="1" ht="21" customHeight="1">
      <c r="A290" s="218"/>
      <c r="B290" s="396" t="s">
        <v>276</v>
      </c>
      <c r="C290" s="397"/>
      <c r="D290" s="423"/>
      <c r="E290" s="228"/>
      <c r="F290" s="295"/>
      <c r="G290" s="252"/>
      <c r="H290" s="229"/>
      <c r="I290" s="424"/>
      <c r="J290" s="97"/>
      <c r="L290" s="210"/>
    </row>
    <row r="291" spans="1:12" s="203" customFormat="1" ht="21" customHeight="1">
      <c r="A291" s="218"/>
      <c r="B291" s="396" t="s">
        <v>277</v>
      </c>
      <c r="C291" s="397"/>
      <c r="D291" s="423"/>
      <c r="E291" s="228"/>
      <c r="F291" s="295"/>
      <c r="G291" s="252"/>
      <c r="H291" s="229"/>
      <c r="I291" s="424"/>
      <c r="J291" s="97"/>
      <c r="L291" s="210"/>
    </row>
    <row r="292" spans="1:12" s="203" customFormat="1" ht="21" customHeight="1">
      <c r="A292" s="316"/>
      <c r="B292" s="317"/>
      <c r="C292" s="353"/>
      <c r="D292" s="425"/>
      <c r="E292" s="318"/>
      <c r="F292" s="319"/>
      <c r="G292" s="318"/>
      <c r="H292" s="319"/>
      <c r="I292" s="426"/>
      <c r="J292" s="89"/>
      <c r="L292" s="210"/>
    </row>
    <row r="293" spans="1:12" s="203" customFormat="1" ht="21" customHeight="1" thickBot="1">
      <c r="A293" s="240"/>
      <c r="B293" s="427" t="str">
        <f>"รวมราคา"&amp;B216</f>
        <v>รวมราคาหมวดงานระบบสุขาภิบาล</v>
      </c>
      <c r="C293" s="321"/>
      <c r="D293" s="240"/>
      <c r="E293" s="322"/>
      <c r="F293" s="323">
        <f>SUM(F217:F292)</f>
        <v>487848.91000000003</v>
      </c>
      <c r="G293" s="322"/>
      <c r="H293" s="323">
        <f>SUM(H216:H292)</f>
        <v>109862.88</v>
      </c>
      <c r="I293" s="323">
        <f>SUM(I216:I292)</f>
        <v>597711.79</v>
      </c>
      <c r="J293" s="99"/>
      <c r="L293" s="210"/>
    </row>
    <row r="294" spans="1:12" s="203" customFormat="1" ht="21" customHeight="1" thickTop="1">
      <c r="A294" s="428"/>
      <c r="B294" s="429"/>
      <c r="C294" s="87"/>
      <c r="D294" s="91"/>
      <c r="E294" s="430"/>
      <c r="F294" s="431"/>
      <c r="G294" s="432"/>
      <c r="H294" s="433"/>
      <c r="I294" s="434"/>
      <c r="J294" s="87"/>
      <c r="L294" s="435"/>
    </row>
    <row r="295" spans="1:12" s="203" customFormat="1" ht="21" customHeight="1">
      <c r="A295" s="249">
        <v>5</v>
      </c>
      <c r="B295" s="383" t="s">
        <v>278</v>
      </c>
      <c r="C295" s="331"/>
      <c r="D295" s="332"/>
      <c r="E295" s="333"/>
      <c r="F295" s="334"/>
      <c r="G295" s="333"/>
      <c r="H295" s="334"/>
      <c r="I295" s="335"/>
      <c r="J295" s="102"/>
      <c r="L295" s="210"/>
    </row>
    <row r="296" spans="1:12" s="203" customFormat="1" ht="21" customHeight="1">
      <c r="A296" s="249"/>
      <c r="B296" s="436" t="s">
        <v>444</v>
      </c>
      <c r="C296" s="331"/>
      <c r="D296" s="332"/>
      <c r="E296" s="333"/>
      <c r="F296" s="334"/>
      <c r="G296" s="333"/>
      <c r="H296" s="334"/>
      <c r="I296" s="335"/>
      <c r="J296" s="102"/>
      <c r="L296" s="210"/>
    </row>
    <row r="297" spans="1:12" s="203" customFormat="1" ht="21" customHeight="1">
      <c r="A297" s="249"/>
      <c r="B297" s="437" t="s">
        <v>446</v>
      </c>
      <c r="C297" s="438">
        <v>1</v>
      </c>
      <c r="D297" s="439" t="s">
        <v>443</v>
      </c>
      <c r="E297" s="300">
        <v>1102800</v>
      </c>
      <c r="F297" s="229">
        <f t="shared" ref="F297" si="34">ROUND(E297*C297,2)</f>
        <v>1102800</v>
      </c>
      <c r="G297" s="252"/>
      <c r="H297" s="229">
        <f t="shared" ref="H297" si="35">ROUND(G297*C297,2)</f>
        <v>0</v>
      </c>
      <c r="I297" s="230">
        <f t="shared" ref="I297" si="36">+F297+H297</f>
        <v>1102800</v>
      </c>
      <c r="J297" s="97" t="s">
        <v>343</v>
      </c>
      <c r="L297" s="210"/>
    </row>
    <row r="298" spans="1:12" s="203" customFormat="1" ht="21" customHeight="1">
      <c r="A298" s="440"/>
      <c r="B298" s="441" t="s">
        <v>279</v>
      </c>
      <c r="C298" s="331"/>
      <c r="D298" s="332"/>
      <c r="E298" s="333"/>
      <c r="F298" s="334"/>
      <c r="G298" s="333"/>
      <c r="H298" s="334"/>
      <c r="I298" s="335"/>
      <c r="J298" s="102"/>
      <c r="L298" s="210"/>
    </row>
    <row r="299" spans="1:12" s="203" customFormat="1" ht="21" customHeight="1">
      <c r="A299" s="442"/>
      <c r="B299" s="443" t="s">
        <v>457</v>
      </c>
      <c r="C299" s="438"/>
      <c r="D299" s="439"/>
      <c r="E299" s="300"/>
      <c r="F299" s="229"/>
      <c r="G299" s="252"/>
      <c r="H299" s="229"/>
      <c r="I299" s="230"/>
      <c r="J299" s="97"/>
      <c r="L299" s="210"/>
    </row>
    <row r="300" spans="1:12" s="203" customFormat="1" ht="21" customHeight="1">
      <c r="A300" s="442"/>
      <c r="B300" s="444" t="s">
        <v>456</v>
      </c>
      <c r="C300" s="438">
        <v>1</v>
      </c>
      <c r="D300" s="439" t="s">
        <v>280</v>
      </c>
      <c r="E300" s="300">
        <v>50000</v>
      </c>
      <c r="F300" s="229">
        <f t="shared" ref="F300" si="37">ROUND(E300*C300,2)</f>
        <v>50000</v>
      </c>
      <c r="G300" s="252">
        <f>E300*0.1</f>
        <v>5000</v>
      </c>
      <c r="H300" s="229">
        <f t="shared" ref="H300" si="38">ROUND(G300*C300,2)</f>
        <v>5000</v>
      </c>
      <c r="I300" s="230">
        <f t="shared" ref="I300" si="39">+F300+H300</f>
        <v>55000</v>
      </c>
      <c r="J300" s="97" t="s">
        <v>343</v>
      </c>
      <c r="L300" s="210"/>
    </row>
    <row r="301" spans="1:12" s="203" customFormat="1" ht="21" customHeight="1">
      <c r="A301" s="442"/>
      <c r="B301" s="444" t="s">
        <v>421</v>
      </c>
      <c r="C301" s="438">
        <v>1</v>
      </c>
      <c r="D301" s="439" t="s">
        <v>280</v>
      </c>
      <c r="E301" s="300">
        <v>5180</v>
      </c>
      <c r="F301" s="229">
        <f t="shared" ref="F301" si="40">ROUND(E301*C301,2)</f>
        <v>5180</v>
      </c>
      <c r="G301" s="252">
        <f>E301*0.1</f>
        <v>518</v>
      </c>
      <c r="H301" s="229">
        <f t="shared" ref="H301" si="41">ROUND(G301*C301,2)</f>
        <v>518</v>
      </c>
      <c r="I301" s="230">
        <f t="shared" ref="I301" si="42">+F301+H301</f>
        <v>5698</v>
      </c>
      <c r="J301" s="97" t="s">
        <v>343</v>
      </c>
      <c r="L301" s="210"/>
    </row>
    <row r="302" spans="1:12" s="203" customFormat="1" ht="21" customHeight="1">
      <c r="A302" s="442"/>
      <c r="B302" s="445" t="s">
        <v>358</v>
      </c>
      <c r="C302" s="438">
        <v>1</v>
      </c>
      <c r="D302" s="439" t="s">
        <v>97</v>
      </c>
      <c r="E302" s="300">
        <f>SUM(F300:F301)*0.05</f>
        <v>2759</v>
      </c>
      <c r="F302" s="229">
        <f>ROUND(E302*C302,2)</f>
        <v>2759</v>
      </c>
      <c r="G302" s="252"/>
      <c r="H302" s="229">
        <f>ROUND(G302*C302,2)</f>
        <v>0</v>
      </c>
      <c r="I302" s="230">
        <f>+F302+H302</f>
        <v>2759</v>
      </c>
      <c r="J302" s="97"/>
      <c r="L302" s="210"/>
    </row>
    <row r="303" spans="1:12" s="203" customFormat="1" ht="21" customHeight="1">
      <c r="A303" s="442"/>
      <c r="B303" s="443" t="s">
        <v>281</v>
      </c>
      <c r="C303" s="438"/>
      <c r="D303" s="439"/>
      <c r="E303" s="300"/>
      <c r="F303" s="229"/>
      <c r="G303" s="252"/>
      <c r="H303" s="229"/>
      <c r="I303" s="230"/>
      <c r="J303" s="97"/>
      <c r="L303" s="210"/>
    </row>
    <row r="304" spans="1:12" s="203" customFormat="1" ht="21" customHeight="1">
      <c r="A304" s="442"/>
      <c r="B304" s="444" t="s">
        <v>282</v>
      </c>
      <c r="C304" s="438">
        <v>1</v>
      </c>
      <c r="D304" s="439" t="s">
        <v>280</v>
      </c>
      <c r="E304" s="300">
        <v>9877</v>
      </c>
      <c r="F304" s="229">
        <f t="shared" ref="F304:F307" si="43">ROUND(E304*C304,2)</f>
        <v>9877</v>
      </c>
      <c r="G304" s="252">
        <v>1200</v>
      </c>
      <c r="H304" s="229">
        <f t="shared" ref="H304:H307" si="44">ROUND(G304*C304,2)</f>
        <v>1200</v>
      </c>
      <c r="I304" s="230">
        <f t="shared" ref="I304:I307" si="45">+F304+H304</f>
        <v>11077</v>
      </c>
      <c r="J304" s="97" t="s">
        <v>374</v>
      </c>
      <c r="L304" s="210"/>
    </row>
    <row r="305" spans="1:12" s="203" customFormat="1" ht="21" customHeight="1">
      <c r="A305" s="442"/>
      <c r="B305" s="444" t="s">
        <v>367</v>
      </c>
      <c r="C305" s="438">
        <v>1</v>
      </c>
      <c r="D305" s="439" t="s">
        <v>280</v>
      </c>
      <c r="E305" s="300">
        <v>9877</v>
      </c>
      <c r="F305" s="229">
        <f t="shared" si="43"/>
        <v>9877</v>
      </c>
      <c r="G305" s="252">
        <v>1200</v>
      </c>
      <c r="H305" s="229">
        <f t="shared" si="44"/>
        <v>1200</v>
      </c>
      <c r="I305" s="230">
        <f t="shared" si="45"/>
        <v>11077</v>
      </c>
      <c r="J305" s="97" t="s">
        <v>374</v>
      </c>
      <c r="L305" s="210"/>
    </row>
    <row r="306" spans="1:12" s="203" customFormat="1" ht="21" customHeight="1">
      <c r="A306" s="442"/>
      <c r="B306" s="444" t="s">
        <v>366</v>
      </c>
      <c r="C306" s="438">
        <v>1</v>
      </c>
      <c r="D306" s="439" t="s">
        <v>280</v>
      </c>
      <c r="E306" s="300">
        <v>9877</v>
      </c>
      <c r="F306" s="229">
        <f t="shared" si="43"/>
        <v>9877</v>
      </c>
      <c r="G306" s="252">
        <v>1200</v>
      </c>
      <c r="H306" s="229">
        <f t="shared" si="44"/>
        <v>1200</v>
      </c>
      <c r="I306" s="230">
        <f t="shared" si="45"/>
        <v>11077</v>
      </c>
      <c r="J306" s="97" t="s">
        <v>374</v>
      </c>
      <c r="L306" s="210"/>
    </row>
    <row r="307" spans="1:12" s="203" customFormat="1" ht="21" customHeight="1">
      <c r="A307" s="442"/>
      <c r="B307" s="444" t="s">
        <v>365</v>
      </c>
      <c r="C307" s="438">
        <v>1</v>
      </c>
      <c r="D307" s="439" t="s">
        <v>280</v>
      </c>
      <c r="E307" s="300">
        <v>11240</v>
      </c>
      <c r="F307" s="229">
        <f t="shared" si="43"/>
        <v>11240</v>
      </c>
      <c r="G307" s="252">
        <v>1200</v>
      </c>
      <c r="H307" s="229">
        <f t="shared" si="44"/>
        <v>1200</v>
      </c>
      <c r="I307" s="230">
        <f t="shared" si="45"/>
        <v>12440</v>
      </c>
      <c r="J307" s="97" t="s">
        <v>374</v>
      </c>
      <c r="L307" s="210"/>
    </row>
    <row r="308" spans="1:12" s="203" customFormat="1" ht="21" customHeight="1">
      <c r="A308" s="442"/>
      <c r="B308" s="444" t="s">
        <v>373</v>
      </c>
      <c r="C308" s="438">
        <v>1</v>
      </c>
      <c r="D308" s="439" t="s">
        <v>280</v>
      </c>
      <c r="E308" s="300">
        <v>1866</v>
      </c>
      <c r="F308" s="229">
        <f t="shared" ref="F308" si="46">ROUND(E308*C308,2)</f>
        <v>1866</v>
      </c>
      <c r="G308" s="252">
        <v>1000</v>
      </c>
      <c r="H308" s="229">
        <f t="shared" ref="H308" si="47">ROUND(G308*C308,2)</f>
        <v>1000</v>
      </c>
      <c r="I308" s="230">
        <f t="shared" ref="I308" si="48">+F308+H308</f>
        <v>2866</v>
      </c>
      <c r="J308" s="97" t="s">
        <v>374</v>
      </c>
      <c r="L308" s="210"/>
    </row>
    <row r="309" spans="1:12" s="203" customFormat="1" ht="21" customHeight="1">
      <c r="A309" s="249"/>
      <c r="B309" s="446" t="s">
        <v>283</v>
      </c>
      <c r="C309" s="447"/>
      <c r="D309" s="448"/>
      <c r="E309" s="449"/>
      <c r="F309" s="450"/>
      <c r="G309" s="449"/>
      <c r="H309" s="450"/>
      <c r="I309" s="451"/>
      <c r="J309" s="102"/>
      <c r="L309" s="210"/>
    </row>
    <row r="310" spans="1:12" s="203" customFormat="1" ht="21" customHeight="1">
      <c r="A310" s="225"/>
      <c r="B310" s="452" t="s">
        <v>284</v>
      </c>
      <c r="C310" s="453">
        <v>42</v>
      </c>
      <c r="D310" s="439" t="s">
        <v>280</v>
      </c>
      <c r="E310" s="228">
        <v>1810</v>
      </c>
      <c r="F310" s="229">
        <f t="shared" ref="F310:F371" si="49">ROUND(E310*C310,2)</f>
        <v>76020</v>
      </c>
      <c r="G310" s="252">
        <v>150</v>
      </c>
      <c r="H310" s="229">
        <f t="shared" ref="H310:H371" si="50">ROUND(G310*C310,2)</f>
        <v>6300</v>
      </c>
      <c r="I310" s="230">
        <f t="shared" ref="I310:I371" si="51">+F310+H310</f>
        <v>82320</v>
      </c>
      <c r="J310" s="97" t="s">
        <v>343</v>
      </c>
      <c r="L310" s="210"/>
    </row>
    <row r="311" spans="1:12" s="203" customFormat="1" ht="21" customHeight="1">
      <c r="A311" s="442"/>
      <c r="B311" s="452" t="s">
        <v>285</v>
      </c>
      <c r="C311" s="453">
        <v>92</v>
      </c>
      <c r="D311" s="439" t="s">
        <v>280</v>
      </c>
      <c r="E311" s="228">
        <v>1450</v>
      </c>
      <c r="F311" s="229">
        <f t="shared" si="49"/>
        <v>133400</v>
      </c>
      <c r="G311" s="252">
        <v>135</v>
      </c>
      <c r="H311" s="229">
        <f t="shared" si="50"/>
        <v>12420</v>
      </c>
      <c r="I311" s="230">
        <f t="shared" si="51"/>
        <v>145820</v>
      </c>
      <c r="J311" s="97" t="s">
        <v>376</v>
      </c>
      <c r="L311" s="210"/>
    </row>
    <row r="312" spans="1:12" s="203" customFormat="1" ht="21" customHeight="1">
      <c r="A312" s="442"/>
      <c r="B312" s="452" t="s">
        <v>286</v>
      </c>
      <c r="C312" s="453">
        <v>25</v>
      </c>
      <c r="D312" s="439" t="s">
        <v>280</v>
      </c>
      <c r="E312" s="228">
        <v>1442</v>
      </c>
      <c r="F312" s="229">
        <f t="shared" si="49"/>
        <v>36050</v>
      </c>
      <c r="G312" s="252">
        <v>135</v>
      </c>
      <c r="H312" s="229">
        <f t="shared" si="50"/>
        <v>3375</v>
      </c>
      <c r="I312" s="230">
        <f t="shared" si="51"/>
        <v>39425</v>
      </c>
      <c r="J312" s="97" t="s">
        <v>343</v>
      </c>
      <c r="L312" s="210"/>
    </row>
    <row r="313" spans="1:12" s="203" customFormat="1" ht="21" customHeight="1">
      <c r="A313" s="442"/>
      <c r="B313" s="452" t="s">
        <v>287</v>
      </c>
      <c r="C313" s="453">
        <v>6</v>
      </c>
      <c r="D313" s="439" t="s">
        <v>280</v>
      </c>
      <c r="E313" s="228">
        <v>559</v>
      </c>
      <c r="F313" s="229">
        <f t="shared" si="49"/>
        <v>3354</v>
      </c>
      <c r="G313" s="252">
        <v>115</v>
      </c>
      <c r="H313" s="229">
        <f t="shared" si="50"/>
        <v>690</v>
      </c>
      <c r="I313" s="230">
        <f t="shared" si="51"/>
        <v>4044</v>
      </c>
      <c r="J313" s="89" t="s">
        <v>374</v>
      </c>
      <c r="L313" s="210"/>
    </row>
    <row r="314" spans="1:12" s="203" customFormat="1" ht="21" customHeight="1">
      <c r="A314" s="442"/>
      <c r="B314" s="452" t="s">
        <v>288</v>
      </c>
      <c r="C314" s="453">
        <v>6</v>
      </c>
      <c r="D314" s="439" t="s">
        <v>280</v>
      </c>
      <c r="E314" s="228">
        <v>700</v>
      </c>
      <c r="F314" s="229">
        <f t="shared" si="49"/>
        <v>4200</v>
      </c>
      <c r="G314" s="252">
        <v>115</v>
      </c>
      <c r="H314" s="229">
        <f t="shared" si="50"/>
        <v>690</v>
      </c>
      <c r="I314" s="230">
        <f t="shared" si="51"/>
        <v>4890</v>
      </c>
      <c r="J314" s="87" t="s">
        <v>374</v>
      </c>
      <c r="L314" s="210"/>
    </row>
    <row r="315" spans="1:12" s="203" customFormat="1" ht="21" customHeight="1">
      <c r="A315" s="442"/>
      <c r="B315" s="452" t="s">
        <v>319</v>
      </c>
      <c r="C315" s="453">
        <v>48</v>
      </c>
      <c r="D315" s="439" t="s">
        <v>280</v>
      </c>
      <c r="E315" s="228">
        <v>110</v>
      </c>
      <c r="F315" s="229">
        <f t="shared" si="49"/>
        <v>5280</v>
      </c>
      <c r="G315" s="252">
        <v>115</v>
      </c>
      <c r="H315" s="229">
        <f t="shared" si="50"/>
        <v>5520</v>
      </c>
      <c r="I315" s="230">
        <f t="shared" si="51"/>
        <v>10800</v>
      </c>
      <c r="J315" s="97" t="s">
        <v>374</v>
      </c>
      <c r="L315" s="210"/>
    </row>
    <row r="316" spans="1:12" s="203" customFormat="1" ht="21" customHeight="1">
      <c r="A316" s="442"/>
      <c r="B316" s="454" t="s">
        <v>320</v>
      </c>
      <c r="C316" s="453">
        <v>3</v>
      </c>
      <c r="D316" s="439" t="s">
        <v>94</v>
      </c>
      <c r="E316" s="228">
        <v>559</v>
      </c>
      <c r="F316" s="229">
        <f t="shared" si="49"/>
        <v>1677</v>
      </c>
      <c r="G316" s="252">
        <v>115</v>
      </c>
      <c r="H316" s="229">
        <f t="shared" si="50"/>
        <v>345</v>
      </c>
      <c r="I316" s="230">
        <f t="shared" si="51"/>
        <v>2022</v>
      </c>
      <c r="J316" s="97" t="s">
        <v>374</v>
      </c>
      <c r="L316" s="210"/>
    </row>
    <row r="317" spans="1:12" s="203" customFormat="1" ht="21" customHeight="1">
      <c r="A317" s="442"/>
      <c r="B317" s="454" t="s">
        <v>321</v>
      </c>
      <c r="C317" s="453">
        <v>1</v>
      </c>
      <c r="D317" s="439" t="s">
        <v>280</v>
      </c>
      <c r="E317" s="228">
        <v>1050</v>
      </c>
      <c r="F317" s="229">
        <f t="shared" si="49"/>
        <v>1050</v>
      </c>
      <c r="G317" s="252">
        <v>115</v>
      </c>
      <c r="H317" s="229">
        <f t="shared" si="50"/>
        <v>115</v>
      </c>
      <c r="I317" s="230">
        <f t="shared" si="51"/>
        <v>1165</v>
      </c>
      <c r="J317" s="97" t="s">
        <v>343</v>
      </c>
      <c r="L317" s="210"/>
    </row>
    <row r="318" spans="1:12" s="203" customFormat="1" ht="21" customHeight="1">
      <c r="A318" s="442"/>
      <c r="B318" s="454" t="s">
        <v>321</v>
      </c>
      <c r="C318" s="453">
        <v>1</v>
      </c>
      <c r="D318" s="439" t="s">
        <v>280</v>
      </c>
      <c r="E318" s="228">
        <v>1050</v>
      </c>
      <c r="F318" s="229">
        <f t="shared" si="49"/>
        <v>1050</v>
      </c>
      <c r="G318" s="252">
        <v>115</v>
      </c>
      <c r="H318" s="229">
        <f t="shared" si="50"/>
        <v>115</v>
      </c>
      <c r="I318" s="230">
        <f t="shared" si="51"/>
        <v>1165</v>
      </c>
      <c r="J318" s="97" t="s">
        <v>343</v>
      </c>
      <c r="L318" s="210"/>
    </row>
    <row r="319" spans="1:12" s="203" customFormat="1" ht="21" customHeight="1">
      <c r="A319" s="442"/>
      <c r="B319" s="454" t="s">
        <v>322</v>
      </c>
      <c r="C319" s="453">
        <v>8</v>
      </c>
      <c r="D319" s="439" t="s">
        <v>280</v>
      </c>
      <c r="E319" s="228">
        <v>1690</v>
      </c>
      <c r="F319" s="229">
        <f t="shared" si="49"/>
        <v>13520</v>
      </c>
      <c r="G319" s="252">
        <v>115</v>
      </c>
      <c r="H319" s="229">
        <f t="shared" si="50"/>
        <v>920</v>
      </c>
      <c r="I319" s="230">
        <f t="shared" si="51"/>
        <v>14440</v>
      </c>
      <c r="J319" s="97" t="s">
        <v>343</v>
      </c>
      <c r="L319" s="210"/>
    </row>
    <row r="320" spans="1:12" s="203" customFormat="1" ht="21" customHeight="1">
      <c r="A320" s="455"/>
      <c r="B320" s="456" t="s">
        <v>289</v>
      </c>
      <c r="C320" s="447"/>
      <c r="D320" s="448"/>
      <c r="E320" s="449"/>
      <c r="F320" s="334"/>
      <c r="G320" s="333"/>
      <c r="H320" s="334"/>
      <c r="I320" s="335"/>
      <c r="J320" s="102"/>
      <c r="L320" s="210"/>
    </row>
    <row r="321" spans="1:13" s="203" customFormat="1" ht="21" customHeight="1">
      <c r="A321" s="442"/>
      <c r="B321" s="452" t="s">
        <v>323</v>
      </c>
      <c r="C321" s="453">
        <v>41</v>
      </c>
      <c r="D321" s="439" t="s">
        <v>280</v>
      </c>
      <c r="E321" s="228">
        <v>58.88</v>
      </c>
      <c r="F321" s="229">
        <f t="shared" si="49"/>
        <v>2414.08</v>
      </c>
      <c r="G321" s="252">
        <v>80</v>
      </c>
      <c r="H321" s="229">
        <f t="shared" si="50"/>
        <v>3280</v>
      </c>
      <c r="I321" s="230">
        <f t="shared" si="51"/>
        <v>5694.08</v>
      </c>
      <c r="J321" s="97" t="s">
        <v>375</v>
      </c>
      <c r="L321" s="210"/>
    </row>
    <row r="322" spans="1:13" s="203" customFormat="1" ht="21" customHeight="1">
      <c r="A322" s="442"/>
      <c r="B322" s="452" t="s">
        <v>324</v>
      </c>
      <c r="C322" s="453">
        <v>4</v>
      </c>
      <c r="D322" s="439" t="s">
        <v>280</v>
      </c>
      <c r="E322" s="228">
        <v>106.4</v>
      </c>
      <c r="F322" s="229">
        <f t="shared" si="49"/>
        <v>425.6</v>
      </c>
      <c r="G322" s="252">
        <v>85</v>
      </c>
      <c r="H322" s="229">
        <f t="shared" si="50"/>
        <v>340</v>
      </c>
      <c r="I322" s="230">
        <f t="shared" si="51"/>
        <v>765.6</v>
      </c>
      <c r="J322" s="97" t="s">
        <v>375</v>
      </c>
      <c r="L322" s="210"/>
    </row>
    <row r="323" spans="1:13" s="203" customFormat="1" ht="21" customHeight="1">
      <c r="A323" s="442"/>
      <c r="B323" s="454" t="s">
        <v>325</v>
      </c>
      <c r="C323" s="453">
        <v>57</v>
      </c>
      <c r="D323" s="439" t="s">
        <v>280</v>
      </c>
      <c r="E323" s="228">
        <v>171</v>
      </c>
      <c r="F323" s="229">
        <f t="shared" si="49"/>
        <v>9747</v>
      </c>
      <c r="G323" s="252">
        <v>90</v>
      </c>
      <c r="H323" s="229">
        <f t="shared" si="50"/>
        <v>5130</v>
      </c>
      <c r="I323" s="230">
        <f t="shared" si="51"/>
        <v>14877</v>
      </c>
      <c r="J323" s="97" t="s">
        <v>375</v>
      </c>
      <c r="L323" s="210"/>
    </row>
    <row r="324" spans="1:13" s="293" customFormat="1" ht="21" customHeight="1">
      <c r="A324" s="442"/>
      <c r="B324" s="454" t="s">
        <v>326</v>
      </c>
      <c r="C324" s="453">
        <v>9</v>
      </c>
      <c r="D324" s="439" t="s">
        <v>280</v>
      </c>
      <c r="E324" s="228">
        <v>92.75</v>
      </c>
      <c r="F324" s="229">
        <f t="shared" si="49"/>
        <v>834.75</v>
      </c>
      <c r="G324" s="252">
        <v>90</v>
      </c>
      <c r="H324" s="229">
        <f t="shared" si="50"/>
        <v>810</v>
      </c>
      <c r="I324" s="230">
        <f t="shared" si="51"/>
        <v>1644.75</v>
      </c>
      <c r="J324" s="97" t="s">
        <v>375</v>
      </c>
      <c r="L324" s="210"/>
      <c r="M324" s="203"/>
    </row>
    <row r="325" spans="1:13" s="203" customFormat="1" ht="21" customHeight="1">
      <c r="A325" s="440"/>
      <c r="B325" s="457" t="s">
        <v>290</v>
      </c>
      <c r="C325" s="458"/>
      <c r="D325" s="448"/>
      <c r="E325" s="459"/>
      <c r="F325" s="334"/>
      <c r="G325" s="333"/>
      <c r="H325" s="334"/>
      <c r="I325" s="335"/>
      <c r="J325" s="101"/>
      <c r="L325" s="210"/>
    </row>
    <row r="326" spans="1:13" s="467" customFormat="1" ht="21" customHeight="1">
      <c r="A326" s="460"/>
      <c r="B326" s="461" t="s">
        <v>422</v>
      </c>
      <c r="C326" s="462">
        <v>230</v>
      </c>
      <c r="D326" s="463" t="s">
        <v>28</v>
      </c>
      <c r="E326" s="464">
        <v>26.95</v>
      </c>
      <c r="F326" s="465">
        <f t="shared" ref="F326" si="52">E326*C326</f>
        <v>6198.5</v>
      </c>
      <c r="G326" s="466">
        <v>55</v>
      </c>
      <c r="H326" s="466">
        <f t="shared" ref="H326" si="53">G326*C326</f>
        <v>12650</v>
      </c>
      <c r="I326" s="465">
        <f t="shared" ref="I326" si="54">F326+H326</f>
        <v>18848.5</v>
      </c>
      <c r="J326" s="107" t="s">
        <v>343</v>
      </c>
      <c r="M326" s="468" t="s">
        <v>349</v>
      </c>
    </row>
    <row r="327" spans="1:13" s="467" customFormat="1" ht="21" customHeight="1">
      <c r="A327" s="460"/>
      <c r="B327" s="461" t="s">
        <v>370</v>
      </c>
      <c r="C327" s="462">
        <v>92</v>
      </c>
      <c r="D327" s="463" t="s">
        <v>28</v>
      </c>
      <c r="E327" s="464">
        <v>317.10000000000002</v>
      </c>
      <c r="F327" s="465">
        <f t="shared" ref="F327" si="55">E327*C327</f>
        <v>29173.200000000001</v>
      </c>
      <c r="G327" s="466">
        <v>55</v>
      </c>
      <c r="H327" s="466">
        <f t="shared" ref="H327" si="56">G327*C327</f>
        <v>5060</v>
      </c>
      <c r="I327" s="465">
        <f t="shared" ref="I327" si="57">F327+H327</f>
        <v>34233.199999999997</v>
      </c>
      <c r="J327" s="107" t="s">
        <v>343</v>
      </c>
      <c r="M327" s="468" t="s">
        <v>349</v>
      </c>
    </row>
    <row r="328" spans="1:13" s="203" customFormat="1" ht="21" customHeight="1">
      <c r="A328" s="442"/>
      <c r="B328" s="444" t="s">
        <v>369</v>
      </c>
      <c r="C328" s="438">
        <v>108.6</v>
      </c>
      <c r="D328" s="439" t="s">
        <v>291</v>
      </c>
      <c r="E328" s="300">
        <v>245.78</v>
      </c>
      <c r="F328" s="229">
        <f t="shared" ref="F328" si="58">ROUND(E328*C328,2)</f>
        <v>26691.71</v>
      </c>
      <c r="G328" s="252">
        <v>45</v>
      </c>
      <c r="H328" s="229">
        <f t="shared" ref="H328" si="59">ROUND(G328*C328,2)</f>
        <v>4887</v>
      </c>
      <c r="I328" s="230">
        <f t="shared" ref="I328" si="60">+F328+H328</f>
        <v>31578.71</v>
      </c>
      <c r="J328" s="97" t="s">
        <v>375</v>
      </c>
      <c r="L328" s="210"/>
    </row>
    <row r="329" spans="1:13" s="203" customFormat="1" ht="21" customHeight="1">
      <c r="A329" s="442"/>
      <c r="B329" s="444" t="s">
        <v>327</v>
      </c>
      <c r="C329" s="438">
        <v>128.80000000000001</v>
      </c>
      <c r="D329" s="439" t="s">
        <v>291</v>
      </c>
      <c r="E329" s="300">
        <v>171.9</v>
      </c>
      <c r="F329" s="229">
        <f t="shared" si="49"/>
        <v>22140.720000000001</v>
      </c>
      <c r="G329" s="252">
        <v>40</v>
      </c>
      <c r="H329" s="229">
        <f t="shared" si="50"/>
        <v>5152</v>
      </c>
      <c r="I329" s="230">
        <f t="shared" si="51"/>
        <v>27292.720000000001</v>
      </c>
      <c r="J329" s="97" t="s">
        <v>375</v>
      </c>
      <c r="L329" s="210"/>
    </row>
    <row r="330" spans="1:13" s="203" customFormat="1" ht="21" customHeight="1">
      <c r="A330" s="442"/>
      <c r="B330" s="444" t="s">
        <v>328</v>
      </c>
      <c r="C330" s="438">
        <v>20.2</v>
      </c>
      <c r="D330" s="439" t="s">
        <v>291</v>
      </c>
      <c r="E330" s="300">
        <v>90</v>
      </c>
      <c r="F330" s="229">
        <f t="shared" si="49"/>
        <v>1818</v>
      </c>
      <c r="G330" s="252">
        <v>25</v>
      </c>
      <c r="H330" s="229">
        <f t="shared" si="50"/>
        <v>505</v>
      </c>
      <c r="I330" s="230">
        <f t="shared" si="51"/>
        <v>2323</v>
      </c>
      <c r="J330" s="97" t="s">
        <v>375</v>
      </c>
      <c r="L330" s="210"/>
    </row>
    <row r="331" spans="1:13" s="203" customFormat="1" ht="21" customHeight="1">
      <c r="A331" s="442"/>
      <c r="B331" s="444" t="s">
        <v>329</v>
      </c>
      <c r="C331" s="438">
        <v>59.3</v>
      </c>
      <c r="D331" s="439" t="s">
        <v>291</v>
      </c>
      <c r="E331" s="300">
        <v>36.979999999999997</v>
      </c>
      <c r="F331" s="229">
        <f t="shared" si="49"/>
        <v>2192.91</v>
      </c>
      <c r="G331" s="252">
        <v>16</v>
      </c>
      <c r="H331" s="229">
        <f t="shared" si="50"/>
        <v>948.8</v>
      </c>
      <c r="I331" s="230">
        <f t="shared" si="51"/>
        <v>3141.71</v>
      </c>
      <c r="J331" s="97" t="s">
        <v>375</v>
      </c>
      <c r="L331" s="210"/>
    </row>
    <row r="332" spans="1:13" s="203" customFormat="1" ht="21" customHeight="1">
      <c r="A332" s="442"/>
      <c r="B332" s="444" t="s">
        <v>330</v>
      </c>
      <c r="C332" s="438">
        <v>71.3</v>
      </c>
      <c r="D332" s="439" t="s">
        <v>291</v>
      </c>
      <c r="E332" s="300">
        <v>21.23</v>
      </c>
      <c r="F332" s="229">
        <f t="shared" si="49"/>
        <v>1513.7</v>
      </c>
      <c r="G332" s="252">
        <v>12</v>
      </c>
      <c r="H332" s="229">
        <f t="shared" si="50"/>
        <v>855.6</v>
      </c>
      <c r="I332" s="230">
        <f t="shared" si="51"/>
        <v>2369.3000000000002</v>
      </c>
      <c r="J332" s="97" t="s">
        <v>375</v>
      </c>
      <c r="L332" s="210"/>
    </row>
    <row r="333" spans="1:13" s="203" customFormat="1" ht="21" customHeight="1">
      <c r="A333" s="442"/>
      <c r="B333" s="444" t="s">
        <v>331</v>
      </c>
      <c r="C333" s="295">
        <v>3084</v>
      </c>
      <c r="D333" s="439" t="s">
        <v>176</v>
      </c>
      <c r="E333" s="469">
        <v>12.9</v>
      </c>
      <c r="F333" s="470">
        <f t="shared" ref="F333:F334" si="61">C333*E333</f>
        <v>39783.599999999999</v>
      </c>
      <c r="G333" s="469">
        <v>10</v>
      </c>
      <c r="H333" s="470">
        <f t="shared" ref="H333:H334" si="62">C333*G333</f>
        <v>30840</v>
      </c>
      <c r="I333" s="471">
        <f t="shared" ref="I333:I334" si="63">F333+H333</f>
        <v>70623.600000000006</v>
      </c>
      <c r="J333" s="89" t="s">
        <v>375</v>
      </c>
      <c r="L333" s="210"/>
    </row>
    <row r="334" spans="1:13" s="203" customFormat="1" ht="21" customHeight="1">
      <c r="A334" s="442"/>
      <c r="B334" s="444" t="s">
        <v>332</v>
      </c>
      <c r="C334" s="295">
        <v>2325.6</v>
      </c>
      <c r="D334" s="439" t="s">
        <v>176</v>
      </c>
      <c r="E334" s="469">
        <v>8.5500000000000007</v>
      </c>
      <c r="F334" s="470">
        <f t="shared" si="61"/>
        <v>19883.88</v>
      </c>
      <c r="G334" s="469">
        <v>7</v>
      </c>
      <c r="H334" s="470">
        <f t="shared" si="62"/>
        <v>16279.199999999999</v>
      </c>
      <c r="I334" s="471">
        <f t="shared" si="63"/>
        <v>36163.08</v>
      </c>
      <c r="J334" s="87" t="s">
        <v>375</v>
      </c>
      <c r="L334" s="210"/>
    </row>
    <row r="335" spans="1:13" s="203" customFormat="1" ht="21" customHeight="1">
      <c r="A335" s="442"/>
      <c r="B335" s="444" t="s">
        <v>337</v>
      </c>
      <c r="C335" s="295">
        <v>2182.3000000000002</v>
      </c>
      <c r="D335" s="439" t="s">
        <v>176</v>
      </c>
      <c r="E335" s="469">
        <v>5.78</v>
      </c>
      <c r="F335" s="470">
        <f t="shared" ref="F335" si="64">C335*E335</f>
        <v>12613.694000000001</v>
      </c>
      <c r="G335" s="469">
        <v>5</v>
      </c>
      <c r="H335" s="470">
        <f t="shared" ref="H335" si="65">C335*G335</f>
        <v>10911.5</v>
      </c>
      <c r="I335" s="471">
        <f t="shared" ref="I335" si="66">F335+H335</f>
        <v>23525.194000000003</v>
      </c>
      <c r="J335" s="87" t="s">
        <v>375</v>
      </c>
      <c r="L335" s="210"/>
    </row>
    <row r="336" spans="1:13" s="203" customFormat="1" ht="21" customHeight="1">
      <c r="A336" s="442"/>
      <c r="B336" s="444" t="s">
        <v>338</v>
      </c>
      <c r="C336" s="295">
        <v>830.5</v>
      </c>
      <c r="D336" s="439" t="s">
        <v>176</v>
      </c>
      <c r="E336" s="469">
        <v>5.43</v>
      </c>
      <c r="F336" s="470">
        <f t="shared" ref="F336" si="67">C336*E336</f>
        <v>4509.6149999999998</v>
      </c>
      <c r="G336" s="469">
        <v>5</v>
      </c>
      <c r="H336" s="470">
        <f t="shared" ref="H336" si="68">C336*G336</f>
        <v>4152.5</v>
      </c>
      <c r="I336" s="471">
        <f t="shared" ref="I336" si="69">F336+H336</f>
        <v>8662.1149999999998</v>
      </c>
      <c r="J336" s="87" t="s">
        <v>343</v>
      </c>
      <c r="L336" s="210"/>
    </row>
    <row r="337" spans="1:13" s="203" customFormat="1" ht="21" customHeight="1">
      <c r="A337" s="442"/>
      <c r="B337" s="445" t="s">
        <v>358</v>
      </c>
      <c r="C337" s="438">
        <v>1</v>
      </c>
      <c r="D337" s="439" t="s">
        <v>97</v>
      </c>
      <c r="E337" s="300">
        <f>SUM(F327:F336)*0.05</f>
        <v>8016.051449999999</v>
      </c>
      <c r="F337" s="229">
        <f>ROUND(E337*C337,2)</f>
        <v>8016.05</v>
      </c>
      <c r="G337" s="252"/>
      <c r="H337" s="229">
        <f>ROUND(G337*C337,2)</f>
        <v>0</v>
      </c>
      <c r="I337" s="230">
        <f>+F337+H337</f>
        <v>8016.05</v>
      </c>
      <c r="J337" s="97"/>
      <c r="L337" s="210"/>
    </row>
    <row r="338" spans="1:13" s="203" customFormat="1" ht="21" customHeight="1">
      <c r="A338" s="442"/>
      <c r="B338" s="443" t="s">
        <v>292</v>
      </c>
      <c r="C338" s="295"/>
      <c r="D338" s="439"/>
      <c r="E338" s="469"/>
      <c r="F338" s="470"/>
      <c r="G338" s="469"/>
      <c r="H338" s="470"/>
      <c r="I338" s="471"/>
      <c r="J338" s="97"/>
      <c r="L338" s="210"/>
    </row>
    <row r="339" spans="1:13" s="203" customFormat="1" ht="21" customHeight="1">
      <c r="A339" s="442"/>
      <c r="B339" s="444" t="s">
        <v>371</v>
      </c>
      <c r="C339" s="295">
        <v>15</v>
      </c>
      <c r="D339" s="439" t="s">
        <v>176</v>
      </c>
      <c r="E339" s="469">
        <v>323.5</v>
      </c>
      <c r="F339" s="470">
        <f t="shared" ref="F339" si="70">C339*E339</f>
        <v>4852.5</v>
      </c>
      <c r="G339" s="469">
        <v>55</v>
      </c>
      <c r="H339" s="470">
        <f t="shared" ref="H339" si="71">C339*G339</f>
        <v>825</v>
      </c>
      <c r="I339" s="471">
        <f t="shared" ref="I339" si="72">F339+H339</f>
        <v>5677.5</v>
      </c>
      <c r="J339" s="97" t="s">
        <v>343</v>
      </c>
      <c r="L339" s="210"/>
    </row>
    <row r="340" spans="1:13" s="203" customFormat="1" ht="21" customHeight="1">
      <c r="A340" s="442"/>
      <c r="B340" s="444" t="s">
        <v>333</v>
      </c>
      <c r="C340" s="295">
        <v>33</v>
      </c>
      <c r="D340" s="439" t="s">
        <v>176</v>
      </c>
      <c r="E340" s="469">
        <v>255</v>
      </c>
      <c r="F340" s="470">
        <f t="shared" ref="F340:F341" si="73">C340*E340</f>
        <v>8415</v>
      </c>
      <c r="G340" s="469">
        <v>48</v>
      </c>
      <c r="H340" s="470">
        <f t="shared" ref="H340:H341" si="74">C340*G340</f>
        <v>1584</v>
      </c>
      <c r="I340" s="471">
        <f t="shared" ref="I340:I341" si="75">F340+H340</f>
        <v>9999</v>
      </c>
      <c r="J340" s="97" t="s">
        <v>375</v>
      </c>
      <c r="L340" s="210"/>
    </row>
    <row r="341" spans="1:13" s="203" customFormat="1" ht="21" customHeight="1">
      <c r="A341" s="442"/>
      <c r="B341" s="444" t="s">
        <v>334</v>
      </c>
      <c r="C341" s="295">
        <v>33</v>
      </c>
      <c r="D341" s="439" t="s">
        <v>176</v>
      </c>
      <c r="E341" s="469">
        <v>193.2</v>
      </c>
      <c r="F341" s="470">
        <f t="shared" si="73"/>
        <v>6375.5999999999995</v>
      </c>
      <c r="G341" s="469">
        <v>38</v>
      </c>
      <c r="H341" s="470">
        <f t="shared" si="74"/>
        <v>1254</v>
      </c>
      <c r="I341" s="471">
        <f t="shared" si="75"/>
        <v>7629.5999999999995</v>
      </c>
      <c r="J341" s="97" t="s">
        <v>375</v>
      </c>
      <c r="L341" s="210"/>
    </row>
    <row r="342" spans="1:13" s="203" customFormat="1" ht="21" customHeight="1">
      <c r="A342" s="442"/>
      <c r="B342" s="444" t="s">
        <v>372</v>
      </c>
      <c r="C342" s="295">
        <v>17</v>
      </c>
      <c r="D342" s="439" t="s">
        <v>176</v>
      </c>
      <c r="E342" s="469">
        <v>118.1</v>
      </c>
      <c r="F342" s="470">
        <f t="shared" ref="F342" si="76">C342*E342</f>
        <v>2007.6999999999998</v>
      </c>
      <c r="G342" s="469">
        <v>32</v>
      </c>
      <c r="H342" s="470">
        <f t="shared" ref="H342" si="77">C342*G342</f>
        <v>544</v>
      </c>
      <c r="I342" s="471">
        <f t="shared" ref="I342" si="78">F342+H342</f>
        <v>2551.6999999999998</v>
      </c>
      <c r="J342" s="97" t="s">
        <v>375</v>
      </c>
      <c r="L342" s="210"/>
    </row>
    <row r="343" spans="1:13" s="203" customFormat="1" ht="21" customHeight="1">
      <c r="A343" s="442"/>
      <c r="B343" s="444" t="s">
        <v>335</v>
      </c>
      <c r="C343" s="295">
        <v>494.8</v>
      </c>
      <c r="D343" s="439" t="s">
        <v>176</v>
      </c>
      <c r="E343" s="469">
        <v>44.8</v>
      </c>
      <c r="F343" s="470">
        <f t="shared" ref="F343:F344" si="79">C343*E343</f>
        <v>22167.040000000001</v>
      </c>
      <c r="G343" s="469">
        <v>24</v>
      </c>
      <c r="H343" s="470">
        <f t="shared" ref="H343:H344" si="80">C343*G343</f>
        <v>11875.2</v>
      </c>
      <c r="I343" s="471">
        <f t="shared" ref="I343:I344" si="81">F343+H343</f>
        <v>34042.240000000005</v>
      </c>
      <c r="J343" s="97" t="s">
        <v>375</v>
      </c>
      <c r="L343" s="210"/>
    </row>
    <row r="344" spans="1:13" s="203" customFormat="1" ht="21" customHeight="1">
      <c r="A344" s="442"/>
      <c r="B344" s="444" t="s">
        <v>336</v>
      </c>
      <c r="C344" s="295">
        <v>125.8</v>
      </c>
      <c r="D344" s="439" t="s">
        <v>176</v>
      </c>
      <c r="E344" s="469">
        <v>31.03</v>
      </c>
      <c r="F344" s="470">
        <f t="shared" si="79"/>
        <v>3903.5740000000001</v>
      </c>
      <c r="G344" s="469">
        <v>22</v>
      </c>
      <c r="H344" s="470">
        <f t="shared" si="80"/>
        <v>2767.6</v>
      </c>
      <c r="I344" s="471">
        <f t="shared" si="81"/>
        <v>6671.174</v>
      </c>
      <c r="J344" s="97" t="s">
        <v>375</v>
      </c>
      <c r="L344" s="210"/>
    </row>
    <row r="345" spans="1:13" s="203" customFormat="1" ht="21" customHeight="1">
      <c r="A345" s="442"/>
      <c r="B345" s="445" t="s">
        <v>354</v>
      </c>
      <c r="C345" s="438">
        <v>1</v>
      </c>
      <c r="D345" s="439" t="s">
        <v>97</v>
      </c>
      <c r="E345" s="300">
        <f>SUM(F339:F344)*0.2</f>
        <v>9544.282799999999</v>
      </c>
      <c r="F345" s="229">
        <f>ROUND(E345*C345,2)</f>
        <v>9544.2800000000007</v>
      </c>
      <c r="G345" s="252"/>
      <c r="H345" s="229">
        <f>ROUND(G345*C345,2)</f>
        <v>0</v>
      </c>
      <c r="I345" s="230">
        <f>+F345+H345</f>
        <v>9544.2800000000007</v>
      </c>
      <c r="J345" s="97"/>
      <c r="L345" s="210"/>
    </row>
    <row r="346" spans="1:13" s="304" customFormat="1" ht="21" customHeight="1">
      <c r="A346" s="472"/>
      <c r="B346" s="473" t="s">
        <v>351</v>
      </c>
      <c r="C346" s="306"/>
      <c r="D346" s="474"/>
      <c r="E346" s="445"/>
      <c r="F346" s="445"/>
      <c r="G346" s="475"/>
      <c r="H346" s="475"/>
      <c r="I346" s="445"/>
      <c r="J346" s="108"/>
    </row>
    <row r="347" spans="1:13" s="304" customFormat="1" ht="21" customHeight="1">
      <c r="A347" s="476"/>
      <c r="B347" s="445" t="s">
        <v>353</v>
      </c>
      <c r="C347" s="306">
        <v>1</v>
      </c>
      <c r="D347" s="474" t="s">
        <v>94</v>
      </c>
      <c r="E347" s="445">
        <v>2130</v>
      </c>
      <c r="F347" s="445">
        <f>E347*C347</f>
        <v>2130</v>
      </c>
      <c r="G347" s="475">
        <v>250</v>
      </c>
      <c r="H347" s="475">
        <f>G347*C347</f>
        <v>250</v>
      </c>
      <c r="I347" s="445">
        <f>F347+H347</f>
        <v>2380</v>
      </c>
      <c r="J347" s="108" t="s">
        <v>343</v>
      </c>
      <c r="M347" s="304" t="s">
        <v>349</v>
      </c>
    </row>
    <row r="348" spans="1:13" s="304" customFormat="1" ht="21" customHeight="1">
      <c r="A348" s="476"/>
      <c r="B348" s="475" t="s">
        <v>348</v>
      </c>
      <c r="C348" s="302">
        <v>11</v>
      </c>
      <c r="D348" s="477" t="s">
        <v>94</v>
      </c>
      <c r="E348" s="478">
        <v>157</v>
      </c>
      <c r="F348" s="445">
        <f t="shared" ref="F348:F352" si="82">E348*C348</f>
        <v>1727</v>
      </c>
      <c r="G348" s="475">
        <v>80</v>
      </c>
      <c r="H348" s="475">
        <f t="shared" ref="H348:H352" si="83">G348*C348</f>
        <v>880</v>
      </c>
      <c r="I348" s="445">
        <f t="shared" ref="I348:I352" si="84">F348+H348</f>
        <v>2607</v>
      </c>
      <c r="J348" s="108" t="s">
        <v>343</v>
      </c>
      <c r="M348" s="304" t="s">
        <v>349</v>
      </c>
    </row>
    <row r="349" spans="1:13" s="304" customFormat="1" ht="21" customHeight="1">
      <c r="A349" s="476"/>
      <c r="B349" s="475" t="s">
        <v>350</v>
      </c>
      <c r="C349" s="302">
        <v>457</v>
      </c>
      <c r="D349" s="479" t="s">
        <v>28</v>
      </c>
      <c r="E349" s="475">
        <v>6.08</v>
      </c>
      <c r="F349" s="445">
        <f t="shared" si="82"/>
        <v>2778.56</v>
      </c>
      <c r="G349" s="475">
        <v>6</v>
      </c>
      <c r="H349" s="475">
        <f t="shared" si="83"/>
        <v>2742</v>
      </c>
      <c r="I349" s="445">
        <f t="shared" si="84"/>
        <v>5520.5599999999995</v>
      </c>
      <c r="J349" s="108" t="s">
        <v>343</v>
      </c>
      <c r="M349" s="304" t="s">
        <v>349</v>
      </c>
    </row>
    <row r="350" spans="1:13" s="304" customFormat="1" ht="21" customHeight="1">
      <c r="A350" s="480"/>
      <c r="B350" s="445" t="s">
        <v>359</v>
      </c>
      <c r="C350" s="306">
        <v>1</v>
      </c>
      <c r="D350" s="474" t="s">
        <v>94</v>
      </c>
      <c r="E350" s="479">
        <v>2490</v>
      </c>
      <c r="F350" s="445">
        <f t="shared" si="82"/>
        <v>2490</v>
      </c>
      <c r="G350" s="479">
        <v>0</v>
      </c>
      <c r="H350" s="475">
        <f t="shared" si="83"/>
        <v>0</v>
      </c>
      <c r="I350" s="445">
        <f t="shared" si="84"/>
        <v>2490</v>
      </c>
      <c r="J350" s="108" t="s">
        <v>343</v>
      </c>
    </row>
    <row r="351" spans="1:13" s="304" customFormat="1" ht="21" customHeight="1">
      <c r="A351" s="480"/>
      <c r="B351" s="445" t="s">
        <v>360</v>
      </c>
      <c r="C351" s="306">
        <v>1</v>
      </c>
      <c r="D351" s="474" t="s">
        <v>94</v>
      </c>
      <c r="E351" s="479">
        <v>2250</v>
      </c>
      <c r="F351" s="445">
        <f t="shared" si="82"/>
        <v>2250</v>
      </c>
      <c r="G351" s="479">
        <v>0</v>
      </c>
      <c r="H351" s="475">
        <f t="shared" si="83"/>
        <v>0</v>
      </c>
      <c r="I351" s="445">
        <f t="shared" si="84"/>
        <v>2250</v>
      </c>
      <c r="J351" s="108" t="s">
        <v>343</v>
      </c>
    </row>
    <row r="352" spans="1:13" s="304" customFormat="1" ht="21" customHeight="1">
      <c r="A352" s="480"/>
      <c r="B352" s="445" t="s">
        <v>361</v>
      </c>
      <c r="C352" s="306">
        <v>1</v>
      </c>
      <c r="D352" s="474" t="s">
        <v>94</v>
      </c>
      <c r="E352" s="479">
        <v>550</v>
      </c>
      <c r="F352" s="445">
        <f t="shared" si="82"/>
        <v>550</v>
      </c>
      <c r="G352" s="479">
        <v>0</v>
      </c>
      <c r="H352" s="475">
        <f t="shared" si="83"/>
        <v>0</v>
      </c>
      <c r="I352" s="445">
        <f t="shared" si="84"/>
        <v>550</v>
      </c>
      <c r="J352" s="108" t="s">
        <v>343</v>
      </c>
    </row>
    <row r="353" spans="1:13" s="293" customFormat="1" ht="21" customHeight="1">
      <c r="A353" s="481"/>
      <c r="B353" s="445" t="s">
        <v>342</v>
      </c>
      <c r="C353" s="302">
        <v>665</v>
      </c>
      <c r="D353" s="474" t="s">
        <v>28</v>
      </c>
      <c r="E353" s="474">
        <v>13.93</v>
      </c>
      <c r="F353" s="445">
        <f>E353*C353</f>
        <v>9263.4499999999989</v>
      </c>
      <c r="G353" s="474">
        <v>7</v>
      </c>
      <c r="H353" s="475">
        <f>G353*C353</f>
        <v>4655</v>
      </c>
      <c r="I353" s="445">
        <f>F353+H353</f>
        <v>13918.449999999999</v>
      </c>
      <c r="J353" s="108" t="s">
        <v>343</v>
      </c>
      <c r="L353" s="209"/>
    </row>
    <row r="354" spans="1:13" s="293" customFormat="1" ht="21" customHeight="1">
      <c r="A354" s="442"/>
      <c r="B354" s="475" t="s">
        <v>344</v>
      </c>
      <c r="C354" s="306">
        <v>20</v>
      </c>
      <c r="D354" s="474" t="s">
        <v>94</v>
      </c>
      <c r="E354" s="479">
        <v>18</v>
      </c>
      <c r="F354" s="445">
        <f t="shared" ref="F354:F356" si="85">E354*C354</f>
        <v>360</v>
      </c>
      <c r="G354" s="479">
        <v>0</v>
      </c>
      <c r="H354" s="475">
        <f t="shared" ref="H354" si="86">G354*C354</f>
        <v>0</v>
      </c>
      <c r="I354" s="445">
        <f>F354+H354</f>
        <v>360</v>
      </c>
      <c r="J354" s="108" t="s">
        <v>343</v>
      </c>
      <c r="L354" s="209"/>
    </row>
    <row r="355" spans="1:13" s="293" customFormat="1" ht="21" customHeight="1">
      <c r="A355" s="481"/>
      <c r="B355" s="475" t="s">
        <v>345</v>
      </c>
      <c r="C355" s="302">
        <v>20</v>
      </c>
      <c r="D355" s="474" t="s">
        <v>94</v>
      </c>
      <c r="E355" s="479">
        <v>250</v>
      </c>
      <c r="F355" s="445">
        <f t="shared" si="85"/>
        <v>5000</v>
      </c>
      <c r="G355" s="479">
        <v>110</v>
      </c>
      <c r="H355" s="475">
        <f>G355*C355</f>
        <v>2200</v>
      </c>
      <c r="I355" s="445">
        <f t="shared" ref="I355:I358" si="87">F355+H355</f>
        <v>7200</v>
      </c>
      <c r="J355" s="108" t="s">
        <v>343</v>
      </c>
      <c r="L355" s="209"/>
    </row>
    <row r="356" spans="1:13" s="293" customFormat="1" ht="21" customHeight="1">
      <c r="A356" s="481"/>
      <c r="B356" s="475" t="s">
        <v>346</v>
      </c>
      <c r="C356" s="306">
        <v>1</v>
      </c>
      <c r="D356" s="474" t="s">
        <v>347</v>
      </c>
      <c r="E356" s="479">
        <v>4100</v>
      </c>
      <c r="F356" s="445">
        <f t="shared" si="85"/>
        <v>4100</v>
      </c>
      <c r="G356" s="479">
        <v>500</v>
      </c>
      <c r="H356" s="475">
        <f>G356*C356</f>
        <v>500</v>
      </c>
      <c r="I356" s="445">
        <f t="shared" si="87"/>
        <v>4600</v>
      </c>
      <c r="J356" s="108" t="s">
        <v>374</v>
      </c>
      <c r="L356" s="209"/>
    </row>
    <row r="357" spans="1:13" s="203" customFormat="1" ht="21" customHeight="1">
      <c r="A357" s="442"/>
      <c r="B357" s="444" t="s">
        <v>300</v>
      </c>
      <c r="C357" s="295">
        <f>345</f>
        <v>345</v>
      </c>
      <c r="D357" s="439" t="s">
        <v>176</v>
      </c>
      <c r="E357" s="300">
        <v>31.03</v>
      </c>
      <c r="F357" s="229">
        <f t="shared" ref="F357" si="88">ROUND(E357*C357,2)</f>
        <v>10705.35</v>
      </c>
      <c r="G357" s="300">
        <v>22</v>
      </c>
      <c r="H357" s="229">
        <f t="shared" ref="H357" si="89">ROUND(G357*C357,2)</f>
        <v>7590</v>
      </c>
      <c r="I357" s="230">
        <f t="shared" ref="I357" si="90">+F357+H357</f>
        <v>18295.349999999999</v>
      </c>
      <c r="J357" s="89" t="s">
        <v>375</v>
      </c>
      <c r="L357" s="210"/>
    </row>
    <row r="358" spans="1:13" s="293" customFormat="1" ht="21" customHeight="1">
      <c r="A358" s="481"/>
      <c r="B358" s="445" t="s">
        <v>355</v>
      </c>
      <c r="C358" s="306">
        <v>1</v>
      </c>
      <c r="D358" s="474" t="s">
        <v>97</v>
      </c>
      <c r="E358" s="445">
        <f>SUM(F347:F357)*0.1</f>
        <v>4135.4360000000006</v>
      </c>
      <c r="F358" s="445">
        <f>E358*C358</f>
        <v>4135.4360000000006</v>
      </c>
      <c r="G358" s="475">
        <v>0</v>
      </c>
      <c r="H358" s="475">
        <f t="shared" ref="H358" si="91">G358*C358</f>
        <v>0</v>
      </c>
      <c r="I358" s="445">
        <f t="shared" si="87"/>
        <v>4135.4360000000006</v>
      </c>
      <c r="J358" s="108"/>
      <c r="L358" s="209"/>
    </row>
    <row r="359" spans="1:13" s="203" customFormat="1" ht="21" customHeight="1">
      <c r="A359" s="225"/>
      <c r="B359" s="482" t="s">
        <v>364</v>
      </c>
      <c r="C359" s="483"/>
      <c r="D359" s="484"/>
      <c r="E359" s="485"/>
      <c r="F359" s="229"/>
      <c r="G359" s="485"/>
      <c r="H359" s="229"/>
      <c r="I359" s="230"/>
      <c r="J359" s="97"/>
      <c r="L359" s="210"/>
    </row>
    <row r="360" spans="1:13" s="203" customFormat="1" ht="21" customHeight="1">
      <c r="A360" s="225"/>
      <c r="B360" s="486" t="s">
        <v>309</v>
      </c>
      <c r="C360" s="483"/>
      <c r="D360" s="484"/>
      <c r="E360" s="485"/>
      <c r="F360" s="229"/>
      <c r="G360" s="485"/>
      <c r="H360" s="229"/>
      <c r="I360" s="230"/>
      <c r="J360" s="97"/>
      <c r="L360" s="210"/>
    </row>
    <row r="361" spans="1:13" s="203" customFormat="1" ht="21" customHeight="1">
      <c r="A361" s="225"/>
      <c r="B361" s="486" t="s">
        <v>310</v>
      </c>
      <c r="C361" s="483">
        <v>1</v>
      </c>
      <c r="D361" s="484" t="s">
        <v>94</v>
      </c>
      <c r="E361" s="485">
        <v>1750</v>
      </c>
      <c r="F361" s="229">
        <f>ROUND(E361*C361,2)</f>
        <v>1750</v>
      </c>
      <c r="G361" s="485">
        <v>585</v>
      </c>
      <c r="H361" s="229">
        <f t="shared" ref="H361:H365" si="92">ROUND(G361*C361,2)</f>
        <v>585</v>
      </c>
      <c r="I361" s="230">
        <f t="shared" ref="I361:I365" si="93">+F361+H361</f>
        <v>2335</v>
      </c>
      <c r="J361" s="108" t="s">
        <v>343</v>
      </c>
      <c r="L361" s="210"/>
    </row>
    <row r="362" spans="1:13" s="203" customFormat="1" ht="21" customHeight="1">
      <c r="A362" s="225"/>
      <c r="B362" s="486" t="s">
        <v>313</v>
      </c>
      <c r="C362" s="483">
        <v>1</v>
      </c>
      <c r="D362" s="484" t="s">
        <v>94</v>
      </c>
      <c r="E362" s="485">
        <v>290</v>
      </c>
      <c r="F362" s="229">
        <f>ROUND(E362*C362,2)</f>
        <v>290</v>
      </c>
      <c r="G362" s="485">
        <v>120</v>
      </c>
      <c r="H362" s="229">
        <f>ROUND(G362*C362,2)</f>
        <v>120</v>
      </c>
      <c r="I362" s="230">
        <f>+F362+H362</f>
        <v>410</v>
      </c>
      <c r="J362" s="108" t="s">
        <v>343</v>
      </c>
      <c r="L362" s="210"/>
    </row>
    <row r="363" spans="1:13" s="293" customFormat="1" ht="21" customHeight="1">
      <c r="A363" s="225"/>
      <c r="B363" s="486" t="s">
        <v>312</v>
      </c>
      <c r="C363" s="483">
        <v>1</v>
      </c>
      <c r="D363" s="484" t="s">
        <v>96</v>
      </c>
      <c r="E363" s="485">
        <v>350</v>
      </c>
      <c r="F363" s="229">
        <f>ROUND(E363*C363,2)</f>
        <v>350</v>
      </c>
      <c r="G363" s="485">
        <v>150</v>
      </c>
      <c r="H363" s="229">
        <f>ROUND(G363*C363,2)</f>
        <v>150</v>
      </c>
      <c r="I363" s="230">
        <f>+F363+H363</f>
        <v>500</v>
      </c>
      <c r="J363" s="108" t="s">
        <v>343</v>
      </c>
      <c r="L363" s="209"/>
    </row>
    <row r="364" spans="1:13" s="293" customFormat="1" ht="21" customHeight="1">
      <c r="A364" s="225"/>
      <c r="B364" s="486" t="s">
        <v>311</v>
      </c>
      <c r="C364" s="483"/>
      <c r="D364" s="484"/>
      <c r="E364" s="485"/>
      <c r="F364" s="229"/>
      <c r="G364" s="485"/>
      <c r="H364" s="229"/>
      <c r="I364" s="230">
        <f t="shared" si="93"/>
        <v>0</v>
      </c>
      <c r="J364" s="97"/>
      <c r="L364" s="210"/>
      <c r="M364" s="203"/>
    </row>
    <row r="365" spans="1:13" s="203" customFormat="1" ht="21" customHeight="1">
      <c r="A365" s="225"/>
      <c r="B365" s="486" t="s">
        <v>362</v>
      </c>
      <c r="C365" s="483">
        <v>6</v>
      </c>
      <c r="D365" s="484" t="s">
        <v>94</v>
      </c>
      <c r="E365" s="485">
        <v>830</v>
      </c>
      <c r="F365" s="229">
        <f>ROUND(E365*C365,2)</f>
        <v>4980</v>
      </c>
      <c r="G365" s="485">
        <v>345</v>
      </c>
      <c r="H365" s="229">
        <f t="shared" si="92"/>
        <v>2070</v>
      </c>
      <c r="I365" s="230">
        <f t="shared" si="93"/>
        <v>7050</v>
      </c>
      <c r="J365" s="89" t="s">
        <v>374</v>
      </c>
      <c r="L365" s="210"/>
    </row>
    <row r="366" spans="1:13" s="203" customFormat="1" ht="21" customHeight="1">
      <c r="A366" s="455"/>
      <c r="B366" s="487" t="s">
        <v>293</v>
      </c>
      <c r="C366" s="450"/>
      <c r="D366" s="455"/>
      <c r="E366" s="459"/>
      <c r="F366" s="334"/>
      <c r="G366" s="488"/>
      <c r="H366" s="334"/>
      <c r="I366" s="335"/>
      <c r="J366" s="102"/>
      <c r="L366" s="210"/>
    </row>
    <row r="367" spans="1:13" s="203" customFormat="1" ht="21" customHeight="1">
      <c r="A367" s="442"/>
      <c r="B367" s="444" t="s">
        <v>356</v>
      </c>
      <c r="C367" s="295">
        <v>1</v>
      </c>
      <c r="D367" s="442" t="s">
        <v>94</v>
      </c>
      <c r="E367" s="300">
        <v>17663</v>
      </c>
      <c r="F367" s="229">
        <f t="shared" si="49"/>
        <v>17663</v>
      </c>
      <c r="G367" s="489">
        <v>1000</v>
      </c>
      <c r="H367" s="229">
        <f t="shared" si="50"/>
        <v>1000</v>
      </c>
      <c r="I367" s="230">
        <f t="shared" si="51"/>
        <v>18663</v>
      </c>
      <c r="J367" s="108" t="s">
        <v>343</v>
      </c>
      <c r="L367" s="210"/>
    </row>
    <row r="368" spans="1:13" s="203" customFormat="1" ht="21" customHeight="1">
      <c r="A368" s="442"/>
      <c r="B368" s="444" t="s">
        <v>294</v>
      </c>
      <c r="C368" s="295">
        <v>1</v>
      </c>
      <c r="D368" s="442" t="s">
        <v>94</v>
      </c>
      <c r="E368" s="300">
        <v>16822</v>
      </c>
      <c r="F368" s="229">
        <f t="shared" si="49"/>
        <v>16822</v>
      </c>
      <c r="G368" s="489">
        <v>1000</v>
      </c>
      <c r="H368" s="229">
        <f t="shared" si="50"/>
        <v>1000</v>
      </c>
      <c r="I368" s="230">
        <f t="shared" si="51"/>
        <v>17822</v>
      </c>
      <c r="J368" s="108" t="s">
        <v>343</v>
      </c>
      <c r="L368" s="210"/>
    </row>
    <row r="369" spans="1:13" s="303" customFormat="1" ht="21" customHeight="1">
      <c r="A369" s="490"/>
      <c r="B369" s="491" t="s">
        <v>363</v>
      </c>
      <c r="C369" s="302">
        <v>5</v>
      </c>
      <c r="D369" s="306" t="s">
        <v>104</v>
      </c>
      <c r="E369" s="492">
        <v>1512</v>
      </c>
      <c r="F369" s="493">
        <f t="shared" ref="F369" si="94">E369*C369</f>
        <v>7560</v>
      </c>
      <c r="G369" s="492">
        <v>50</v>
      </c>
      <c r="H369" s="494">
        <f t="shared" ref="H369" si="95">G369*C369</f>
        <v>250</v>
      </c>
      <c r="I369" s="493">
        <f>F369+H369</f>
        <v>7810</v>
      </c>
      <c r="J369" s="108" t="s">
        <v>343</v>
      </c>
      <c r="M369" s="304" t="s">
        <v>349</v>
      </c>
    </row>
    <row r="370" spans="1:13" s="203" customFormat="1" ht="21" customHeight="1">
      <c r="A370" s="442"/>
      <c r="B370" s="495" t="s">
        <v>295</v>
      </c>
      <c r="C370" s="295">
        <v>25</v>
      </c>
      <c r="D370" s="442" t="s">
        <v>94</v>
      </c>
      <c r="E370" s="300">
        <v>600</v>
      </c>
      <c r="F370" s="229">
        <f t="shared" si="49"/>
        <v>15000</v>
      </c>
      <c r="G370" s="489">
        <v>80</v>
      </c>
      <c r="H370" s="229">
        <f t="shared" si="50"/>
        <v>2000</v>
      </c>
      <c r="I370" s="230">
        <f t="shared" si="51"/>
        <v>17000</v>
      </c>
      <c r="J370" s="108" t="s">
        <v>343</v>
      </c>
      <c r="L370" s="210"/>
    </row>
    <row r="371" spans="1:13" s="203" customFormat="1" ht="21" customHeight="1">
      <c r="A371" s="442"/>
      <c r="B371" s="495" t="s">
        <v>296</v>
      </c>
      <c r="C371" s="295">
        <v>3</v>
      </c>
      <c r="D371" s="442" t="s">
        <v>94</v>
      </c>
      <c r="E371" s="300">
        <v>850</v>
      </c>
      <c r="F371" s="229">
        <f t="shared" si="49"/>
        <v>2550</v>
      </c>
      <c r="G371" s="489">
        <v>80</v>
      </c>
      <c r="H371" s="229">
        <f t="shared" si="50"/>
        <v>240</v>
      </c>
      <c r="I371" s="230">
        <f t="shared" si="51"/>
        <v>2790</v>
      </c>
      <c r="J371" s="108" t="s">
        <v>343</v>
      </c>
      <c r="L371" s="210"/>
    </row>
    <row r="372" spans="1:13" s="203" customFormat="1" ht="21" customHeight="1">
      <c r="A372" s="442"/>
      <c r="B372" s="495" t="s">
        <v>297</v>
      </c>
      <c r="C372" s="295">
        <v>3</v>
      </c>
      <c r="D372" s="442" t="s">
        <v>94</v>
      </c>
      <c r="E372" s="300">
        <v>850</v>
      </c>
      <c r="F372" s="229">
        <f t="shared" ref="F372:F375" si="96">ROUND(E372*C372,2)</f>
        <v>2550</v>
      </c>
      <c r="G372" s="315">
        <v>80</v>
      </c>
      <c r="H372" s="229">
        <f t="shared" ref="H372:H375" si="97">ROUND(G372*C372,2)</f>
        <v>240</v>
      </c>
      <c r="I372" s="230">
        <f t="shared" ref="I372:I375" si="98">+F372+H372</f>
        <v>2790</v>
      </c>
      <c r="J372" s="108" t="s">
        <v>343</v>
      </c>
      <c r="L372" s="210"/>
    </row>
    <row r="373" spans="1:13" s="203" customFormat="1" ht="21" customHeight="1">
      <c r="A373" s="442"/>
      <c r="B373" s="495" t="s">
        <v>298</v>
      </c>
      <c r="C373" s="295">
        <v>307</v>
      </c>
      <c r="D373" s="439" t="s">
        <v>176</v>
      </c>
      <c r="E373" s="300">
        <v>8.5500000000000007</v>
      </c>
      <c r="F373" s="229">
        <f t="shared" si="96"/>
        <v>2624.85</v>
      </c>
      <c r="G373" s="300">
        <v>7</v>
      </c>
      <c r="H373" s="229">
        <f t="shared" si="97"/>
        <v>2149</v>
      </c>
      <c r="I373" s="230">
        <f t="shared" si="98"/>
        <v>4773.8500000000004</v>
      </c>
      <c r="J373" s="97" t="s">
        <v>375</v>
      </c>
      <c r="L373" s="210"/>
    </row>
    <row r="374" spans="1:13" s="203" customFormat="1" ht="21" customHeight="1">
      <c r="A374" s="442"/>
      <c r="B374" s="495" t="s">
        <v>299</v>
      </c>
      <c r="C374" s="295">
        <v>115</v>
      </c>
      <c r="D374" s="439" t="s">
        <v>176</v>
      </c>
      <c r="E374" s="300">
        <v>41</v>
      </c>
      <c r="F374" s="229">
        <f t="shared" si="96"/>
        <v>4715</v>
      </c>
      <c r="G374" s="300">
        <v>5</v>
      </c>
      <c r="H374" s="229">
        <f t="shared" si="97"/>
        <v>575</v>
      </c>
      <c r="I374" s="230">
        <f t="shared" si="98"/>
        <v>5290</v>
      </c>
      <c r="J374" s="97" t="s">
        <v>343</v>
      </c>
      <c r="L374" s="210"/>
    </row>
    <row r="375" spans="1:13" s="203" customFormat="1" ht="21" customHeight="1">
      <c r="A375" s="442"/>
      <c r="B375" s="444" t="s">
        <v>300</v>
      </c>
      <c r="C375" s="295">
        <v>199</v>
      </c>
      <c r="D375" s="439" t="s">
        <v>176</v>
      </c>
      <c r="E375" s="300">
        <v>31.03</v>
      </c>
      <c r="F375" s="229">
        <f t="shared" si="96"/>
        <v>6174.97</v>
      </c>
      <c r="G375" s="300">
        <v>22</v>
      </c>
      <c r="H375" s="229">
        <f t="shared" si="97"/>
        <v>4378</v>
      </c>
      <c r="I375" s="230">
        <f t="shared" si="98"/>
        <v>10552.970000000001</v>
      </c>
      <c r="J375" s="89" t="s">
        <v>375</v>
      </c>
      <c r="L375" s="210"/>
    </row>
    <row r="376" spans="1:13" s="203" customFormat="1" ht="21" customHeight="1">
      <c r="A376" s="442"/>
      <c r="B376" s="445" t="s">
        <v>355</v>
      </c>
      <c r="C376" s="438">
        <v>1</v>
      </c>
      <c r="D376" s="439" t="s">
        <v>97</v>
      </c>
      <c r="E376" s="300">
        <f>SUM(F370:F375)*0.1</f>
        <v>3361.482</v>
      </c>
      <c r="F376" s="229">
        <f>ROUND(E376*C376,2)</f>
        <v>3361.48</v>
      </c>
      <c r="G376" s="252"/>
      <c r="H376" s="229">
        <f>ROUND(G376*C376,2)</f>
        <v>0</v>
      </c>
      <c r="I376" s="230">
        <f>+F376+H376</f>
        <v>3361.48</v>
      </c>
      <c r="J376" s="97"/>
      <c r="L376" s="210"/>
    </row>
    <row r="377" spans="1:13" s="203" customFormat="1" ht="21" customHeight="1">
      <c r="A377" s="455"/>
      <c r="B377" s="496" t="s">
        <v>301</v>
      </c>
      <c r="C377" s="110"/>
      <c r="D377" s="440"/>
      <c r="E377" s="497"/>
      <c r="F377" s="498"/>
      <c r="G377" s="499"/>
      <c r="H377" s="498"/>
      <c r="I377" s="500"/>
      <c r="J377" s="102"/>
      <c r="L377" s="210"/>
    </row>
    <row r="378" spans="1:13" s="203" customFormat="1" ht="21" customHeight="1">
      <c r="A378" s="442"/>
      <c r="B378" s="501" t="s">
        <v>302</v>
      </c>
      <c r="C378" s="302"/>
      <c r="D378" s="502"/>
      <c r="E378" s="503"/>
      <c r="F378" s="504"/>
      <c r="G378" s="505"/>
      <c r="H378" s="504"/>
      <c r="I378" s="506"/>
      <c r="J378" s="97"/>
      <c r="L378" s="210"/>
    </row>
    <row r="379" spans="1:13" s="203" customFormat="1" ht="21" customHeight="1">
      <c r="A379" s="442"/>
      <c r="B379" s="501" t="s">
        <v>303</v>
      </c>
      <c r="C379" s="507">
        <v>9</v>
      </c>
      <c r="D379" s="502" t="s">
        <v>111</v>
      </c>
      <c r="E379" s="503">
        <f>840+405</f>
        <v>1245</v>
      </c>
      <c r="F379" s="504">
        <f t="shared" ref="F379:F383" si="99">C379*E379</f>
        <v>11205</v>
      </c>
      <c r="G379" s="503">
        <v>1800</v>
      </c>
      <c r="H379" s="504">
        <f t="shared" ref="H379:H383" si="100">C379*G379</f>
        <v>16200</v>
      </c>
      <c r="I379" s="506">
        <f t="shared" ref="I379:I383" si="101">F379+H379</f>
        <v>27405</v>
      </c>
      <c r="J379" s="97" t="s">
        <v>343</v>
      </c>
      <c r="L379" s="210"/>
    </row>
    <row r="380" spans="1:13" s="203" customFormat="1" ht="21" customHeight="1">
      <c r="A380" s="442"/>
      <c r="B380" s="501" t="s">
        <v>304</v>
      </c>
      <c r="C380" s="507">
        <v>2</v>
      </c>
      <c r="D380" s="502" t="s">
        <v>94</v>
      </c>
      <c r="E380" s="503">
        <v>1800</v>
      </c>
      <c r="F380" s="504">
        <f t="shared" si="99"/>
        <v>3600</v>
      </c>
      <c r="G380" s="503">
        <v>250</v>
      </c>
      <c r="H380" s="504">
        <f t="shared" si="100"/>
        <v>500</v>
      </c>
      <c r="I380" s="506">
        <f t="shared" si="101"/>
        <v>4100</v>
      </c>
      <c r="J380" s="97" t="s">
        <v>343</v>
      </c>
      <c r="L380" s="210"/>
    </row>
    <row r="381" spans="1:13" s="203" customFormat="1" ht="21" customHeight="1">
      <c r="A381" s="442"/>
      <c r="B381" s="501" t="s">
        <v>305</v>
      </c>
      <c r="C381" s="507">
        <v>6</v>
      </c>
      <c r="D381" s="502" t="s">
        <v>111</v>
      </c>
      <c r="E381" s="503">
        <v>776.25</v>
      </c>
      <c r="F381" s="504">
        <f t="shared" si="99"/>
        <v>4657.5</v>
      </c>
      <c r="G381" s="503">
        <v>200</v>
      </c>
      <c r="H381" s="504">
        <f t="shared" si="100"/>
        <v>1200</v>
      </c>
      <c r="I381" s="506">
        <f t="shared" si="101"/>
        <v>5857.5</v>
      </c>
      <c r="J381" s="97" t="s">
        <v>343</v>
      </c>
      <c r="L381" s="210"/>
    </row>
    <row r="382" spans="1:13" s="203" customFormat="1" ht="21" customHeight="1">
      <c r="A382" s="442"/>
      <c r="B382" s="501" t="s">
        <v>306</v>
      </c>
      <c r="C382" s="507">
        <v>170</v>
      </c>
      <c r="D382" s="508" t="s">
        <v>176</v>
      </c>
      <c r="E382" s="503">
        <v>165</v>
      </c>
      <c r="F382" s="504">
        <f t="shared" si="99"/>
        <v>28050</v>
      </c>
      <c r="G382" s="503">
        <v>40</v>
      </c>
      <c r="H382" s="504">
        <f t="shared" si="100"/>
        <v>6800</v>
      </c>
      <c r="I382" s="506">
        <f t="shared" si="101"/>
        <v>34850</v>
      </c>
      <c r="J382" s="97" t="s">
        <v>375</v>
      </c>
      <c r="L382" s="210"/>
    </row>
    <row r="383" spans="1:13" s="203" customFormat="1" ht="21" customHeight="1">
      <c r="A383" s="442"/>
      <c r="B383" s="501" t="s">
        <v>307</v>
      </c>
      <c r="C383" s="507">
        <v>159</v>
      </c>
      <c r="D383" s="508" t="s">
        <v>176</v>
      </c>
      <c r="E383" s="503">
        <v>52.42</v>
      </c>
      <c r="F383" s="504">
        <f t="shared" si="99"/>
        <v>8334.7800000000007</v>
      </c>
      <c r="G383" s="503">
        <v>45</v>
      </c>
      <c r="H383" s="504">
        <f t="shared" si="100"/>
        <v>7155</v>
      </c>
      <c r="I383" s="506">
        <f t="shared" si="101"/>
        <v>15489.78</v>
      </c>
      <c r="J383" s="97" t="s">
        <v>343</v>
      </c>
      <c r="L383" s="210"/>
    </row>
    <row r="384" spans="1:13" s="203" customFormat="1" ht="21" customHeight="1">
      <c r="A384" s="442"/>
      <c r="B384" s="509" t="s">
        <v>308</v>
      </c>
      <c r="C384" s="507">
        <v>75.899999999999991</v>
      </c>
      <c r="D384" s="508" t="s">
        <v>176</v>
      </c>
      <c r="E384" s="503">
        <v>15.55</v>
      </c>
      <c r="F384" s="504">
        <f>C384*E384</f>
        <v>1180.2449999999999</v>
      </c>
      <c r="G384" s="503">
        <v>24</v>
      </c>
      <c r="H384" s="504">
        <f>C384*G384</f>
        <v>1821.6</v>
      </c>
      <c r="I384" s="506">
        <f>F384+H384</f>
        <v>3001.8449999999998</v>
      </c>
      <c r="J384" s="97" t="s">
        <v>343</v>
      </c>
      <c r="L384" s="210"/>
    </row>
    <row r="385" spans="1:14" s="203" customFormat="1" ht="21" customHeight="1">
      <c r="A385" s="442"/>
      <c r="B385" s="445" t="s">
        <v>357</v>
      </c>
      <c r="C385" s="438">
        <v>1</v>
      </c>
      <c r="D385" s="439" t="s">
        <v>97</v>
      </c>
      <c r="E385" s="300">
        <f>SUM(F379:F384)*0.15</f>
        <v>8554.1287499999999</v>
      </c>
      <c r="F385" s="229">
        <f>ROUND(E385*C385,2)</f>
        <v>8554.1299999999992</v>
      </c>
      <c r="G385" s="252"/>
      <c r="H385" s="229">
        <f>ROUND(G385*C385,2)</f>
        <v>0</v>
      </c>
      <c r="I385" s="230">
        <f>+F385+H385</f>
        <v>8554.1299999999992</v>
      </c>
      <c r="J385" s="97"/>
      <c r="L385" s="210"/>
    </row>
    <row r="386" spans="1:14" s="203" customFormat="1" ht="21" customHeight="1">
      <c r="A386" s="442"/>
      <c r="B386" s="444"/>
      <c r="C386" s="295"/>
      <c r="D386" s="439"/>
      <c r="E386" s="300"/>
      <c r="F386" s="510"/>
      <c r="G386" s="300"/>
      <c r="H386" s="510"/>
      <c r="I386" s="511"/>
      <c r="J386" s="89"/>
      <c r="L386" s="210"/>
    </row>
    <row r="387" spans="1:14" s="203" customFormat="1" ht="21" customHeight="1" thickBot="1">
      <c r="A387" s="240"/>
      <c r="B387" s="427" t="str">
        <f>"รวมราคา"&amp;B295</f>
        <v>รวมราคาหมวดงานระบบไฟฟ้า</v>
      </c>
      <c r="C387" s="321"/>
      <c r="D387" s="240"/>
      <c r="E387" s="241"/>
      <c r="F387" s="323">
        <f>SUM(F295:F386)</f>
        <v>1921762.4540000001</v>
      </c>
      <c r="G387" s="322"/>
      <c r="H387" s="323">
        <f>SUM(H295:H386)</f>
        <v>229710.00000000003</v>
      </c>
      <c r="I387" s="323">
        <f>SUM(I295:I386)</f>
        <v>2151472.4540000004</v>
      </c>
      <c r="J387" s="99"/>
      <c r="L387" s="210"/>
    </row>
    <row r="388" spans="1:14" s="303" customFormat="1" ht="21" customHeight="1" thickTop="1">
      <c r="A388" s="512"/>
      <c r="B388" s="513" t="s">
        <v>339</v>
      </c>
      <c r="C388" s="306"/>
      <c r="D388" s="474"/>
      <c r="E388" s="493"/>
      <c r="F388" s="493"/>
      <c r="G388" s="493"/>
      <c r="H388" s="493"/>
      <c r="I388" s="493"/>
      <c r="J388" s="109"/>
      <c r="M388" s="304"/>
    </row>
    <row r="389" spans="1:14" s="303" customFormat="1" ht="21" customHeight="1">
      <c r="A389" s="490"/>
      <c r="B389" s="491" t="s">
        <v>352</v>
      </c>
      <c r="C389" s="306">
        <v>1</v>
      </c>
      <c r="D389" s="479" t="s">
        <v>98</v>
      </c>
      <c r="E389" s="514">
        <v>12150</v>
      </c>
      <c r="F389" s="493">
        <f t="shared" ref="F389:F390" si="102">E389*C389</f>
        <v>12150</v>
      </c>
      <c r="G389" s="494"/>
      <c r="H389" s="494">
        <f t="shared" ref="H389:H390" si="103">G389*C389</f>
        <v>0</v>
      </c>
      <c r="I389" s="493">
        <f t="shared" ref="I389" si="104">F389+H389</f>
        <v>12150</v>
      </c>
      <c r="J389" s="110"/>
      <c r="M389" s="304"/>
      <c r="N389" s="304"/>
    </row>
    <row r="390" spans="1:14" s="303" customFormat="1" ht="21" customHeight="1">
      <c r="A390" s="490"/>
      <c r="B390" s="491" t="s">
        <v>340</v>
      </c>
      <c r="C390" s="306">
        <v>4</v>
      </c>
      <c r="D390" s="479" t="s">
        <v>98</v>
      </c>
      <c r="E390" s="514">
        <v>3738</v>
      </c>
      <c r="F390" s="493">
        <f t="shared" si="102"/>
        <v>14952</v>
      </c>
      <c r="G390" s="494"/>
      <c r="H390" s="494">
        <f t="shared" si="103"/>
        <v>0</v>
      </c>
      <c r="I390" s="493">
        <f>F390+H390</f>
        <v>14952</v>
      </c>
      <c r="J390" s="110"/>
      <c r="M390" s="304"/>
      <c r="N390" s="304"/>
    </row>
    <row r="391" spans="1:14" s="303" customFormat="1" ht="21" customHeight="1">
      <c r="A391" s="490"/>
      <c r="B391" s="513" t="s">
        <v>455</v>
      </c>
      <c r="C391" s="305"/>
      <c r="D391" s="479"/>
      <c r="E391" s="494"/>
      <c r="F391" s="493"/>
      <c r="G391" s="494"/>
      <c r="H391" s="494"/>
      <c r="I391" s="493"/>
      <c r="J391" s="110"/>
      <c r="M391" s="304"/>
    </row>
    <row r="392" spans="1:14" s="303" customFormat="1" ht="21" customHeight="1">
      <c r="A392" s="490"/>
      <c r="B392" s="515" t="s">
        <v>377</v>
      </c>
      <c r="C392" s="305">
        <v>2</v>
      </c>
      <c r="D392" s="479" t="s">
        <v>98</v>
      </c>
      <c r="E392" s="494">
        <v>26075</v>
      </c>
      <c r="F392" s="493">
        <f t="shared" ref="F392:F399" si="105">E392*C392</f>
        <v>52150</v>
      </c>
      <c r="G392" s="494"/>
      <c r="H392" s="494">
        <f t="shared" ref="H392:H399" si="106">G392*C392</f>
        <v>0</v>
      </c>
      <c r="I392" s="493">
        <f t="shared" ref="I392" si="107">F392+H392</f>
        <v>52150</v>
      </c>
      <c r="J392" s="110" t="s">
        <v>378</v>
      </c>
      <c r="M392" s="304"/>
      <c r="N392" s="304"/>
    </row>
    <row r="393" spans="1:14" s="303" customFormat="1" ht="21" customHeight="1">
      <c r="A393" s="490"/>
      <c r="B393" s="516" t="s">
        <v>445</v>
      </c>
      <c r="C393" s="302"/>
      <c r="D393" s="479"/>
      <c r="E393" s="514"/>
      <c r="F393" s="493">
        <f t="shared" si="105"/>
        <v>0</v>
      </c>
      <c r="G393" s="494"/>
      <c r="H393" s="494">
        <f t="shared" si="106"/>
        <v>0</v>
      </c>
      <c r="I393" s="493">
        <f>F393+H393</f>
        <v>0</v>
      </c>
      <c r="J393" s="110"/>
      <c r="M393" s="304"/>
      <c r="N393" s="304"/>
    </row>
    <row r="394" spans="1:14" s="303" customFormat="1" ht="63" customHeight="1">
      <c r="A394" s="490">
        <v>1</v>
      </c>
      <c r="B394" s="517" t="s">
        <v>461</v>
      </c>
      <c r="C394" s="306">
        <v>1</v>
      </c>
      <c r="D394" s="479" t="s">
        <v>95</v>
      </c>
      <c r="E394" s="514">
        <v>48488</v>
      </c>
      <c r="F394" s="493">
        <f t="shared" ref="F394:F395" si="108">E394*C394</f>
        <v>48488</v>
      </c>
      <c r="G394" s="494"/>
      <c r="H394" s="494">
        <f t="shared" ref="H394:H395" si="109">G394*C394</f>
        <v>0</v>
      </c>
      <c r="I394" s="493">
        <f>F394+H394</f>
        <v>48488</v>
      </c>
      <c r="J394" s="302"/>
      <c r="M394" s="304"/>
      <c r="N394" s="304"/>
    </row>
    <row r="395" spans="1:14" s="303" customFormat="1" ht="63" customHeight="1">
      <c r="A395" s="490">
        <v>2</v>
      </c>
      <c r="B395" s="517" t="s">
        <v>462</v>
      </c>
      <c r="C395" s="305">
        <v>15</v>
      </c>
      <c r="D395" s="479" t="s">
        <v>95</v>
      </c>
      <c r="E395" s="494">
        <v>18908</v>
      </c>
      <c r="F395" s="493">
        <f t="shared" si="108"/>
        <v>283620</v>
      </c>
      <c r="G395" s="494"/>
      <c r="H395" s="494">
        <f t="shared" si="109"/>
        <v>0</v>
      </c>
      <c r="I395" s="493">
        <f>F395+H395</f>
        <v>283620</v>
      </c>
      <c r="J395" s="302"/>
      <c r="M395" s="304"/>
    </row>
    <row r="396" spans="1:14" s="303" customFormat="1" ht="63" customHeight="1">
      <c r="A396" s="490">
        <v>3</v>
      </c>
      <c r="B396" s="517" t="s">
        <v>463</v>
      </c>
      <c r="C396" s="305">
        <v>2</v>
      </c>
      <c r="D396" s="479" t="s">
        <v>95</v>
      </c>
      <c r="E396" s="494">
        <v>39556</v>
      </c>
      <c r="F396" s="493">
        <f t="shared" ref="F396" si="110">E396*C396</f>
        <v>79112</v>
      </c>
      <c r="G396" s="494"/>
      <c r="H396" s="494">
        <f t="shared" ref="H396" si="111">G396*C396</f>
        <v>0</v>
      </c>
      <c r="I396" s="493">
        <f t="shared" ref="I396" si="112">F396+H396</f>
        <v>79112</v>
      </c>
      <c r="J396" s="302"/>
      <c r="M396" s="304"/>
      <c r="N396" s="304"/>
    </row>
    <row r="397" spans="1:14" s="524" customFormat="1" ht="42" customHeight="1">
      <c r="A397" s="518">
        <v>4</v>
      </c>
      <c r="B397" s="517" t="s">
        <v>465</v>
      </c>
      <c r="C397" s="519">
        <v>5</v>
      </c>
      <c r="D397" s="520" t="s">
        <v>95</v>
      </c>
      <c r="E397" s="521">
        <v>22968</v>
      </c>
      <c r="F397" s="522">
        <f t="shared" ref="F397" si="113">E397*C397</f>
        <v>114840</v>
      </c>
      <c r="G397" s="523"/>
      <c r="H397" s="523">
        <f t="shared" ref="H397" si="114">G397*C397</f>
        <v>0</v>
      </c>
      <c r="I397" s="522">
        <f>F397+H397</f>
        <v>114840</v>
      </c>
      <c r="J397" s="519"/>
      <c r="M397" s="525"/>
      <c r="N397" s="525"/>
    </row>
    <row r="398" spans="1:14" s="524" customFormat="1" ht="42" customHeight="1">
      <c r="A398" s="518">
        <v>5</v>
      </c>
      <c r="B398" s="517" t="s">
        <v>464</v>
      </c>
      <c r="C398" s="526">
        <v>5</v>
      </c>
      <c r="D398" s="520" t="s">
        <v>95</v>
      </c>
      <c r="E398" s="521">
        <v>12064</v>
      </c>
      <c r="F398" s="522">
        <f t="shared" si="105"/>
        <v>60320</v>
      </c>
      <c r="G398" s="523"/>
      <c r="H398" s="523">
        <f t="shared" si="106"/>
        <v>0</v>
      </c>
      <c r="I398" s="522">
        <f>F398+H398</f>
        <v>60320</v>
      </c>
      <c r="J398" s="519"/>
      <c r="M398" s="525"/>
      <c r="N398" s="525"/>
    </row>
    <row r="399" spans="1:14" s="303" customFormat="1" ht="21" customHeight="1">
      <c r="A399" s="490">
        <v>6</v>
      </c>
      <c r="B399" s="527" t="s">
        <v>466</v>
      </c>
      <c r="C399" s="305">
        <v>1</v>
      </c>
      <c r="D399" s="479" t="s">
        <v>95</v>
      </c>
      <c r="E399" s="494">
        <v>10904</v>
      </c>
      <c r="F399" s="493">
        <f t="shared" si="105"/>
        <v>10904</v>
      </c>
      <c r="G399" s="494"/>
      <c r="H399" s="494">
        <f t="shared" si="106"/>
        <v>0</v>
      </c>
      <c r="I399" s="493">
        <f>F399+H399</f>
        <v>10904</v>
      </c>
      <c r="J399" s="302"/>
      <c r="M399" s="304"/>
    </row>
    <row r="400" spans="1:14" s="303" customFormat="1" ht="21" customHeight="1">
      <c r="A400" s="490">
        <v>7</v>
      </c>
      <c r="B400" s="491" t="s">
        <v>467</v>
      </c>
      <c r="C400" s="305">
        <v>1</v>
      </c>
      <c r="D400" s="479" t="s">
        <v>95</v>
      </c>
      <c r="E400" s="494">
        <v>21112</v>
      </c>
      <c r="F400" s="493">
        <f t="shared" ref="F400:F403" si="115">E400*C400</f>
        <v>21112</v>
      </c>
      <c r="G400" s="494"/>
      <c r="H400" s="494">
        <f t="shared" ref="H400:H403" si="116">G400*C400</f>
        <v>0</v>
      </c>
      <c r="I400" s="493">
        <f t="shared" ref="I400" si="117">F400+H400</f>
        <v>21112</v>
      </c>
      <c r="J400" s="302"/>
      <c r="M400" s="304"/>
      <c r="N400" s="304"/>
    </row>
    <row r="401" spans="1:14" s="303" customFormat="1" ht="21" customHeight="1">
      <c r="A401" s="490">
        <v>8</v>
      </c>
      <c r="B401" s="491" t="s">
        <v>468</v>
      </c>
      <c r="C401" s="302">
        <v>2</v>
      </c>
      <c r="D401" s="479" t="s">
        <v>95</v>
      </c>
      <c r="E401" s="514">
        <v>14314.4</v>
      </c>
      <c r="F401" s="493">
        <f t="shared" si="115"/>
        <v>28628.799999999999</v>
      </c>
      <c r="G401" s="494"/>
      <c r="H401" s="494">
        <f t="shared" si="116"/>
        <v>0</v>
      </c>
      <c r="I401" s="493">
        <f>F401+H401</f>
        <v>28628.799999999999</v>
      </c>
      <c r="J401" s="302"/>
      <c r="M401" s="304"/>
      <c r="N401" s="304"/>
    </row>
    <row r="402" spans="1:14" s="303" customFormat="1" ht="42" customHeight="1">
      <c r="A402" s="490">
        <v>9</v>
      </c>
      <c r="B402" s="517" t="s">
        <v>469</v>
      </c>
      <c r="C402" s="306">
        <v>2</v>
      </c>
      <c r="D402" s="479" t="s">
        <v>95</v>
      </c>
      <c r="E402" s="514">
        <v>12560.75</v>
      </c>
      <c r="F402" s="493">
        <f t="shared" si="115"/>
        <v>25121.5</v>
      </c>
      <c r="G402" s="494"/>
      <c r="H402" s="494">
        <f t="shared" si="116"/>
        <v>0</v>
      </c>
      <c r="I402" s="493">
        <f>F402+H402</f>
        <v>25121.5</v>
      </c>
      <c r="J402" s="302"/>
      <c r="M402" s="304"/>
      <c r="N402" s="304"/>
    </row>
    <row r="403" spans="1:14" s="303" customFormat="1" ht="42" customHeight="1">
      <c r="A403" s="490">
        <v>10</v>
      </c>
      <c r="B403" s="528" t="s">
        <v>470</v>
      </c>
      <c r="C403" s="305">
        <v>15</v>
      </c>
      <c r="D403" s="479" t="s">
        <v>95</v>
      </c>
      <c r="E403" s="494">
        <v>6028.04</v>
      </c>
      <c r="F403" s="493">
        <f t="shared" si="115"/>
        <v>90420.6</v>
      </c>
      <c r="G403" s="494"/>
      <c r="H403" s="494">
        <f t="shared" si="116"/>
        <v>0</v>
      </c>
      <c r="I403" s="493">
        <f>F403+H403</f>
        <v>90420.6</v>
      </c>
      <c r="J403" s="302"/>
      <c r="M403" s="304"/>
    </row>
    <row r="404" spans="1:14" s="303" customFormat="1" ht="42" customHeight="1">
      <c r="A404" s="490">
        <v>11</v>
      </c>
      <c r="B404" s="517" t="s">
        <v>471</v>
      </c>
      <c r="C404" s="305">
        <v>10</v>
      </c>
      <c r="D404" s="479" t="s">
        <v>95</v>
      </c>
      <c r="E404" s="494">
        <v>4252.34</v>
      </c>
      <c r="F404" s="493">
        <f t="shared" ref="F404" si="118">E404*C404</f>
        <v>42523.4</v>
      </c>
      <c r="G404" s="494"/>
      <c r="H404" s="494">
        <f t="shared" ref="H404" si="119">G404*C404</f>
        <v>0</v>
      </c>
      <c r="I404" s="493">
        <f t="shared" ref="I404" si="120">F404+H404</f>
        <v>42523.4</v>
      </c>
      <c r="J404" s="302"/>
      <c r="M404" s="304"/>
      <c r="N404" s="304"/>
    </row>
    <row r="405" spans="1:14" s="304" customFormat="1" ht="21" customHeight="1" thickBot="1">
      <c r="A405" s="529"/>
      <c r="C405" s="530"/>
      <c r="D405" s="531"/>
      <c r="E405" s="532"/>
      <c r="F405" s="532"/>
      <c r="G405" s="532"/>
      <c r="H405" s="532"/>
      <c r="I405" s="532"/>
      <c r="J405" s="111"/>
    </row>
    <row r="406" spans="1:14" s="304" customFormat="1" ht="21" customHeight="1" thickBot="1">
      <c r="A406" s="533"/>
      <c r="B406" s="534" t="s">
        <v>341</v>
      </c>
      <c r="C406" s="535"/>
      <c r="D406" s="535"/>
      <c r="E406" s="536"/>
      <c r="F406" s="536">
        <f>SUM(F389:F405)</f>
        <v>884342.3</v>
      </c>
      <c r="G406" s="536"/>
      <c r="H406" s="536">
        <f>SUM(H388:H405)</f>
        <v>0</v>
      </c>
      <c r="I406" s="537">
        <f>SUM(I389:I405)</f>
        <v>884342.3</v>
      </c>
      <c r="J406" s="112"/>
    </row>
    <row r="407" spans="1:14" ht="21" customHeight="1">
      <c r="A407" s="113"/>
      <c r="C407" s="538"/>
      <c r="E407" s="113"/>
      <c r="F407" s="113"/>
      <c r="G407" s="113"/>
      <c r="H407" s="113"/>
      <c r="I407" s="113"/>
    </row>
    <row r="408" spans="1:14" ht="21" customHeight="1">
      <c r="A408" s="573" t="s">
        <v>108</v>
      </c>
      <c r="B408" s="573"/>
      <c r="C408" s="573"/>
      <c r="D408" s="573"/>
    </row>
    <row r="409" spans="1:14" ht="21" customHeight="1">
      <c r="A409" s="210" t="s">
        <v>117</v>
      </c>
      <c r="C409" s="539"/>
    </row>
    <row r="410" spans="1:14" ht="21" customHeight="1">
      <c r="A410" s="210" t="s">
        <v>109</v>
      </c>
      <c r="C410" s="539"/>
    </row>
    <row r="411" spans="1:14" ht="21" customHeight="1">
      <c r="A411" s="210" t="s">
        <v>115</v>
      </c>
      <c r="C411" s="539"/>
    </row>
    <row r="412" spans="1:14" ht="21" customHeight="1">
      <c r="A412" s="210" t="s">
        <v>118</v>
      </c>
      <c r="C412" s="539"/>
    </row>
    <row r="413" spans="1:14" ht="21" customHeight="1">
      <c r="A413" s="210" t="s">
        <v>119</v>
      </c>
      <c r="C413" s="539"/>
    </row>
    <row r="414" spans="1:14" ht="21" customHeight="1">
      <c r="A414" s="210" t="s">
        <v>114</v>
      </c>
      <c r="C414" s="539"/>
    </row>
    <row r="415" spans="1:14" ht="21" customHeight="1">
      <c r="A415" s="210" t="s">
        <v>110</v>
      </c>
      <c r="C415" s="539"/>
    </row>
    <row r="419" spans="2:2" ht="21" customHeight="1">
      <c r="B419" s="540"/>
    </row>
  </sheetData>
  <mergeCells count="9">
    <mergeCell ref="A408:D408"/>
    <mergeCell ref="A1:J1"/>
    <mergeCell ref="A8:A9"/>
    <mergeCell ref="B8:B9"/>
    <mergeCell ref="C8:C9"/>
    <mergeCell ref="D8:D9"/>
    <mergeCell ref="E8:F8"/>
    <mergeCell ref="G8:H8"/>
    <mergeCell ref="J8:J9"/>
  </mergeCells>
  <conditionalFormatting sqref="B29:B30 B32:B42 B58 B70:B71 B78:B84 B88:B93 B100:B104">
    <cfRule type="cellIs" dxfId="6" priority="8" operator="equal">
      <formula>"เหล็กเส้น"</formula>
    </cfRule>
  </conditionalFormatting>
  <conditionalFormatting sqref="B48">
    <cfRule type="cellIs" dxfId="5" priority="6" operator="equal">
      <formula>"เหล็กเส้น"</formula>
    </cfRule>
  </conditionalFormatting>
  <conditionalFormatting sqref="B50:B52">
    <cfRule type="cellIs" dxfId="4" priority="7" operator="equal">
      <formula>"เหล็กเส้น"</formula>
    </cfRule>
  </conditionalFormatting>
  <conditionalFormatting sqref="B60:B68">
    <cfRule type="cellIs" dxfId="3" priority="5" operator="equal">
      <formula>"เหล็กเส้น"</formula>
    </cfRule>
  </conditionalFormatting>
  <conditionalFormatting sqref="B73:B74">
    <cfRule type="cellIs" dxfId="2" priority="1" operator="equal">
      <formula>"เหล็กเส้น"</formula>
    </cfRule>
  </conditionalFormatting>
  <conditionalFormatting sqref="B76">
    <cfRule type="cellIs" dxfId="1" priority="4" operator="equal">
      <formula>"เหล็กเส้น"</formula>
    </cfRule>
  </conditionalFormatting>
  <conditionalFormatting sqref="B86">
    <cfRule type="cellIs" dxfId="0" priority="2" operator="equal">
      <formula>"เหล็กเส้น"</formula>
    </cfRule>
  </conditionalFormatting>
  <printOptions horizontalCentered="1"/>
  <pageMargins left="0.47244094488188981" right="0.47244094488188981" top="0.43307086614173229" bottom="0.19685039370078741" header="0.27559055118110237" footer="0.11811023622047245"/>
  <pageSetup paperSize="9" scale="80" orientation="landscape" r:id="rId1"/>
  <headerFooter>
    <oddHeader>&amp;R&amp;"TH SarabunPSK,Bold"&amp;14แบบ ปร.4  แผ่นที่ 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showGridLines="0" view="pageBreakPreview" topLeftCell="A14" zoomScaleNormal="100" zoomScaleSheetLayoutView="100" workbookViewId="0">
      <selection activeCell="H20" sqref="H20"/>
    </sheetView>
  </sheetViews>
  <sheetFormatPr defaultColWidth="2.1640625" defaultRowHeight="24" zeroHeight="1"/>
  <cols>
    <col min="1" max="1" width="10.83203125" style="154" customWidth="1"/>
    <col min="2" max="2" width="40.83203125" style="154" customWidth="1"/>
    <col min="3" max="3" width="19.83203125" style="154" customWidth="1"/>
    <col min="4" max="4" width="11.5" style="154" customWidth="1"/>
    <col min="5" max="5" width="20.5" style="154" customWidth="1"/>
    <col min="6" max="6" width="12" style="154" customWidth="1"/>
    <col min="7" max="16384" width="2.1640625" style="154"/>
  </cols>
  <sheetData>
    <row r="1" spans="1:6" s="152" customFormat="1" ht="21" customHeight="1">
      <c r="E1" s="153" t="s">
        <v>47</v>
      </c>
      <c r="F1" s="153"/>
    </row>
    <row r="2" spans="1:6" ht="21" customHeight="1">
      <c r="A2" s="582" t="s">
        <v>84</v>
      </c>
      <c r="B2" s="582"/>
      <c r="C2" s="582"/>
      <c r="D2" s="582"/>
      <c r="E2" s="582"/>
      <c r="F2" s="582"/>
    </row>
    <row r="3" spans="1:6" ht="21" customHeight="1">
      <c r="A3" s="155" t="str">
        <f>ชื่อโครงการ!A4</f>
        <v>กลุ่มงาน : งานก่อสร้าง</v>
      </c>
      <c r="B3" s="155"/>
      <c r="C3" s="155"/>
      <c r="D3" s="155"/>
      <c r="E3" s="155"/>
      <c r="F3" s="155"/>
    </row>
    <row r="4" spans="1:6" ht="21" customHeight="1">
      <c r="A4" s="156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157"/>
      <c r="C4" s="157"/>
      <c r="D4" s="157"/>
      <c r="E4" s="157"/>
      <c r="F4" s="157"/>
    </row>
    <row r="5" spans="1:6" ht="21" customHeight="1">
      <c r="A5" s="1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157"/>
      <c r="C5" s="157"/>
      <c r="D5" s="157"/>
      <c r="E5" s="157"/>
      <c r="F5" s="157"/>
    </row>
    <row r="6" spans="1:6" ht="21" customHeight="1">
      <c r="A6" s="157" t="str">
        <f>[2]ชื่อโครงการ!B5</f>
        <v>แบบเลขที่</v>
      </c>
      <c r="B6" s="157"/>
      <c r="C6" s="157"/>
      <c r="D6" s="157"/>
      <c r="E6" s="157"/>
      <c r="F6" s="157"/>
    </row>
    <row r="7" spans="1:6" ht="21" customHeight="1">
      <c r="A7" s="15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157"/>
      <c r="C7" s="157"/>
      <c r="D7" s="157"/>
      <c r="E7" s="157"/>
      <c r="F7" s="157"/>
    </row>
    <row r="8" spans="1:6" ht="21" customHeight="1">
      <c r="A8" s="156" t="s">
        <v>472</v>
      </c>
      <c r="B8" s="157"/>
      <c r="C8" s="157"/>
      <c r="D8" s="157"/>
      <c r="E8" s="157"/>
      <c r="F8" s="157"/>
    </row>
    <row r="9" spans="1:6" ht="21" customHeight="1">
      <c r="A9" s="156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9" s="157"/>
      <c r="C9" s="157"/>
      <c r="D9" s="157"/>
      <c r="E9" s="157"/>
      <c r="F9" s="157"/>
    </row>
    <row r="10" spans="1:6" ht="21" customHeight="1" thickBot="1">
      <c r="A10" s="158" t="s">
        <v>40</v>
      </c>
      <c r="B10" s="158" t="s">
        <v>40</v>
      </c>
      <c r="C10" s="159" t="s">
        <v>40</v>
      </c>
      <c r="D10" s="158" t="s">
        <v>40</v>
      </c>
      <c r="E10" s="159" t="s">
        <v>40</v>
      </c>
      <c r="F10" s="158" t="s">
        <v>45</v>
      </c>
    </row>
    <row r="11" spans="1:6" ht="21" customHeight="1" thickTop="1">
      <c r="A11" s="583" t="s">
        <v>33</v>
      </c>
      <c r="B11" s="583" t="s">
        <v>34</v>
      </c>
      <c r="C11" s="583" t="s">
        <v>53</v>
      </c>
      <c r="D11" s="583" t="s">
        <v>9</v>
      </c>
      <c r="E11" s="583" t="s">
        <v>8</v>
      </c>
      <c r="F11" s="583" t="s">
        <v>13</v>
      </c>
    </row>
    <row r="12" spans="1:6" ht="21" customHeight="1" thickBot="1">
      <c r="A12" s="588"/>
      <c r="B12" s="588"/>
      <c r="C12" s="584"/>
      <c r="D12" s="588"/>
      <c r="E12" s="584"/>
      <c r="F12" s="588"/>
    </row>
    <row r="13" spans="1:6" ht="21" customHeight="1" thickTop="1">
      <c r="A13" s="181">
        <v>1</v>
      </c>
      <c r="B13" s="182" t="s">
        <v>316</v>
      </c>
      <c r="C13" s="183"/>
      <c r="D13" s="184"/>
      <c r="E13" s="185"/>
      <c r="F13" s="165"/>
    </row>
    <row r="14" spans="1:6" ht="21" customHeight="1">
      <c r="A14" s="166"/>
      <c r="B14" s="186" t="s">
        <v>318</v>
      </c>
      <c r="C14" s="163">
        <f>ปร.4!I12</f>
        <v>20000</v>
      </c>
      <c r="D14" s="184">
        <v>1.2606999999999999</v>
      </c>
      <c r="E14" s="185">
        <f>C14*D14</f>
        <v>25214</v>
      </c>
      <c r="F14" s="165"/>
    </row>
    <row r="15" spans="1:6" ht="21" customHeight="1">
      <c r="A15" s="162"/>
      <c r="B15" s="186" t="str">
        <f>ปร.4!B13</f>
        <v>หมวดงานวิศวกรรมโครงสร้าง</v>
      </c>
      <c r="C15" s="163">
        <f>ปร.4!I13</f>
        <v>5989851.3599999994</v>
      </c>
      <c r="D15" s="184">
        <v>1.2606999999999999</v>
      </c>
      <c r="E15" s="185">
        <f t="shared" ref="E15:E18" si="0">C15*D15</f>
        <v>7551405.6095519988</v>
      </c>
      <c r="F15" s="165" t="s">
        <v>40</v>
      </c>
    </row>
    <row r="16" spans="1:6" ht="21" customHeight="1">
      <c r="A16" s="162"/>
      <c r="B16" s="186" t="str">
        <f>ปร.4!B14</f>
        <v>หมวดงานสถาปัตยกรรม</v>
      </c>
      <c r="C16" s="163">
        <f>ปร.4!I14</f>
        <v>6515644.5</v>
      </c>
      <c r="D16" s="184">
        <v>1.2606999999999999</v>
      </c>
      <c r="E16" s="185">
        <f t="shared" si="0"/>
        <v>8214273.0211499995</v>
      </c>
      <c r="F16" s="165"/>
    </row>
    <row r="17" spans="1:24" ht="21" customHeight="1">
      <c r="A17" s="166"/>
      <c r="B17" s="186" t="str">
        <f>ปร.4!B15</f>
        <v>หมวดงานระบบสุขาภิบาล</v>
      </c>
      <c r="C17" s="163">
        <f>ปร.4!I15</f>
        <v>597711.79</v>
      </c>
      <c r="D17" s="184">
        <v>1.2606999999999999</v>
      </c>
      <c r="E17" s="185">
        <f t="shared" si="0"/>
        <v>753535.25365299999</v>
      </c>
      <c r="F17" s="165"/>
    </row>
    <row r="18" spans="1:24" ht="21" customHeight="1">
      <c r="A18" s="166"/>
      <c r="B18" s="186" t="str">
        <f>ปร.4!B16</f>
        <v>หมวดงานระบบไฟฟ้า</v>
      </c>
      <c r="C18" s="163">
        <f>ปร.4!I387</f>
        <v>2151472.4540000004</v>
      </c>
      <c r="D18" s="184">
        <v>1.2606999999999999</v>
      </c>
      <c r="E18" s="185">
        <f t="shared" si="0"/>
        <v>2712361.3227578001</v>
      </c>
      <c r="F18" s="165"/>
    </row>
    <row r="19" spans="1:24" ht="21" customHeight="1">
      <c r="A19" s="166"/>
      <c r="B19" s="186"/>
      <c r="C19" s="165"/>
      <c r="D19" s="184"/>
      <c r="E19" s="185"/>
      <c r="F19" s="165"/>
    </row>
    <row r="20" spans="1:24" ht="21" customHeight="1">
      <c r="A20" s="166"/>
      <c r="B20" s="186"/>
      <c r="C20" s="165"/>
      <c r="D20" s="184"/>
      <c r="E20" s="185"/>
      <c r="F20" s="165"/>
    </row>
    <row r="21" spans="1:24" ht="21" customHeight="1">
      <c r="A21" s="166"/>
      <c r="B21" s="187" t="s">
        <v>56</v>
      </c>
      <c r="C21" s="188">
        <f>SUM(C14:C20)</f>
        <v>15274680.103999998</v>
      </c>
      <c r="D21" s="184">
        <v>1.2606999999999999</v>
      </c>
      <c r="E21" s="189">
        <f>E27</f>
        <v>19256789.207112797</v>
      </c>
      <c r="F21" s="165"/>
    </row>
    <row r="22" spans="1:24" ht="21" customHeight="1">
      <c r="A22" s="165"/>
      <c r="B22" s="190" t="s">
        <v>83</v>
      </c>
      <c r="C22" s="165"/>
      <c r="D22" s="165"/>
      <c r="E22" s="191"/>
      <c r="F22" s="165"/>
    </row>
    <row r="23" spans="1:24" ht="21" customHeight="1">
      <c r="A23" s="165"/>
      <c r="B23" s="192" t="s">
        <v>101</v>
      </c>
      <c r="C23" s="199"/>
      <c r="D23" s="165"/>
      <c r="E23" s="191"/>
      <c r="F23" s="165"/>
    </row>
    <row r="24" spans="1:24" ht="21" customHeight="1">
      <c r="A24" s="165"/>
      <c r="B24" s="192" t="s">
        <v>102</v>
      </c>
      <c r="C24" s="165"/>
      <c r="D24" s="165"/>
      <c r="E24" s="191"/>
      <c r="F24" s="165"/>
      <c r="X24" s="193"/>
    </row>
    <row r="25" spans="1:24" ht="21" customHeight="1">
      <c r="A25" s="165"/>
      <c r="B25" s="194" t="s">
        <v>127</v>
      </c>
      <c r="C25" s="155"/>
      <c r="D25" s="165"/>
      <c r="E25" s="191"/>
      <c r="F25" s="165"/>
    </row>
    <row r="26" spans="1:24" ht="21" customHeight="1" thickBot="1">
      <c r="A26" s="172"/>
      <c r="B26" s="195" t="s">
        <v>103</v>
      </c>
      <c r="C26" s="196"/>
      <c r="D26" s="172"/>
      <c r="E26" s="197"/>
      <c r="F26" s="172"/>
    </row>
    <row r="27" spans="1:24" ht="21" customHeight="1" thickTop="1" thickBot="1">
      <c r="A27" s="175"/>
      <c r="B27" s="175"/>
      <c r="C27" s="585" t="s">
        <v>48</v>
      </c>
      <c r="D27" s="586"/>
      <c r="E27" s="198">
        <f>SUM(E14:E19)</f>
        <v>19256789.207112797</v>
      </c>
      <c r="F27" s="175"/>
    </row>
    <row r="28" spans="1:24" s="179" customFormat="1" ht="21" customHeight="1" thickTop="1">
      <c r="A28" s="589"/>
      <c r="B28" s="589"/>
      <c r="C28" s="177"/>
      <c r="D28" s="177"/>
      <c r="E28" s="178"/>
    </row>
    <row r="29" spans="1:24" s="116" customFormat="1" ht="21" customHeight="1">
      <c r="A29" s="587" t="s">
        <v>120</v>
      </c>
      <c r="B29" s="587"/>
      <c r="C29" s="114"/>
      <c r="D29" s="114"/>
      <c r="E29" s="145"/>
    </row>
    <row r="30" spans="1:24" s="116" customFormat="1" ht="21" customHeight="1">
      <c r="A30" s="146"/>
      <c r="B30" s="147"/>
      <c r="D30" s="148"/>
      <c r="E30" s="145"/>
    </row>
    <row r="31" spans="1:24" s="116" customFormat="1" ht="21" customHeight="1">
      <c r="A31" s="148"/>
      <c r="B31" s="148" t="s">
        <v>423</v>
      </c>
      <c r="C31" s="148"/>
      <c r="D31" s="148" t="s">
        <v>423</v>
      </c>
      <c r="E31" s="148"/>
      <c r="F31" s="148"/>
    </row>
    <row r="32" spans="1:24" s="116" customFormat="1" ht="21" customHeight="1">
      <c r="A32" s="148"/>
      <c r="B32" s="148" t="s">
        <v>427</v>
      </c>
      <c r="C32" s="148"/>
      <c r="D32" s="148" t="s">
        <v>431</v>
      </c>
      <c r="E32" s="148"/>
      <c r="F32" s="148"/>
    </row>
    <row r="33" spans="1:6" s="116" customFormat="1" ht="21" customHeight="1">
      <c r="A33" s="148"/>
      <c r="B33" s="148" t="s">
        <v>424</v>
      </c>
      <c r="D33" s="148" t="s">
        <v>425</v>
      </c>
      <c r="E33" s="148"/>
      <c r="F33" s="148"/>
    </row>
    <row r="34" spans="1:6" s="116" customFormat="1" ht="21" customHeight="1">
      <c r="A34" s="149"/>
      <c r="B34" s="149"/>
      <c r="D34" s="149"/>
      <c r="E34" s="150"/>
    </row>
    <row r="35" spans="1:6" s="116" customFormat="1" ht="21" customHeight="1">
      <c r="A35" s="151"/>
      <c r="B35" s="151"/>
      <c r="D35" s="151"/>
      <c r="E35" s="145"/>
    </row>
    <row r="36" spans="1:6" s="116" customFormat="1" ht="21" customHeight="1">
      <c r="A36" s="148"/>
      <c r="B36" s="148" t="s">
        <v>423</v>
      </c>
      <c r="C36" s="148"/>
      <c r="D36" s="148" t="s">
        <v>423</v>
      </c>
      <c r="E36" s="148"/>
      <c r="F36" s="148"/>
    </row>
    <row r="37" spans="1:6" s="116" customFormat="1" ht="21" customHeight="1">
      <c r="A37" s="148"/>
      <c r="B37" s="148" t="s">
        <v>429</v>
      </c>
      <c r="C37" s="148"/>
      <c r="D37" s="148" t="s">
        <v>428</v>
      </c>
      <c r="E37" s="148"/>
      <c r="F37" s="148"/>
    </row>
    <row r="38" spans="1:6" s="116" customFormat="1" ht="21" customHeight="1">
      <c r="A38" s="148"/>
      <c r="B38" s="148" t="s">
        <v>425</v>
      </c>
      <c r="D38" s="148" t="s">
        <v>426</v>
      </c>
      <c r="E38" s="148"/>
      <c r="F38" s="148"/>
    </row>
    <row r="39" spans="1:6" s="116" customFormat="1" ht="21" customHeight="1"/>
    <row r="40" spans="1:6" s="116" customFormat="1" ht="21" customHeight="1"/>
    <row r="41" spans="1:6" ht="21" customHeight="1">
      <c r="A41" s="175"/>
      <c r="B41" s="175"/>
      <c r="C41" s="175"/>
      <c r="D41" s="175"/>
      <c r="E41" s="175"/>
      <c r="F41" s="175"/>
    </row>
    <row r="42" spans="1:6" ht="21" customHeight="1">
      <c r="A42" s="580"/>
      <c r="B42" s="580"/>
      <c r="C42" s="580"/>
      <c r="D42" s="580"/>
      <c r="E42" s="580"/>
      <c r="F42" s="580"/>
    </row>
    <row r="43" spans="1:6" ht="21" customHeight="1">
      <c r="A43" s="581"/>
      <c r="B43" s="581"/>
      <c r="C43" s="581"/>
      <c r="D43" s="581"/>
      <c r="E43" s="581"/>
      <c r="F43" s="581"/>
    </row>
    <row r="44" spans="1:6" ht="21" customHeight="1">
      <c r="A44" s="193"/>
      <c r="C44" s="175"/>
      <c r="E44" s="193"/>
      <c r="F44" s="175"/>
    </row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/>
  </sheetData>
  <mergeCells count="12">
    <mergeCell ref="A42:F42"/>
    <mergeCell ref="A43:F43"/>
    <mergeCell ref="A2:F2"/>
    <mergeCell ref="E11:E12"/>
    <mergeCell ref="C11:C12"/>
    <mergeCell ref="C27:D27"/>
    <mergeCell ref="A29:B29"/>
    <mergeCell ref="A11:A12"/>
    <mergeCell ref="B11:B12"/>
    <mergeCell ref="D11:D12"/>
    <mergeCell ref="F11:F12"/>
    <mergeCell ref="A28:B28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1:F60"/>
  <sheetViews>
    <sheetView showGridLines="0" view="pageBreakPreview" zoomScaleNormal="100" workbookViewId="0">
      <selection activeCell="XEE7" sqref="XEE7"/>
    </sheetView>
  </sheetViews>
  <sheetFormatPr defaultColWidth="0" defaultRowHeight="24" zeroHeight="1"/>
  <cols>
    <col min="1" max="1" width="9.33203125" style="154" customWidth="1"/>
    <col min="2" max="2" width="40.83203125" style="154" customWidth="1"/>
    <col min="3" max="3" width="15.6640625" style="154" customWidth="1"/>
    <col min="4" max="4" width="12.6640625" style="154" customWidth="1"/>
    <col min="5" max="5" width="29" style="154" customWidth="1"/>
    <col min="6" max="6" width="28.1640625" style="154" hidden="1" customWidth="1"/>
    <col min="7" max="16357" width="0" style="154" hidden="1"/>
    <col min="16358" max="16358" width="18.33203125" style="154" customWidth="1"/>
    <col min="16359" max="16359" width="20.83203125" style="154" customWidth="1"/>
    <col min="16360" max="16360" width="18.5" style="154" customWidth="1"/>
    <col min="16361" max="16361" width="13.33203125" style="154" customWidth="1"/>
    <col min="16362" max="16362" width="17.1640625" style="154" customWidth="1"/>
    <col min="16363" max="16363" width="18.6640625" style="154" customWidth="1"/>
    <col min="16364" max="16364" width="17" style="154" customWidth="1"/>
    <col min="16365" max="16365" width="10.5" style="154" customWidth="1"/>
    <col min="16366" max="16366" width="16.6640625" style="154" customWidth="1"/>
    <col min="16367" max="16367" width="7.33203125" style="154" customWidth="1"/>
    <col min="16368" max="16368" width="6.6640625" style="154" customWidth="1"/>
    <col min="16369" max="16369" width="10.5" style="154" customWidth="1"/>
    <col min="16370" max="16370" width="7.5" style="154" customWidth="1"/>
    <col min="16371" max="16371" width="9.1640625" style="154" customWidth="1"/>
    <col min="16372" max="16372" width="15.83203125" style="154" customWidth="1"/>
    <col min="16373" max="16373" width="8.83203125" style="154" customWidth="1"/>
    <col min="16374" max="16374" width="8" style="154" customWidth="1"/>
    <col min="16375" max="16375" width="7" style="154" customWidth="1"/>
    <col min="16376" max="16376" width="7.33203125" style="154" customWidth="1"/>
    <col min="16377" max="16377" width="7.6640625" style="154" customWidth="1"/>
    <col min="16378" max="16378" width="5.83203125" style="154" customWidth="1"/>
    <col min="16379" max="16384" width="4" style="154" customWidth="1"/>
  </cols>
  <sheetData>
    <row r="1" spans="1:6" s="152" customFormat="1" ht="25.5" customHeight="1">
      <c r="E1" s="153" t="s">
        <v>49</v>
      </c>
      <c r="F1" s="153"/>
    </row>
    <row r="2" spans="1:6">
      <c r="A2" s="582" t="s">
        <v>85</v>
      </c>
      <c r="B2" s="582"/>
      <c r="C2" s="582"/>
      <c r="D2" s="582"/>
      <c r="E2" s="582"/>
      <c r="F2" s="582"/>
    </row>
    <row r="3" spans="1:6" ht="23.25" customHeight="1">
      <c r="A3" s="594" t="str">
        <f>ชื่อโครงการ!A4</f>
        <v>กลุ่มงาน : งานก่อสร้าง</v>
      </c>
      <c r="B3" s="594"/>
      <c r="C3" s="594"/>
      <c r="D3" s="594"/>
      <c r="E3" s="594"/>
      <c r="F3" s="155"/>
    </row>
    <row r="4" spans="1:6">
      <c r="A4" s="595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595"/>
      <c r="C4" s="595"/>
      <c r="D4" s="595"/>
      <c r="E4" s="595"/>
      <c r="F4" s="157"/>
    </row>
    <row r="5" spans="1:6">
      <c r="A5" s="596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596"/>
      <c r="C5" s="596"/>
      <c r="D5" s="596"/>
      <c r="E5" s="596"/>
      <c r="F5" s="157"/>
    </row>
    <row r="6" spans="1:6">
      <c r="A6" s="595" t="s">
        <v>5</v>
      </c>
      <c r="B6" s="595"/>
      <c r="C6" s="595"/>
      <c r="D6" s="595"/>
      <c r="E6" s="595"/>
      <c r="F6" s="157"/>
    </row>
    <row r="7" spans="1:6">
      <c r="A7" s="595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595"/>
      <c r="C7" s="595"/>
      <c r="D7" s="595"/>
      <c r="E7" s="595"/>
      <c r="F7" s="157"/>
    </row>
    <row r="8" spans="1:6">
      <c r="A8" s="156" t="str">
        <f>'ปร.5(ก)'!A8</f>
        <v>แบบ  ปร. 4     ที่แนบ      มีจำนวน  17  หน้า</v>
      </c>
      <c r="B8" s="156"/>
      <c r="C8" s="156"/>
      <c r="D8" s="156"/>
      <c r="E8" s="156"/>
      <c r="F8" s="157"/>
    </row>
    <row r="9" spans="1:6">
      <c r="A9" s="595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9" s="595"/>
      <c r="C9" s="595"/>
      <c r="D9" s="595"/>
      <c r="E9" s="595"/>
      <c r="F9" s="157"/>
    </row>
    <row r="10" spans="1:6" ht="33.75" customHeight="1" thickBot="1">
      <c r="A10" s="158" t="s">
        <v>40</v>
      </c>
      <c r="B10" s="158" t="s">
        <v>40</v>
      </c>
      <c r="C10" s="159" t="s">
        <v>40</v>
      </c>
      <c r="D10" s="158" t="s">
        <v>40</v>
      </c>
      <c r="E10" s="159" t="s">
        <v>40</v>
      </c>
      <c r="F10" s="158" t="s">
        <v>45</v>
      </c>
    </row>
    <row r="11" spans="1:6" ht="24.75" thickTop="1">
      <c r="A11" s="590" t="s">
        <v>33</v>
      </c>
      <c r="B11" s="590" t="s">
        <v>34</v>
      </c>
      <c r="C11" s="590" t="s">
        <v>52</v>
      </c>
      <c r="D11" s="160" t="s">
        <v>50</v>
      </c>
      <c r="E11" s="590" t="s">
        <v>8</v>
      </c>
      <c r="F11" s="590" t="s">
        <v>13</v>
      </c>
    </row>
    <row r="12" spans="1:6" ht="24.75" thickBot="1">
      <c r="A12" s="591"/>
      <c r="B12" s="591"/>
      <c r="C12" s="597"/>
      <c r="D12" s="161" t="s">
        <v>51</v>
      </c>
      <c r="E12" s="597"/>
      <c r="F12" s="591"/>
    </row>
    <row r="13" spans="1:6" ht="24.75" thickTop="1">
      <c r="A13" s="162">
        <v>1</v>
      </c>
      <c r="B13" s="129" t="s">
        <v>317</v>
      </c>
      <c r="C13" s="163">
        <f>ปร.4!I406</f>
        <v>884342.3</v>
      </c>
      <c r="D13" s="164">
        <v>1.07</v>
      </c>
      <c r="E13" s="163">
        <f>C13*D13</f>
        <v>946246.26100000006</v>
      </c>
      <c r="F13" s="165" t="s">
        <v>40</v>
      </c>
    </row>
    <row r="14" spans="1:6">
      <c r="A14" s="162"/>
      <c r="B14" s="129"/>
      <c r="C14" s="165"/>
      <c r="D14" s="165"/>
      <c r="E14" s="163"/>
      <c r="F14" s="165"/>
    </row>
    <row r="15" spans="1:6">
      <c r="A15" s="166"/>
      <c r="B15" s="129"/>
      <c r="C15" s="165"/>
      <c r="D15" s="165"/>
      <c r="E15" s="163"/>
      <c r="F15" s="165"/>
    </row>
    <row r="16" spans="1:6">
      <c r="A16" s="166"/>
      <c r="B16" s="129"/>
      <c r="C16" s="165"/>
      <c r="D16" s="165"/>
      <c r="E16" s="163"/>
      <c r="F16" s="165"/>
    </row>
    <row r="17" spans="1:6">
      <c r="A17" s="165"/>
      <c r="B17" s="167"/>
      <c r="C17" s="165"/>
      <c r="D17" s="165"/>
      <c r="E17" s="163"/>
      <c r="F17" s="165"/>
    </row>
    <row r="18" spans="1:6">
      <c r="A18" s="165"/>
      <c r="B18" s="168"/>
      <c r="C18" s="155"/>
      <c r="D18" s="165"/>
      <c r="E18" s="163"/>
      <c r="F18" s="165"/>
    </row>
    <row r="19" spans="1:6">
      <c r="A19" s="169"/>
      <c r="B19" s="170"/>
      <c r="C19" s="171"/>
      <c r="D19" s="164"/>
      <c r="E19" s="163"/>
      <c r="F19" s="169"/>
    </row>
    <row r="20" spans="1:6" ht="21.75" customHeight="1" thickBot="1">
      <c r="A20" s="172"/>
      <c r="B20" s="173"/>
      <c r="C20" s="172"/>
      <c r="D20" s="172"/>
      <c r="E20" s="174" t="s">
        <v>40</v>
      </c>
      <c r="F20" s="172"/>
    </row>
    <row r="21" spans="1:6" ht="24.75" customHeight="1" thickTop="1" thickBot="1">
      <c r="A21" s="175"/>
      <c r="B21" s="175"/>
      <c r="C21" s="592" t="s">
        <v>48</v>
      </c>
      <c r="D21" s="593"/>
      <c r="E21" s="176">
        <f>SUM(E13:E19)</f>
        <v>946246.26100000006</v>
      </c>
      <c r="F21" s="175"/>
    </row>
    <row r="22" spans="1:6" ht="18.75" customHeight="1" thickTop="1">
      <c r="A22" s="175"/>
      <c r="B22" s="175"/>
      <c r="C22" s="175"/>
      <c r="D22" s="175"/>
      <c r="E22" s="175"/>
      <c r="F22" s="175"/>
    </row>
    <row r="23" spans="1:6" s="116" customFormat="1" ht="21" customHeight="1">
      <c r="A23" s="587" t="s">
        <v>120</v>
      </c>
      <c r="B23" s="587"/>
      <c r="C23" s="114"/>
      <c r="D23" s="114"/>
      <c r="E23" s="145"/>
    </row>
    <row r="24" spans="1:6" s="116" customFormat="1" ht="21" customHeight="1">
      <c r="A24" s="146"/>
      <c r="B24" s="147"/>
      <c r="D24" s="148"/>
      <c r="E24" s="145"/>
    </row>
    <row r="25" spans="1:6" s="116" customFormat="1" ht="21" customHeight="1">
      <c r="A25" s="148"/>
      <c r="B25" s="148" t="s">
        <v>423</v>
      </c>
      <c r="C25" s="148"/>
      <c r="D25" s="148" t="s">
        <v>423</v>
      </c>
      <c r="E25" s="148"/>
      <c r="F25" s="148"/>
    </row>
    <row r="26" spans="1:6" s="116" customFormat="1" ht="21" customHeight="1">
      <c r="A26" s="148"/>
      <c r="B26" s="148" t="s">
        <v>432</v>
      </c>
      <c r="C26" s="148"/>
      <c r="D26" s="148" t="s">
        <v>431</v>
      </c>
      <c r="E26" s="148"/>
      <c r="F26" s="148"/>
    </row>
    <row r="27" spans="1:6" s="116" customFormat="1" ht="21" customHeight="1">
      <c r="A27" s="148"/>
      <c r="B27" s="148" t="s">
        <v>424</v>
      </c>
      <c r="D27" s="148" t="s">
        <v>425</v>
      </c>
      <c r="E27" s="148"/>
      <c r="F27" s="148"/>
    </row>
    <row r="28" spans="1:6" s="116" customFormat="1" ht="21" customHeight="1">
      <c r="A28" s="149"/>
      <c r="B28" s="149"/>
      <c r="D28" s="149"/>
      <c r="E28" s="150"/>
    </row>
    <row r="29" spans="1:6" s="116" customFormat="1" ht="21" customHeight="1">
      <c r="A29" s="151"/>
      <c r="B29" s="151"/>
      <c r="D29" s="151"/>
      <c r="E29" s="145"/>
    </row>
    <row r="30" spans="1:6" s="116" customFormat="1" ht="21" customHeight="1">
      <c r="A30" s="148"/>
      <c r="B30" s="148" t="s">
        <v>423</v>
      </c>
      <c r="C30" s="148"/>
      <c r="D30" s="148" t="s">
        <v>423</v>
      </c>
      <c r="E30" s="148"/>
      <c r="F30" s="148"/>
    </row>
    <row r="31" spans="1:6" s="116" customFormat="1" ht="21" customHeight="1">
      <c r="A31" s="148"/>
      <c r="B31" s="148" t="s">
        <v>429</v>
      </c>
      <c r="C31" s="148"/>
      <c r="D31" s="148" t="s">
        <v>428</v>
      </c>
      <c r="E31" s="148"/>
      <c r="F31" s="148"/>
    </row>
    <row r="32" spans="1:6" s="116" customFormat="1" ht="21" customHeight="1">
      <c r="A32" s="148"/>
      <c r="B32" s="148" t="s">
        <v>425</v>
      </c>
      <c r="D32" s="148" t="s">
        <v>426</v>
      </c>
      <c r="E32" s="148"/>
      <c r="F32" s="148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tabSelected="1" view="pageBreakPreview" zoomScale="90" zoomScaleNormal="100" zoomScaleSheetLayoutView="90" workbookViewId="0">
      <selection activeCell="A4" sqref="A4"/>
    </sheetView>
  </sheetViews>
  <sheetFormatPr defaultColWidth="7.5" defaultRowHeight="24" zeroHeight="1"/>
  <cols>
    <col min="1" max="1" width="9.1640625" style="116" customWidth="1"/>
    <col min="2" max="2" width="59" style="116" customWidth="1"/>
    <col min="3" max="3" width="24" style="116" customWidth="1"/>
    <col min="4" max="4" width="17.5" style="116" customWidth="1"/>
    <col min="5" max="16384" width="7.5" style="116"/>
  </cols>
  <sheetData>
    <row r="1" spans="1:4" ht="21" customHeight="1">
      <c r="A1" s="114"/>
      <c r="B1" s="115" t="s">
        <v>31</v>
      </c>
      <c r="C1" s="600" t="s">
        <v>100</v>
      </c>
      <c r="D1" s="600"/>
    </row>
    <row r="2" spans="1:4" ht="21" customHeight="1">
      <c r="A2" s="601" t="s">
        <v>54</v>
      </c>
      <c r="B2" s="601"/>
      <c r="C2" s="601"/>
      <c r="D2" s="601"/>
    </row>
    <row r="3" spans="1:4" ht="21" customHeight="1">
      <c r="A3" s="117"/>
      <c r="B3" s="117"/>
      <c r="C3" s="117"/>
      <c r="D3" s="117"/>
    </row>
    <row r="4" spans="1:4" ht="21" customHeight="1">
      <c r="A4" s="118" t="str">
        <f>ชื่อโครงการ!A2</f>
        <v>ชื่อโครงการ : จ้างก่อสร้างอาคารสำนักงานวิทยาเขตร้อยเอ็ด ณ ทุ่งกุลาร้องไห้</v>
      </c>
      <c r="B4" s="119"/>
      <c r="C4" s="119"/>
      <c r="D4" s="119"/>
    </row>
    <row r="5" spans="1:4" ht="21" customHeight="1">
      <c r="A5" s="12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121"/>
      <c r="C5" s="121"/>
      <c r="D5" s="121"/>
    </row>
    <row r="6" spans="1:4" ht="21" customHeight="1">
      <c r="A6" s="121" t="s">
        <v>46</v>
      </c>
      <c r="B6" s="121"/>
      <c r="C6" s="121"/>
      <c r="D6" s="121"/>
    </row>
    <row r="7" spans="1:4" ht="21" customHeight="1">
      <c r="A7" s="121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121"/>
      <c r="C7" s="121"/>
      <c r="D7" s="121"/>
    </row>
    <row r="8" spans="1:4" ht="21" customHeight="1">
      <c r="A8" s="121" t="s">
        <v>99</v>
      </c>
      <c r="B8" s="121"/>
      <c r="C8" s="121"/>
      <c r="D8" s="121"/>
    </row>
    <row r="9" spans="1:4" ht="21" customHeight="1">
      <c r="A9" s="122" t="str">
        <f>ชื่อโครงการ!A9</f>
        <v>คำนวณราคากลาง : โดยคณะกรรมการกำหนดราคากลาง  เมื่อวันที่ 15  เดือน มีนาคม พ.ศ. 2567</v>
      </c>
      <c r="B9" s="123"/>
      <c r="C9" s="123"/>
      <c r="D9" s="123"/>
    </row>
    <row r="10" spans="1:4" ht="21" customHeight="1" thickBot="1">
      <c r="A10" s="124"/>
      <c r="B10" s="124"/>
      <c r="C10" s="124"/>
      <c r="D10" s="125" t="s">
        <v>45</v>
      </c>
    </row>
    <row r="11" spans="1:4" ht="21" customHeight="1" thickTop="1">
      <c r="A11" s="602" t="s">
        <v>33</v>
      </c>
      <c r="B11" s="602" t="s">
        <v>34</v>
      </c>
      <c r="C11" s="602" t="s">
        <v>8</v>
      </c>
      <c r="D11" s="602" t="s">
        <v>13</v>
      </c>
    </row>
    <row r="12" spans="1:4" ht="21" customHeight="1" thickBot="1">
      <c r="A12" s="603"/>
      <c r="B12" s="603"/>
      <c r="C12" s="604"/>
      <c r="D12" s="603"/>
    </row>
    <row r="13" spans="1:4" ht="21" customHeight="1" thickTop="1">
      <c r="A13" s="126">
        <v>1</v>
      </c>
      <c r="B13" s="127" t="s">
        <v>316</v>
      </c>
      <c r="C13" s="128">
        <f>'ปร.5(ก)'!E27</f>
        <v>19256789.207112797</v>
      </c>
      <c r="D13" s="126"/>
    </row>
    <row r="14" spans="1:4" ht="21" customHeight="1">
      <c r="A14" s="126">
        <v>2</v>
      </c>
      <c r="B14" s="129" t="s">
        <v>317</v>
      </c>
      <c r="C14" s="128">
        <f>'ปร.5(ข)'!E21</f>
        <v>946246.26100000006</v>
      </c>
      <c r="D14" s="126"/>
    </row>
    <row r="15" spans="1:4" ht="21" customHeight="1">
      <c r="A15" s="126"/>
      <c r="B15" s="127"/>
      <c r="C15" s="128"/>
      <c r="D15" s="126"/>
    </row>
    <row r="16" spans="1:4" ht="21" customHeight="1">
      <c r="A16" s="126"/>
      <c r="B16" s="127"/>
      <c r="C16" s="128"/>
      <c r="D16" s="126"/>
    </row>
    <row r="17" spans="1:6" ht="21" customHeight="1">
      <c r="A17" s="126"/>
      <c r="B17" s="127"/>
      <c r="C17" s="128"/>
      <c r="D17" s="126"/>
    </row>
    <row r="18" spans="1:6" ht="21" customHeight="1">
      <c r="A18" s="126"/>
      <c r="B18" s="127"/>
      <c r="C18" s="128"/>
      <c r="D18" s="126"/>
    </row>
    <row r="19" spans="1:6" ht="21" customHeight="1">
      <c r="A19" s="130"/>
      <c r="B19" s="131"/>
      <c r="C19" s="132"/>
      <c r="D19" s="130"/>
    </row>
    <row r="20" spans="1:6" ht="21" customHeight="1" thickBot="1">
      <c r="A20" s="133"/>
      <c r="B20" s="134"/>
      <c r="C20" s="135"/>
      <c r="D20" s="133"/>
    </row>
    <row r="21" spans="1:6" ht="21" customHeight="1" thickTop="1">
      <c r="A21" s="605" t="s">
        <v>0</v>
      </c>
      <c r="B21" s="136" t="s">
        <v>90</v>
      </c>
      <c r="C21" s="137">
        <f>SUM(C13:C20)</f>
        <v>20203035.468112797</v>
      </c>
      <c r="D21" s="138"/>
    </row>
    <row r="22" spans="1:6" ht="21" customHeight="1" thickBot="1">
      <c r="A22" s="606"/>
      <c r="B22" s="139" t="s">
        <v>89</v>
      </c>
      <c r="C22" s="140">
        <f>C21</f>
        <v>20203035.468112797</v>
      </c>
      <c r="D22" s="200"/>
    </row>
    <row r="23" spans="1:6" ht="21" customHeight="1" thickTop="1">
      <c r="A23" s="606"/>
      <c r="D23" s="141"/>
    </row>
    <row r="24" spans="1:6" ht="21" customHeight="1" thickBot="1">
      <c r="A24" s="607"/>
      <c r="B24" s="598" t="str">
        <f>BAHTTEXT(C22)</f>
        <v>ยี่สิบล้านสองแสนสามพันสามสิบห้าบาทสี่สิบเจ็ดสตางค์</v>
      </c>
      <c r="C24" s="599"/>
      <c r="D24" s="142"/>
    </row>
    <row r="25" spans="1:6" ht="21" customHeight="1" thickTop="1">
      <c r="A25" s="143"/>
      <c r="B25" s="144"/>
      <c r="C25" s="145"/>
      <c r="D25" s="145"/>
      <c r="E25" s="145"/>
    </row>
    <row r="26" spans="1:6" ht="21" customHeight="1">
      <c r="A26" s="587" t="s">
        <v>120</v>
      </c>
      <c r="B26" s="587"/>
      <c r="C26" s="114"/>
      <c r="D26" s="114"/>
      <c r="E26" s="145"/>
    </row>
    <row r="27" spans="1:6" ht="21" customHeight="1">
      <c r="A27" s="146"/>
      <c r="B27" s="147"/>
      <c r="D27" s="148"/>
      <c r="E27" s="145"/>
    </row>
    <row r="28" spans="1:6" ht="21" customHeight="1">
      <c r="A28" s="148"/>
      <c r="B28" s="148" t="s">
        <v>423</v>
      </c>
      <c r="C28" s="148" t="s">
        <v>423</v>
      </c>
      <c r="D28" s="148"/>
      <c r="E28" s="148"/>
      <c r="F28" s="148"/>
    </row>
    <row r="29" spans="1:6" ht="21" customHeight="1">
      <c r="A29" s="148"/>
      <c r="B29" s="148" t="s">
        <v>435</v>
      </c>
      <c r="C29" s="148" t="s">
        <v>431</v>
      </c>
      <c r="D29" s="148"/>
      <c r="E29" s="148"/>
      <c r="F29" s="148"/>
    </row>
    <row r="30" spans="1:6" ht="21" customHeight="1">
      <c r="A30" s="148"/>
      <c r="B30" s="148" t="s">
        <v>430</v>
      </c>
      <c r="C30" s="148" t="s">
        <v>433</v>
      </c>
      <c r="D30" s="148"/>
      <c r="E30" s="148"/>
      <c r="F30" s="148"/>
    </row>
    <row r="31" spans="1:6" ht="21" customHeight="1">
      <c r="A31" s="149"/>
      <c r="B31" s="149"/>
      <c r="D31" s="149"/>
      <c r="E31" s="150"/>
    </row>
    <row r="32" spans="1:6" ht="21" customHeight="1">
      <c r="A32" s="151"/>
      <c r="B32" s="151"/>
      <c r="D32" s="151"/>
      <c r="E32" s="145"/>
    </row>
    <row r="33" spans="1:6" ht="21" customHeight="1">
      <c r="A33" s="148"/>
      <c r="B33" s="148" t="s">
        <v>423</v>
      </c>
      <c r="C33" s="148" t="s">
        <v>423</v>
      </c>
      <c r="D33" s="148"/>
      <c r="E33" s="148"/>
      <c r="F33" s="148"/>
    </row>
    <row r="34" spans="1:6" ht="21" customHeight="1">
      <c r="A34" s="148"/>
      <c r="B34" s="148" t="s">
        <v>436</v>
      </c>
      <c r="C34" s="148" t="s">
        <v>428</v>
      </c>
      <c r="D34" s="148"/>
      <c r="E34" s="148"/>
      <c r="F34" s="148"/>
    </row>
    <row r="35" spans="1:6" ht="21" customHeight="1">
      <c r="A35" s="148"/>
      <c r="B35" s="148" t="s">
        <v>425</v>
      </c>
      <c r="C35" s="148" t="s">
        <v>434</v>
      </c>
      <c r="D35" s="148"/>
      <c r="E35" s="148"/>
      <c r="F35" s="148"/>
    </row>
    <row r="36" spans="1:6" ht="21" customHeight="1">
      <c r="A36" s="149"/>
      <c r="B36" s="149"/>
      <c r="D36" s="149"/>
    </row>
    <row r="37" spans="1:6" ht="21" customHeight="1"/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9">
    <mergeCell ref="A26:B26"/>
    <mergeCell ref="B24:C24"/>
    <mergeCell ref="C1:D1"/>
    <mergeCell ref="A2:D2"/>
    <mergeCell ref="A11:A12"/>
    <mergeCell ref="B11:B12"/>
    <mergeCell ref="D11:D12"/>
    <mergeCell ref="C11:C12"/>
    <mergeCell ref="A21:A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3"/>
  <sheetViews>
    <sheetView workbookViewId="0">
      <selection activeCell="B23" sqref="B23"/>
    </sheetView>
  </sheetViews>
  <sheetFormatPr defaultColWidth="8.83203125" defaultRowHeight="21.75"/>
  <cols>
    <col min="1" max="1" width="61" style="76" customWidth="1"/>
    <col min="2" max="2" width="53" style="76" customWidth="1"/>
    <col min="3" max="3" width="57.5" style="76" customWidth="1"/>
    <col min="4" max="16384" width="8.83203125" style="76"/>
  </cols>
  <sheetData>
    <row r="2" spans="1:3">
      <c r="A2" s="75" t="s">
        <v>477</v>
      </c>
    </row>
    <row r="3" spans="1:3" ht="9.9499999999999993" customHeight="1">
      <c r="A3" s="75"/>
    </row>
    <row r="4" spans="1:3">
      <c r="A4" s="75" t="s">
        <v>123</v>
      </c>
      <c r="B4" s="76" t="s">
        <v>124</v>
      </c>
    </row>
    <row r="5" spans="1:3">
      <c r="A5" s="75"/>
      <c r="B5" s="75" t="s">
        <v>123</v>
      </c>
    </row>
    <row r="6" spans="1:3" ht="9.9499999999999993" customHeight="1">
      <c r="A6" s="75"/>
    </row>
    <row r="7" spans="1:3">
      <c r="A7" s="76" t="s">
        <v>41</v>
      </c>
    </row>
    <row r="8" spans="1:3" ht="9.9499999999999993" customHeight="1">
      <c r="A8" s="75"/>
    </row>
    <row r="9" spans="1:3">
      <c r="A9" s="76" t="s">
        <v>476</v>
      </c>
    </row>
    <row r="10" spans="1:3" ht="9.9499999999999993" customHeight="1">
      <c r="A10" s="75"/>
    </row>
    <row r="11" spans="1:3">
      <c r="A11" s="75" t="s">
        <v>314</v>
      </c>
      <c r="B11" s="76" t="s">
        <v>126</v>
      </c>
      <c r="C11" s="75" t="s">
        <v>125</v>
      </c>
    </row>
    <row r="12" spans="1:3" ht="9.9499999999999993" customHeight="1">
      <c r="A12" s="75"/>
    </row>
    <row r="13" spans="1:3">
      <c r="A13" s="76" t="s">
        <v>315</v>
      </c>
      <c r="B13" s="76" t="s">
        <v>121</v>
      </c>
      <c r="C13" s="76" t="s">
        <v>122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รายละเอียดค่าใช้จ่ายพิเศษ</vt:lpstr>
      <vt:lpstr>ปร.1</vt:lpstr>
      <vt:lpstr>ปร.2</vt:lpstr>
      <vt:lpstr>ปร.3</vt:lpstr>
      <vt:lpstr>ปร.4 (พ)</vt:lpstr>
      <vt:lpstr>ปร.4</vt:lpstr>
      <vt:lpstr>ปร.5(ก)</vt:lpstr>
      <vt:lpstr>ปร.5(ข)</vt:lpstr>
      <vt:lpstr>ปร.6</vt:lpstr>
      <vt:lpstr>ชื่อโครงการ</vt:lpstr>
      <vt:lpstr>ปร.1!Print_Area</vt:lpstr>
      <vt:lpstr>ปร.2!Print_Area</vt:lpstr>
      <vt:lpstr>ปร.3!Print_Area</vt:lpstr>
      <vt:lpstr>ปร.4!Print_Area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2024-03-14T02:33:26Z</cp:lastPrinted>
  <dcterms:created xsi:type="dcterms:W3CDTF">1999-12-06T05:31:38Z</dcterms:created>
  <dcterms:modified xsi:type="dcterms:W3CDTF">2024-03-14T09:23:56Z</dcterms:modified>
</cp:coreProperties>
</file>