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450\ประกาศมหาวิทยาลัยฯ\"/>
    </mc:Choice>
  </mc:AlternateContent>
  <workbookProtection workbookAlgorithmName="SHA-512" workbookHashValue="dRyHJj1tbqMMY5EP0oPquApD9PpQLWNJiNXoT8hrpmfbCKIUwg0RDLwJypj+I4exyVyrftwNVZeoYdLcSQR+LA==" workbookSaltValue="0tknc6E5DeMHjIelmBDVPg==" workbookSpinCount="100000" lockStructure="1"/>
  <bookViews>
    <workbookView xWindow="0" yWindow="0" windowWidth="21600" windowHeight="9630" activeTab="5"/>
  </bookViews>
  <sheets>
    <sheet name="ปร.6" sheetId="5" r:id="rId1"/>
    <sheet name="ปร.5(ก)" sheetId="11" r:id="rId2"/>
    <sheet name="ปร.5(ข)" sheetId="12" r:id="rId3"/>
    <sheet name="Structure" sheetId="6" state="hidden" r:id="rId4"/>
    <sheet name="ปร.4 old" sheetId="14" state="hidden" r:id="rId5"/>
    <sheet name="ปร.4" sheetId="15" r:id="rId6"/>
    <sheet name="Structure Unit Rate" sheetId="16" r:id="rId7"/>
    <sheet name="Factor F" sheetId="13" state="hidden" r:id="rId8"/>
    <sheet name="Architecture " sheetId="7" state="hidden" r:id="rId9"/>
    <sheet name="Sannitary ware" sheetId="8" state="hidden" r:id="rId10"/>
  </sheets>
  <definedNames>
    <definedName name="_xlnm._FilterDatabase" localSheetId="5" hidden="1">ปร.4!$A$169:$S$216</definedName>
    <definedName name="_xlnm.Print_Area" localSheetId="7">'Factor F'!#REF!</definedName>
    <definedName name="_xlnm.Print_Area" localSheetId="6">'Structure Unit Rate'!$A$1:$E$63</definedName>
    <definedName name="_xlnm.Print_Area" localSheetId="5">ปร.4!$A$1:$J$1777</definedName>
    <definedName name="_xlnm.Print_Area" localSheetId="4">'ปร.4 old'!$A$1:$J$3176</definedName>
    <definedName name="_xlnm.Print_Area" localSheetId="1">'ปร.5(ก)'!$A$1:$G$39</definedName>
    <definedName name="_xlnm.Print_Area" localSheetId="2">'ปร.5(ข)'!$A$1:$G$31</definedName>
    <definedName name="_xlnm.Print_Area" localSheetId="0">ปร.6!$A$1:$E$34</definedName>
    <definedName name="_xlnm.Print_Titles" localSheetId="3">Structure!$A$1:$IX$9</definedName>
    <definedName name="_xlnm.Print_Titles" localSheetId="5">ปร.4!$1:$8</definedName>
    <definedName name="_xlnm.Print_Titles" localSheetId="4">'ปร.4 old'!$1:$8</definedName>
    <definedName name="_xlnm.Print_Titles" localSheetId="0">ปร.6!$1:$12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1" i="15" l="1"/>
  <c r="B197" i="15"/>
  <c r="B177" i="15" l="1"/>
  <c r="B317" i="15" l="1"/>
  <c r="B4" i="11"/>
  <c r="O1415" i="15" l="1"/>
  <c r="O1416" i="15"/>
  <c r="O1417" i="15"/>
  <c r="O1436" i="15"/>
  <c r="O1437" i="15"/>
  <c r="O1438" i="15"/>
  <c r="O1439" i="15"/>
  <c r="O1440" i="15"/>
  <c r="O1441" i="15"/>
  <c r="O1442" i="15"/>
  <c r="O1443" i="15"/>
  <c r="O1444" i="15"/>
  <c r="O1445" i="15"/>
  <c r="O1446" i="15"/>
  <c r="O1447" i="15"/>
  <c r="O1418" i="15"/>
  <c r="O1419" i="15"/>
  <c r="O1420" i="15"/>
  <c r="O1421" i="15"/>
  <c r="O1422" i="15"/>
  <c r="O1430" i="15"/>
  <c r="O1431" i="15"/>
  <c r="O1432" i="15"/>
  <c r="O1433" i="15"/>
  <c r="O1434" i="15"/>
  <c r="O1448" i="15"/>
  <c r="O1449" i="15"/>
  <c r="O1450" i="15"/>
  <c r="O1451" i="15"/>
  <c r="O1452" i="15"/>
  <c r="O1453" i="15"/>
  <c r="O1454" i="15"/>
  <c r="O1423" i="15"/>
  <c r="O1424" i="15"/>
  <c r="O1425" i="15"/>
  <c r="O1426" i="15"/>
  <c r="O1427" i="15"/>
  <c r="O1428" i="15"/>
  <c r="O1455" i="15"/>
  <c r="O1456" i="15"/>
  <c r="O1457" i="15"/>
  <c r="O1458" i="15"/>
  <c r="M1414" i="15"/>
  <c r="O1414" i="15" s="1"/>
  <c r="CZ289" i="7" l="1"/>
  <c r="DA289" i="7"/>
  <c r="DB289" i="7"/>
  <c r="DC289" i="7"/>
  <c r="DD289" i="7"/>
  <c r="DE289" i="7"/>
  <c r="CZ275" i="7"/>
  <c r="DA275" i="7"/>
  <c r="DB275" i="7"/>
  <c r="DC275" i="7"/>
  <c r="DD275" i="7"/>
  <c r="DE275" i="7"/>
  <c r="CZ255" i="7"/>
  <c r="CZ292" i="7" s="1"/>
  <c r="DA255" i="7"/>
  <c r="DB255" i="7"/>
  <c r="DB292" i="7" s="1"/>
  <c r="DC255" i="7"/>
  <c r="DD255" i="7"/>
  <c r="DD292" i="7" s="1"/>
  <c r="DE255" i="7"/>
  <c r="CZ224" i="7"/>
  <c r="DA224" i="7"/>
  <c r="DB224" i="7"/>
  <c r="DC224" i="7"/>
  <c r="DD224" i="7"/>
  <c r="DE224" i="7"/>
  <c r="CZ209" i="7"/>
  <c r="CZ227" i="7" s="1"/>
  <c r="DA209" i="7"/>
  <c r="DA227" i="7" s="1"/>
  <c r="DB209" i="7"/>
  <c r="DC209" i="7"/>
  <c r="DD209" i="7"/>
  <c r="DD227" i="7" s="1"/>
  <c r="DE209" i="7"/>
  <c r="DE227" i="7" s="1"/>
  <c r="CZ165" i="7"/>
  <c r="DA165" i="7"/>
  <c r="DB165" i="7"/>
  <c r="DC165" i="7"/>
  <c r="DD165" i="7"/>
  <c r="DE165" i="7"/>
  <c r="CZ153" i="7"/>
  <c r="DA153" i="7"/>
  <c r="DB153" i="7"/>
  <c r="DC153" i="7"/>
  <c r="DD153" i="7"/>
  <c r="DE153" i="7"/>
  <c r="CZ99" i="7"/>
  <c r="DA99" i="7"/>
  <c r="DB99" i="7"/>
  <c r="DC99" i="7"/>
  <c r="DD99" i="7"/>
  <c r="DE99" i="7"/>
  <c r="CZ66" i="7"/>
  <c r="CZ173" i="7" s="1"/>
  <c r="DA66" i="7"/>
  <c r="DB66" i="7"/>
  <c r="DC66" i="7"/>
  <c r="DD66" i="7"/>
  <c r="DD173" i="7" s="1"/>
  <c r="DE66" i="7"/>
  <c r="DE173" i="7" s="1"/>
  <c r="DC227" i="7" l="1"/>
  <c r="DC292" i="7"/>
  <c r="DE292" i="7"/>
  <c r="DA292" i="7"/>
  <c r="DA173" i="7"/>
  <c r="DC173" i="7"/>
  <c r="DB173" i="7"/>
  <c r="DB227" i="7"/>
  <c r="I50" i="13" l="1"/>
  <c r="G49" i="13"/>
  <c r="D49" i="13"/>
  <c r="D52" i="13" s="1"/>
  <c r="B340" i="15" l="1"/>
  <c r="B339" i="15"/>
  <c r="B275" i="15"/>
  <c r="B274" i="15"/>
  <c r="B273" i="15"/>
  <c r="B320" i="15"/>
  <c r="B255" i="15"/>
  <c r="B338" i="15"/>
  <c r="B337" i="15"/>
  <c r="B336" i="15"/>
  <c r="B335" i="15"/>
  <c r="B330" i="15"/>
  <c r="B324" i="15"/>
  <c r="B314" i="15"/>
  <c r="B313" i="15"/>
  <c r="B271" i="15"/>
  <c r="B270" i="15"/>
  <c r="B269" i="15"/>
  <c r="B262" i="15"/>
  <c r="B258" i="15"/>
  <c r="B334" i="15"/>
  <c r="B329" i="15"/>
  <c r="B328" i="15"/>
  <c r="B323" i="15"/>
  <c r="B319" i="15"/>
  <c r="B316" i="15"/>
  <c r="B268" i="15"/>
  <c r="B267" i="15"/>
  <c r="B266" i="15"/>
  <c r="B265" i="15"/>
  <c r="B264" i="15"/>
  <c r="B257" i="15"/>
  <c r="B249" i="15"/>
  <c r="B333" i="15"/>
  <c r="B332" i="15"/>
  <c r="B331" i="15"/>
  <c r="B327" i="15"/>
  <c r="B326" i="15"/>
  <c r="B325" i="15"/>
  <c r="B322" i="15"/>
  <c r="B321" i="15"/>
  <c r="B318" i="15"/>
  <c r="B315" i="15"/>
  <c r="B312" i="15"/>
  <c r="B272" i="15"/>
  <c r="B263" i="15"/>
  <c r="B261" i="15"/>
  <c r="B260" i="15"/>
  <c r="B259" i="15"/>
  <c r="B256" i="15"/>
  <c r="B254" i="15"/>
  <c r="B253" i="15"/>
  <c r="B252" i="15"/>
  <c r="B251" i="15"/>
  <c r="B250" i="15"/>
  <c r="B248" i="15"/>
  <c r="B247" i="15"/>
  <c r="B246" i="15"/>
  <c r="B245" i="15"/>
  <c r="B210" i="15"/>
  <c r="B205" i="15"/>
  <c r="A205" i="15"/>
  <c r="B200" i="15"/>
  <c r="A200" i="15"/>
  <c r="B203" i="15"/>
  <c r="A203" i="15"/>
  <c r="B195" i="15"/>
  <c r="A195" i="15"/>
  <c r="B194" i="15"/>
  <c r="A194" i="15"/>
  <c r="B193" i="15"/>
  <c r="A193" i="15"/>
  <c r="B192" i="15"/>
  <c r="A192" i="15"/>
  <c r="A197" i="15"/>
  <c r="B310" i="15"/>
  <c r="B309" i="15"/>
  <c r="B308" i="15"/>
  <c r="B307" i="15"/>
  <c r="B242" i="15"/>
  <c r="B241" i="15"/>
  <c r="B240" i="15"/>
  <c r="B311" i="15"/>
  <c r="B244" i="15"/>
  <c r="B243" i="15"/>
  <c r="B306" i="15"/>
  <c r="B305" i="15"/>
  <c r="B304" i="15"/>
  <c r="B303" i="15"/>
  <c r="B302" i="15"/>
  <c r="B239" i="15"/>
  <c r="B238" i="15"/>
  <c r="B237" i="15"/>
  <c r="B204" i="15"/>
  <c r="A204" i="15"/>
  <c r="B201" i="15"/>
  <c r="A201" i="15"/>
  <c r="B294" i="15"/>
  <c r="B301" i="15"/>
  <c r="B299" i="15"/>
  <c r="B298" i="15"/>
  <c r="B297" i="15"/>
  <c r="B295" i="15"/>
  <c r="B291" i="15"/>
  <c r="B290" i="15"/>
  <c r="B289" i="15"/>
  <c r="B287" i="15"/>
  <c r="B283" i="15"/>
  <c r="B278" i="15"/>
  <c r="B229" i="15"/>
  <c r="B221" i="15"/>
  <c r="B293" i="15"/>
  <c r="B284" i="15"/>
  <c r="B235" i="15"/>
  <c r="B234" i="15"/>
  <c r="B231" i="15"/>
  <c r="B230" i="15"/>
  <c r="B225" i="15"/>
  <c r="B300" i="15"/>
  <c r="B296" i="15"/>
  <c r="B292" i="15"/>
  <c r="B288" i="15"/>
  <c r="B286" i="15"/>
  <c r="B285" i="15"/>
  <c r="B282" i="15"/>
  <c r="B281" i="15"/>
  <c r="B280" i="15"/>
  <c r="B279" i="15"/>
  <c r="B233" i="15"/>
  <c r="B232" i="15"/>
  <c r="B228" i="15"/>
  <c r="B227" i="15"/>
  <c r="B226" i="15"/>
  <c r="B224" i="15"/>
  <c r="B223" i="15"/>
  <c r="B222" i="15"/>
  <c r="B220" i="15"/>
  <c r="B219" i="15"/>
  <c r="B209" i="15"/>
  <c r="B208" i="15"/>
  <c r="A208" i="15"/>
  <c r="B207" i="15"/>
  <c r="B206" i="15"/>
  <c r="A206" i="15"/>
  <c r="B202" i="15"/>
  <c r="A202" i="15"/>
  <c r="B199" i="15"/>
  <c r="A199" i="15"/>
  <c r="B198" i="15"/>
  <c r="A198" i="15"/>
  <c r="B196" i="15"/>
  <c r="A196" i="15"/>
  <c r="B191" i="15"/>
  <c r="A191" i="15"/>
  <c r="B190" i="15"/>
  <c r="A190" i="15"/>
  <c r="B189" i="15"/>
  <c r="A189" i="15"/>
  <c r="B188" i="15"/>
  <c r="A188" i="15"/>
  <c r="B187" i="15"/>
  <c r="A187" i="15"/>
  <c r="B186" i="15"/>
  <c r="A186" i="15"/>
  <c r="B185" i="15"/>
  <c r="A185" i="15"/>
  <c r="B184" i="15"/>
  <c r="A184" i="15"/>
  <c r="B183" i="15"/>
  <c r="A183" i="15"/>
  <c r="B182" i="15"/>
  <c r="A182" i="15"/>
  <c r="B181" i="15"/>
  <c r="A181" i="15"/>
  <c r="B180" i="15"/>
  <c r="A180" i="15"/>
  <c r="B179" i="15"/>
  <c r="A179" i="15"/>
  <c r="B178" i="15"/>
  <c r="A178" i="15"/>
  <c r="A177" i="15"/>
  <c r="B176" i="15"/>
  <c r="A176" i="15"/>
  <c r="B175" i="15"/>
  <c r="A175" i="15"/>
  <c r="B174" i="15"/>
  <c r="A174" i="15"/>
  <c r="B173" i="15"/>
  <c r="A173" i="15"/>
  <c r="B172" i="15"/>
  <c r="A172" i="15"/>
  <c r="B171" i="15"/>
  <c r="A171" i="15"/>
  <c r="B170" i="15"/>
  <c r="A170" i="15"/>
  <c r="BB66" i="7" l="1"/>
  <c r="BB99" i="7"/>
  <c r="BB153" i="7"/>
  <c r="BB165" i="7"/>
  <c r="BB209" i="7"/>
  <c r="BB224" i="7"/>
  <c r="BB255" i="7"/>
  <c r="BB275" i="7"/>
  <c r="BB289" i="7"/>
  <c r="BB173" i="7" l="1"/>
  <c r="BB227" i="7"/>
  <c r="BB292" i="7"/>
  <c r="BB516" i="7"/>
  <c r="BB531" i="7"/>
  <c r="H342" i="14"/>
  <c r="F342" i="14"/>
  <c r="H341" i="14"/>
  <c r="F341" i="14"/>
  <c r="H340" i="14"/>
  <c r="F340" i="14"/>
  <c r="H339" i="14"/>
  <c r="F339" i="14"/>
  <c r="H337" i="14"/>
  <c r="F337" i="14"/>
  <c r="H336" i="14"/>
  <c r="F336" i="14"/>
  <c r="I336" i="14" s="1"/>
  <c r="H335" i="14"/>
  <c r="F335" i="14"/>
  <c r="H334" i="14"/>
  <c r="F334" i="14"/>
  <c r="H333" i="14"/>
  <c r="F333" i="14"/>
  <c r="I333" i="14" s="1"/>
  <c r="H331" i="14"/>
  <c r="F331" i="14"/>
  <c r="H330" i="14"/>
  <c r="F330" i="14"/>
  <c r="H329" i="14"/>
  <c r="F329" i="14"/>
  <c r="H328" i="14"/>
  <c r="F328" i="14"/>
  <c r="H326" i="14"/>
  <c r="F326" i="14"/>
  <c r="H325" i="14"/>
  <c r="F325" i="14"/>
  <c r="H324" i="14"/>
  <c r="F324" i="14"/>
  <c r="H323" i="14"/>
  <c r="F323" i="14"/>
  <c r="I323" i="14" s="1"/>
  <c r="H322" i="14"/>
  <c r="F322" i="14"/>
  <c r="I321" i="14"/>
  <c r="H320" i="14"/>
  <c r="F320" i="14"/>
  <c r="H319" i="14"/>
  <c r="I319" i="14" s="1"/>
  <c r="F319" i="14"/>
  <c r="H318" i="14"/>
  <c r="F318" i="14"/>
  <c r="H317" i="14"/>
  <c r="F317" i="14"/>
  <c r="H316" i="14"/>
  <c r="F316" i="14"/>
  <c r="H314" i="14"/>
  <c r="F314" i="14"/>
  <c r="H313" i="14"/>
  <c r="F313" i="14"/>
  <c r="H312" i="14"/>
  <c r="F312" i="14"/>
  <c r="H311" i="14"/>
  <c r="F311" i="14"/>
  <c r="H310" i="14"/>
  <c r="F310" i="14"/>
  <c r="H309" i="14"/>
  <c r="F309" i="14"/>
  <c r="H308" i="14"/>
  <c r="F308" i="14"/>
  <c r="H307" i="14"/>
  <c r="F307" i="14"/>
  <c r="H306" i="14"/>
  <c r="F306" i="14"/>
  <c r="H305" i="14"/>
  <c r="F305" i="14"/>
  <c r="H304" i="14"/>
  <c r="F304" i="14"/>
  <c r="H303" i="14"/>
  <c r="F303" i="14"/>
  <c r="H299" i="14"/>
  <c r="F299" i="14"/>
  <c r="H298" i="14"/>
  <c r="F298" i="14"/>
  <c r="H297" i="14"/>
  <c r="F297" i="14"/>
  <c r="H296" i="14"/>
  <c r="F296" i="14"/>
  <c r="H295" i="14"/>
  <c r="F295" i="14"/>
  <c r="H294" i="14"/>
  <c r="F294" i="14"/>
  <c r="I293" i="14"/>
  <c r="H292" i="14"/>
  <c r="F292" i="14"/>
  <c r="H291" i="14"/>
  <c r="F291" i="14"/>
  <c r="H290" i="14"/>
  <c r="F290" i="14"/>
  <c r="I290" i="14" s="1"/>
  <c r="H289" i="14"/>
  <c r="F289" i="14"/>
  <c r="H288" i="14"/>
  <c r="F288" i="14"/>
  <c r="I287" i="14"/>
  <c r="H286" i="14"/>
  <c r="F286" i="14"/>
  <c r="H285" i="14"/>
  <c r="F285" i="14"/>
  <c r="H284" i="14"/>
  <c r="F284" i="14"/>
  <c r="H283" i="14"/>
  <c r="F283" i="14"/>
  <c r="H282" i="14"/>
  <c r="F282" i="14"/>
  <c r="I281" i="14"/>
  <c r="H280" i="14"/>
  <c r="F280" i="14"/>
  <c r="H279" i="14"/>
  <c r="F279" i="14"/>
  <c r="H278" i="14"/>
  <c r="F278" i="14"/>
  <c r="I278" i="14" s="1"/>
  <c r="H277" i="14"/>
  <c r="F277" i="14"/>
  <c r="H276" i="14"/>
  <c r="F276" i="14"/>
  <c r="H275" i="14"/>
  <c r="F275" i="14"/>
  <c r="I275" i="14" s="1"/>
  <c r="H274" i="14"/>
  <c r="F274" i="14"/>
  <c r="H273" i="14"/>
  <c r="F273" i="14"/>
  <c r="H272" i="14"/>
  <c r="F272" i="14"/>
  <c r="H271" i="14"/>
  <c r="F271" i="14"/>
  <c r="H270" i="14"/>
  <c r="F270" i="14"/>
  <c r="H269" i="14"/>
  <c r="F269" i="14"/>
  <c r="H268" i="14"/>
  <c r="F268" i="14"/>
  <c r="H267" i="14"/>
  <c r="F267" i="14"/>
  <c r="I267" i="14" s="1"/>
  <c r="H266" i="14"/>
  <c r="F266" i="14"/>
  <c r="H264" i="14"/>
  <c r="F264" i="14"/>
  <c r="H263" i="14"/>
  <c r="F263" i="14"/>
  <c r="H262" i="14"/>
  <c r="F262" i="14"/>
  <c r="H261" i="14"/>
  <c r="F261" i="14"/>
  <c r="H260" i="14"/>
  <c r="F260" i="14"/>
  <c r="H259" i="14"/>
  <c r="F259" i="14"/>
  <c r="H258" i="14"/>
  <c r="F258" i="14"/>
  <c r="I257" i="14"/>
  <c r="H256" i="14"/>
  <c r="F256" i="14"/>
  <c r="H255" i="14"/>
  <c r="F255" i="14"/>
  <c r="H254" i="14"/>
  <c r="F254" i="14"/>
  <c r="H253" i="14"/>
  <c r="F253" i="14"/>
  <c r="H252" i="14"/>
  <c r="F252" i="14"/>
  <c r="H251" i="14"/>
  <c r="F251" i="14"/>
  <c r="H249" i="14"/>
  <c r="F249" i="14"/>
  <c r="H248" i="14"/>
  <c r="F248" i="14"/>
  <c r="H247" i="14"/>
  <c r="F247" i="14"/>
  <c r="H246" i="14"/>
  <c r="F246" i="14"/>
  <c r="H245" i="14"/>
  <c r="F245" i="14"/>
  <c r="H244" i="14"/>
  <c r="F244" i="14"/>
  <c r="H243" i="14"/>
  <c r="F243" i="14"/>
  <c r="H242" i="14"/>
  <c r="F242" i="14"/>
  <c r="H241" i="14"/>
  <c r="F241" i="14"/>
  <c r="H240" i="14"/>
  <c r="F240" i="14"/>
  <c r="H239" i="14"/>
  <c r="F239" i="14"/>
  <c r="H238" i="14"/>
  <c r="F238" i="14"/>
  <c r="H237" i="14"/>
  <c r="F237" i="14"/>
  <c r="H234" i="14"/>
  <c r="F234" i="14"/>
  <c r="H233" i="14"/>
  <c r="F233" i="14"/>
  <c r="H232" i="14"/>
  <c r="F232" i="14"/>
  <c r="H231" i="14"/>
  <c r="F231" i="14"/>
  <c r="H230" i="14"/>
  <c r="F230" i="14"/>
  <c r="H229" i="14"/>
  <c r="F229" i="14"/>
  <c r="H228" i="14"/>
  <c r="F228" i="14"/>
  <c r="H227" i="14"/>
  <c r="F227" i="14"/>
  <c r="H226" i="14"/>
  <c r="F226" i="14"/>
  <c r="H225" i="14"/>
  <c r="F225" i="14"/>
  <c r="H224" i="14"/>
  <c r="F224" i="14"/>
  <c r="H223" i="14"/>
  <c r="F223" i="14"/>
  <c r="H222" i="14"/>
  <c r="F222" i="14"/>
  <c r="H221" i="14"/>
  <c r="F221" i="14"/>
  <c r="H220" i="14"/>
  <c r="F220" i="14"/>
  <c r="H219" i="14"/>
  <c r="F219" i="14"/>
  <c r="H218" i="14"/>
  <c r="F218" i="14"/>
  <c r="H217" i="14"/>
  <c r="F217" i="14"/>
  <c r="H216" i="14"/>
  <c r="F216" i="14"/>
  <c r="H215" i="14"/>
  <c r="F215" i="14"/>
  <c r="H214" i="14"/>
  <c r="F214" i="14"/>
  <c r="H213" i="14"/>
  <c r="F213" i="14"/>
  <c r="H212" i="14"/>
  <c r="F212" i="14"/>
  <c r="H211" i="14"/>
  <c r="F211" i="14"/>
  <c r="H210" i="14"/>
  <c r="F210" i="14"/>
  <c r="H209" i="14"/>
  <c r="F209" i="14"/>
  <c r="H208" i="14"/>
  <c r="F208" i="14"/>
  <c r="H207" i="14"/>
  <c r="F207" i="14"/>
  <c r="H206" i="14"/>
  <c r="F206" i="14"/>
  <c r="H205" i="14"/>
  <c r="F205" i="14"/>
  <c r="H204" i="14"/>
  <c r="F204" i="14"/>
  <c r="H203" i="14"/>
  <c r="F203" i="14"/>
  <c r="H201" i="14"/>
  <c r="F201" i="14"/>
  <c r="H200" i="14"/>
  <c r="F200" i="14"/>
  <c r="H199" i="14"/>
  <c r="F199" i="14"/>
  <c r="H198" i="14"/>
  <c r="F198" i="14"/>
  <c r="H197" i="14"/>
  <c r="F197" i="14"/>
  <c r="H196" i="14"/>
  <c r="F196" i="14"/>
  <c r="H195" i="14"/>
  <c r="F195" i="14"/>
  <c r="H194" i="14"/>
  <c r="F194" i="14"/>
  <c r="H193" i="14"/>
  <c r="F193" i="14"/>
  <c r="H192" i="14"/>
  <c r="F192" i="14"/>
  <c r="H191" i="14"/>
  <c r="F191" i="14"/>
  <c r="H190" i="14"/>
  <c r="F190" i="14"/>
  <c r="H189" i="14"/>
  <c r="F189" i="14"/>
  <c r="H188" i="14"/>
  <c r="F188" i="14"/>
  <c r="H187" i="14"/>
  <c r="F187" i="14"/>
  <c r="H185" i="14"/>
  <c r="F185" i="14"/>
  <c r="H184" i="14"/>
  <c r="F184" i="14"/>
  <c r="H183" i="14"/>
  <c r="F183" i="14"/>
  <c r="H182" i="14"/>
  <c r="F182" i="14"/>
  <c r="H181" i="14"/>
  <c r="F181" i="14"/>
  <c r="H180" i="14"/>
  <c r="F180" i="14"/>
  <c r="H179" i="14"/>
  <c r="F179" i="14"/>
  <c r="H178" i="14"/>
  <c r="F178" i="14"/>
  <c r="H176" i="14"/>
  <c r="F176" i="14"/>
  <c r="H175" i="14"/>
  <c r="F175" i="14"/>
  <c r="H174" i="14"/>
  <c r="F174" i="14"/>
  <c r="H173" i="14"/>
  <c r="F173" i="14"/>
  <c r="H172" i="14"/>
  <c r="F172" i="14"/>
  <c r="H171" i="14"/>
  <c r="F171" i="14"/>
  <c r="H170" i="14"/>
  <c r="F170" i="14"/>
  <c r="H168" i="14"/>
  <c r="F168" i="14"/>
  <c r="H167" i="14"/>
  <c r="F167" i="14"/>
  <c r="H166" i="14"/>
  <c r="F166" i="14"/>
  <c r="H165" i="14"/>
  <c r="F165" i="14"/>
  <c r="H164" i="14"/>
  <c r="F164" i="14"/>
  <c r="H163" i="14"/>
  <c r="F163" i="14"/>
  <c r="H162" i="14"/>
  <c r="F162" i="14"/>
  <c r="H161" i="14"/>
  <c r="F161" i="14"/>
  <c r="H160" i="14"/>
  <c r="F160" i="14"/>
  <c r="H158" i="14"/>
  <c r="F158" i="14"/>
  <c r="H157" i="14"/>
  <c r="F157" i="14"/>
  <c r="H156" i="14"/>
  <c r="F156" i="14"/>
  <c r="H155" i="14"/>
  <c r="F155" i="14"/>
  <c r="H154" i="14"/>
  <c r="F154" i="14"/>
  <c r="H153" i="14"/>
  <c r="F153" i="14"/>
  <c r="H152" i="14"/>
  <c r="F152" i="14"/>
  <c r="H151" i="14"/>
  <c r="F151" i="14"/>
  <c r="H149" i="14"/>
  <c r="F149" i="14"/>
  <c r="H148" i="14"/>
  <c r="F148" i="14"/>
  <c r="H147" i="14"/>
  <c r="F147" i="14"/>
  <c r="H146" i="14"/>
  <c r="F146" i="14"/>
  <c r="H145" i="14"/>
  <c r="F145" i="14"/>
  <c r="H144" i="14"/>
  <c r="F144" i="14"/>
  <c r="H143" i="14"/>
  <c r="F143" i="14"/>
  <c r="H141" i="14"/>
  <c r="F141" i="14"/>
  <c r="H140" i="14"/>
  <c r="F140" i="14"/>
  <c r="H139" i="14"/>
  <c r="F139" i="14"/>
  <c r="H138" i="14"/>
  <c r="F138" i="14"/>
  <c r="H137" i="14"/>
  <c r="F137" i="14"/>
  <c r="H136" i="14"/>
  <c r="F136" i="14"/>
  <c r="H135" i="14"/>
  <c r="F135" i="14"/>
  <c r="H134" i="14"/>
  <c r="F134" i="14"/>
  <c r="H133" i="14"/>
  <c r="F133" i="14"/>
  <c r="H132" i="14"/>
  <c r="F132" i="14"/>
  <c r="H130" i="14"/>
  <c r="F130" i="14"/>
  <c r="H129" i="14"/>
  <c r="F129" i="14"/>
  <c r="H128" i="14"/>
  <c r="F128" i="14"/>
  <c r="H127" i="14"/>
  <c r="F127" i="14"/>
  <c r="H126" i="14"/>
  <c r="F126" i="14"/>
  <c r="H125" i="14"/>
  <c r="F125" i="14"/>
  <c r="H124" i="14"/>
  <c r="F124" i="14"/>
  <c r="H122" i="14"/>
  <c r="F122" i="14"/>
  <c r="H121" i="14"/>
  <c r="F121" i="14"/>
  <c r="H120" i="14"/>
  <c r="F120" i="14"/>
  <c r="H119" i="14"/>
  <c r="F119" i="14"/>
  <c r="H118" i="14"/>
  <c r="F118" i="14"/>
  <c r="H117" i="14"/>
  <c r="F117" i="14"/>
  <c r="H116" i="14"/>
  <c r="F116" i="14"/>
  <c r="H115" i="14"/>
  <c r="F115" i="14"/>
  <c r="H114" i="14"/>
  <c r="F114" i="14"/>
  <c r="H113" i="14"/>
  <c r="F113" i="14"/>
  <c r="H112" i="14"/>
  <c r="F112" i="14"/>
  <c r="H110" i="14"/>
  <c r="F110" i="14"/>
  <c r="H109" i="14"/>
  <c r="F109" i="14"/>
  <c r="H108" i="14"/>
  <c r="F108" i="14"/>
  <c r="H107" i="14"/>
  <c r="F107" i="14"/>
  <c r="H106" i="14"/>
  <c r="F106" i="14"/>
  <c r="H105" i="14"/>
  <c r="F105" i="14"/>
  <c r="H104" i="14"/>
  <c r="F104" i="14"/>
  <c r="H103" i="14"/>
  <c r="F103" i="14"/>
  <c r="H102" i="14"/>
  <c r="F102" i="14"/>
  <c r="H101" i="14"/>
  <c r="F101" i="14"/>
  <c r="H100" i="14"/>
  <c r="F100" i="14"/>
  <c r="H99" i="14"/>
  <c r="F99" i="14"/>
  <c r="H98" i="14"/>
  <c r="F98" i="14"/>
  <c r="I133" i="14" l="1"/>
  <c r="I151" i="14"/>
  <c r="I155" i="14"/>
  <c r="I157" i="14"/>
  <c r="I160" i="14"/>
  <c r="I162" i="14"/>
  <c r="I164" i="14"/>
  <c r="I166" i="14"/>
  <c r="I168" i="14"/>
  <c r="I173" i="14"/>
  <c r="I175" i="14"/>
  <c r="I178" i="14"/>
  <c r="I180" i="14"/>
  <c r="I187" i="14"/>
  <c r="I204" i="14"/>
  <c r="I296" i="14"/>
  <c r="I316" i="14"/>
  <c r="BB534" i="7"/>
  <c r="I262" i="14"/>
  <c r="I116" i="14"/>
  <c r="I188" i="14"/>
  <c r="I200" i="14"/>
  <c r="I115" i="14"/>
  <c r="I261" i="14"/>
  <c r="I255" i="14"/>
  <c r="I140" i="14"/>
  <c r="I158" i="14"/>
  <c r="I163" i="14"/>
  <c r="I176" i="14"/>
  <c r="I181" i="14"/>
  <c r="I217" i="14"/>
  <c r="I256" i="14"/>
  <c r="I284" i="14"/>
  <c r="I266" i="14"/>
  <c r="I322" i="14"/>
  <c r="I109" i="14"/>
  <c r="I129" i="14"/>
  <c r="I211" i="14"/>
  <c r="I227" i="14"/>
  <c r="I231" i="14"/>
  <c r="I245" i="14"/>
  <c r="I249" i="14"/>
  <c r="I303" i="14"/>
  <c r="I98" i="14"/>
  <c r="I104" i="14"/>
  <c r="I106" i="14"/>
  <c r="I108" i="14"/>
  <c r="I110" i="14"/>
  <c r="I113" i="14"/>
  <c r="I134" i="14"/>
  <c r="I147" i="14"/>
  <c r="I220" i="14"/>
  <c r="I224" i="14"/>
  <c r="I226" i="14"/>
  <c r="I228" i="14"/>
  <c r="I230" i="14"/>
  <c r="I232" i="14"/>
  <c r="I234" i="14"/>
  <c r="I238" i="14"/>
  <c r="I244" i="14"/>
  <c r="I246" i="14"/>
  <c r="I248" i="14"/>
  <c r="I251" i="14"/>
  <c r="I253" i="14"/>
  <c r="I259" i="14"/>
  <c r="I279" i="14"/>
  <c r="I285" i="14"/>
  <c r="I291" i="14"/>
  <c r="I297" i="14"/>
  <c r="I312" i="14"/>
  <c r="I122" i="14"/>
  <c r="I127" i="14"/>
  <c r="I182" i="14"/>
  <c r="I194" i="14"/>
  <c r="I198" i="14"/>
  <c r="I205" i="14"/>
  <c r="I273" i="14"/>
  <c r="I304" i="14"/>
  <c r="I320" i="14"/>
  <c r="I341" i="14"/>
  <c r="I102" i="14"/>
  <c r="I119" i="14"/>
  <c r="I121" i="14"/>
  <c r="I124" i="14"/>
  <c r="I126" i="14"/>
  <c r="I128" i="14"/>
  <c r="I130" i="14"/>
  <c r="I145" i="14"/>
  <c r="I152" i="14"/>
  <c r="I165" i="14"/>
  <c r="I191" i="14"/>
  <c r="I193" i="14"/>
  <c r="I195" i="14"/>
  <c r="I197" i="14"/>
  <c r="I199" i="14"/>
  <c r="I215" i="14"/>
  <c r="I221" i="14"/>
  <c r="I233" i="14"/>
  <c r="I242" i="14"/>
  <c r="I268" i="14"/>
  <c r="I270" i="14"/>
  <c r="I272" i="14"/>
  <c r="I274" i="14"/>
  <c r="I276" i="14"/>
  <c r="I282" i="14"/>
  <c r="I288" i="14"/>
  <c r="I294" i="14"/>
  <c r="I310" i="14"/>
  <c r="I330" i="14"/>
  <c r="I342" i="14"/>
  <c r="I99" i="14"/>
  <c r="I103" i="14"/>
  <c r="I112" i="14"/>
  <c r="I137" i="14"/>
  <c r="I139" i="14"/>
  <c r="I141" i="14"/>
  <c r="I144" i="14"/>
  <c r="I146" i="14"/>
  <c r="I170" i="14"/>
  <c r="I183" i="14"/>
  <c r="I208" i="14"/>
  <c r="I210" i="14"/>
  <c r="I212" i="14"/>
  <c r="I214" i="14"/>
  <c r="I216" i="14"/>
  <c r="I239" i="14"/>
  <c r="I252" i="14"/>
  <c r="I258" i="14"/>
  <c r="I305" i="14"/>
  <c r="I307" i="14"/>
  <c r="I309" i="14"/>
  <c r="I311" i="14"/>
  <c r="I313" i="14"/>
  <c r="I324" i="14"/>
  <c r="I326" i="14"/>
  <c r="I329" i="14"/>
  <c r="I331" i="14"/>
  <c r="I334" i="14"/>
  <c r="I114" i="14"/>
  <c r="I132" i="14"/>
  <c r="I149" i="14"/>
  <c r="I167" i="14"/>
  <c r="I185" i="14"/>
  <c r="I203" i="14"/>
  <c r="I219" i="14"/>
  <c r="I237" i="14"/>
  <c r="I254" i="14"/>
  <c r="I260" i="14"/>
  <c r="I277" i="14"/>
  <c r="I283" i="14"/>
  <c r="I289" i="14"/>
  <c r="I295" i="14"/>
  <c r="I314" i="14"/>
  <c r="I317" i="14"/>
  <c r="I335" i="14"/>
  <c r="I337" i="14"/>
  <c r="I101" i="14"/>
  <c r="I118" i="14"/>
  <c r="I120" i="14"/>
  <c r="I136" i="14"/>
  <c r="I138" i="14"/>
  <c r="I148" i="14"/>
  <c r="I154" i="14"/>
  <c r="I156" i="14"/>
  <c r="I172" i="14"/>
  <c r="I174" i="14"/>
  <c r="I184" i="14"/>
  <c r="I190" i="14"/>
  <c r="I192" i="14"/>
  <c r="I201" i="14"/>
  <c r="I207" i="14"/>
  <c r="I209" i="14"/>
  <c r="I218" i="14"/>
  <c r="I223" i="14"/>
  <c r="I225" i="14"/>
  <c r="I241" i="14"/>
  <c r="I243" i="14"/>
  <c r="I264" i="14"/>
  <c r="I299" i="14"/>
  <c r="I340" i="14"/>
  <c r="I100" i="14"/>
  <c r="I105" i="14"/>
  <c r="I107" i="14"/>
  <c r="I117" i="14"/>
  <c r="I125" i="14"/>
  <c r="I135" i="14"/>
  <c r="I143" i="14"/>
  <c r="I153" i="14"/>
  <c r="I161" i="14"/>
  <c r="I171" i="14"/>
  <c r="I179" i="14"/>
  <c r="I189" i="14"/>
  <c r="I196" i="14"/>
  <c r="I206" i="14"/>
  <c r="I213" i="14"/>
  <c r="I222" i="14"/>
  <c r="I229" i="14"/>
  <c r="I240" i="14"/>
  <c r="I247" i="14"/>
  <c r="I263" i="14"/>
  <c r="I269" i="14"/>
  <c r="I271" i="14"/>
  <c r="I280" i="14"/>
  <c r="I286" i="14"/>
  <c r="I292" i="14"/>
  <c r="I298" i="14"/>
  <c r="I306" i="14"/>
  <c r="I308" i="14"/>
  <c r="I318" i="14"/>
  <c r="I325" i="14"/>
  <c r="I328" i="14"/>
  <c r="I339" i="14"/>
  <c r="BB484" i="7"/>
  <c r="BB460" i="7"/>
  <c r="BB412" i="7"/>
  <c r="H5" i="14" l="1"/>
  <c r="F2715" i="14"/>
  <c r="H2715" i="14"/>
  <c r="H2972" i="14"/>
  <c r="F2972" i="14"/>
  <c r="F51" i="14"/>
  <c r="H51" i="14"/>
  <c r="F52" i="14"/>
  <c r="H52" i="14"/>
  <c r="I2972" i="14" l="1"/>
  <c r="I2715" i="14"/>
  <c r="I51" i="14"/>
  <c r="I52" i="14"/>
  <c r="H95" i="14"/>
  <c r="H344" i="14" s="1"/>
  <c r="F95" i="14"/>
  <c r="F344" i="14" s="1"/>
  <c r="I95" i="14" l="1"/>
  <c r="I344" i="14" s="1"/>
  <c r="I23" i="13" l="1"/>
  <c r="G22" i="13"/>
  <c r="D22" i="13"/>
  <c r="D25" i="13" s="1"/>
  <c r="H3174" i="14" l="1"/>
  <c r="F3174" i="14"/>
  <c r="H3173" i="14"/>
  <c r="F3173" i="14"/>
  <c r="H3170" i="14"/>
  <c r="F3170" i="14"/>
  <c r="H3167" i="14"/>
  <c r="F3167" i="14"/>
  <c r="H3164" i="14"/>
  <c r="F3164" i="14"/>
  <c r="H3163" i="14"/>
  <c r="F3163" i="14"/>
  <c r="H3162" i="14"/>
  <c r="F3162" i="14"/>
  <c r="H3161" i="14"/>
  <c r="F3161" i="14"/>
  <c r="H3160" i="14"/>
  <c r="F3160" i="14"/>
  <c r="H3158" i="14"/>
  <c r="F3158" i="14"/>
  <c r="H3157" i="14"/>
  <c r="F3157" i="14"/>
  <c r="H3156" i="14"/>
  <c r="F3156" i="14"/>
  <c r="H3155" i="14"/>
  <c r="F3155" i="14"/>
  <c r="H3150" i="14"/>
  <c r="F3150" i="14"/>
  <c r="H3149" i="14"/>
  <c r="F3149" i="14"/>
  <c r="H3148" i="14"/>
  <c r="F3148" i="14"/>
  <c r="H3147" i="14"/>
  <c r="F3147" i="14"/>
  <c r="H3146" i="14"/>
  <c r="F3146" i="14"/>
  <c r="H3145" i="14"/>
  <c r="F3145" i="14"/>
  <c r="H3144" i="14"/>
  <c r="F3144" i="14"/>
  <c r="H3143" i="14"/>
  <c r="F3143" i="14"/>
  <c r="H3142" i="14"/>
  <c r="F3142" i="14"/>
  <c r="H3141" i="14"/>
  <c r="F3141" i="14"/>
  <c r="H3139" i="14"/>
  <c r="F3139" i="14"/>
  <c r="H3137" i="14"/>
  <c r="F3137" i="14"/>
  <c r="H3136" i="14"/>
  <c r="F3136" i="14"/>
  <c r="H3135" i="14"/>
  <c r="F3135" i="14"/>
  <c r="H3134" i="14"/>
  <c r="F3134" i="14"/>
  <c r="H3133" i="14"/>
  <c r="F3133" i="14"/>
  <c r="H3132" i="14"/>
  <c r="F3132" i="14"/>
  <c r="H3131" i="14"/>
  <c r="F3131" i="14"/>
  <c r="H3130" i="14"/>
  <c r="F3130" i="14"/>
  <c r="H3129" i="14"/>
  <c r="F3129" i="14"/>
  <c r="H3128" i="14"/>
  <c r="F3128" i="14"/>
  <c r="H3125" i="14"/>
  <c r="F3125" i="14"/>
  <c r="H3124" i="14"/>
  <c r="F3124" i="14"/>
  <c r="H3123" i="14"/>
  <c r="F3123" i="14"/>
  <c r="H3122" i="14"/>
  <c r="F3122" i="14"/>
  <c r="H3121" i="14"/>
  <c r="F3121" i="14"/>
  <c r="H3120" i="14"/>
  <c r="F3120" i="14"/>
  <c r="H3119" i="14"/>
  <c r="F3119" i="14"/>
  <c r="H3118" i="14"/>
  <c r="F3118" i="14"/>
  <c r="H3117" i="14"/>
  <c r="F3117" i="14"/>
  <c r="H3115" i="14"/>
  <c r="F3115" i="14"/>
  <c r="H3114" i="14"/>
  <c r="F3114" i="14"/>
  <c r="H3113" i="14"/>
  <c r="F3113" i="14"/>
  <c r="H3111" i="14"/>
  <c r="F3111" i="14"/>
  <c r="H3110" i="14"/>
  <c r="F3110" i="14"/>
  <c r="H3109" i="14"/>
  <c r="F3109" i="14"/>
  <c r="H3108" i="14"/>
  <c r="F3108" i="14"/>
  <c r="H3107" i="14"/>
  <c r="F3107" i="14"/>
  <c r="H3106" i="14"/>
  <c r="F3106" i="14"/>
  <c r="H3105" i="14"/>
  <c r="F3105" i="14"/>
  <c r="H3104" i="14"/>
  <c r="F3104" i="14"/>
  <c r="H3103" i="14"/>
  <c r="F3103" i="14"/>
  <c r="H3102" i="14"/>
  <c r="F3102" i="14"/>
  <c r="H3099" i="14"/>
  <c r="F3099" i="14"/>
  <c r="H3098" i="14"/>
  <c r="F3098" i="14"/>
  <c r="H3096" i="14"/>
  <c r="F3096" i="14"/>
  <c r="H3095" i="14"/>
  <c r="F3095" i="14"/>
  <c r="H3094" i="14"/>
  <c r="F3094" i="14"/>
  <c r="H3093" i="14"/>
  <c r="F3093" i="14"/>
  <c r="H3092" i="14"/>
  <c r="F3092" i="14"/>
  <c r="H3091" i="14"/>
  <c r="F3091" i="14"/>
  <c r="H3090" i="14"/>
  <c r="F3090" i="14"/>
  <c r="H3089" i="14"/>
  <c r="F3089" i="14"/>
  <c r="H3088" i="14"/>
  <c r="F3088" i="14"/>
  <c r="H3087" i="14"/>
  <c r="F3087" i="14"/>
  <c r="H3086" i="14"/>
  <c r="F3086" i="14"/>
  <c r="H3085" i="14"/>
  <c r="F3085" i="14"/>
  <c r="H3084" i="14"/>
  <c r="F3084" i="14"/>
  <c r="H3083" i="14"/>
  <c r="F3083" i="14"/>
  <c r="H3082" i="14"/>
  <c r="F3082" i="14"/>
  <c r="H3081" i="14"/>
  <c r="F3081" i="14"/>
  <c r="H3080" i="14"/>
  <c r="F3080" i="14"/>
  <c r="H3079" i="14"/>
  <c r="F3079" i="14"/>
  <c r="H3078" i="14"/>
  <c r="F3078" i="14"/>
  <c r="H3077" i="14"/>
  <c r="F3077" i="14"/>
  <c r="H3076" i="14"/>
  <c r="F3076" i="14"/>
  <c r="H3075" i="14"/>
  <c r="F3075" i="14"/>
  <c r="H3074" i="14"/>
  <c r="F3074" i="14"/>
  <c r="H3073" i="14"/>
  <c r="F3073" i="14"/>
  <c r="H3072" i="14"/>
  <c r="F3072" i="14"/>
  <c r="H3070" i="14"/>
  <c r="F3070" i="14"/>
  <c r="H3069" i="14"/>
  <c r="F3069" i="14"/>
  <c r="H3068" i="14"/>
  <c r="H3066" i="14"/>
  <c r="F3066" i="14"/>
  <c r="H3065" i="14"/>
  <c r="F3065" i="14"/>
  <c r="H3064" i="14"/>
  <c r="F3064" i="14"/>
  <c r="H3063" i="14"/>
  <c r="F3063" i="14"/>
  <c r="H3062" i="14"/>
  <c r="F3062" i="14"/>
  <c r="H3060" i="14"/>
  <c r="F3060" i="14"/>
  <c r="H3059" i="14"/>
  <c r="F3059" i="14"/>
  <c r="H3058" i="14"/>
  <c r="F3058" i="14"/>
  <c r="H3057" i="14"/>
  <c r="F3057" i="14"/>
  <c r="H3056" i="14"/>
  <c r="F3056" i="14"/>
  <c r="H3055" i="14"/>
  <c r="F3055" i="14"/>
  <c r="H3054" i="14"/>
  <c r="F3054" i="14"/>
  <c r="H3053" i="14"/>
  <c r="F3053" i="14"/>
  <c r="H3052" i="14"/>
  <c r="F3052" i="14"/>
  <c r="H3051" i="14"/>
  <c r="F3051" i="14"/>
  <c r="H3050" i="14"/>
  <c r="F3050" i="14"/>
  <c r="H3049" i="14"/>
  <c r="F3049" i="14"/>
  <c r="H3044" i="14"/>
  <c r="F3044" i="14"/>
  <c r="H3043" i="14"/>
  <c r="F3043" i="14"/>
  <c r="H3042" i="14"/>
  <c r="F3042" i="14"/>
  <c r="H3041" i="14"/>
  <c r="F3041" i="14"/>
  <c r="H3039" i="14"/>
  <c r="F3039" i="14"/>
  <c r="H3038" i="14"/>
  <c r="F3038" i="14"/>
  <c r="H3037" i="14"/>
  <c r="F3037" i="14"/>
  <c r="H3036" i="14"/>
  <c r="F3036" i="14"/>
  <c r="H3035" i="14"/>
  <c r="F3035" i="14"/>
  <c r="H3034" i="14"/>
  <c r="F3034" i="14"/>
  <c r="H3030" i="14"/>
  <c r="F3030" i="14"/>
  <c r="H3029" i="14"/>
  <c r="F3029" i="14"/>
  <c r="H3028" i="14"/>
  <c r="F3028" i="14"/>
  <c r="H3027" i="14"/>
  <c r="F3027" i="14"/>
  <c r="H3026" i="14"/>
  <c r="F3026" i="14"/>
  <c r="H3025" i="14"/>
  <c r="F3025" i="14"/>
  <c r="H3024" i="14"/>
  <c r="F3024" i="14"/>
  <c r="H3022" i="14"/>
  <c r="F3022" i="14"/>
  <c r="H3021" i="14"/>
  <c r="F3021" i="14"/>
  <c r="H3020" i="14"/>
  <c r="F3020" i="14"/>
  <c r="H3019" i="14"/>
  <c r="F3019" i="14"/>
  <c r="H3018" i="14"/>
  <c r="F3018" i="14"/>
  <c r="H3016" i="14"/>
  <c r="F3016" i="14"/>
  <c r="H3015" i="14"/>
  <c r="F3015" i="14"/>
  <c r="H3014" i="14"/>
  <c r="F3014" i="14"/>
  <c r="H3013" i="14"/>
  <c r="F3013" i="14"/>
  <c r="H3012" i="14"/>
  <c r="F3012" i="14"/>
  <c r="H3008" i="14"/>
  <c r="F3008" i="14"/>
  <c r="H3007" i="14"/>
  <c r="F3007" i="14"/>
  <c r="H3006" i="14"/>
  <c r="F3006" i="14"/>
  <c r="H3005" i="14"/>
  <c r="F3005" i="14"/>
  <c r="H3004" i="14"/>
  <c r="F3004" i="14"/>
  <c r="H3003" i="14"/>
  <c r="F3003" i="14"/>
  <c r="H3002" i="14"/>
  <c r="F3002" i="14"/>
  <c r="H3001" i="14"/>
  <c r="F3001" i="14"/>
  <c r="H3000" i="14"/>
  <c r="F3000" i="14"/>
  <c r="H2999" i="14"/>
  <c r="F2999" i="14"/>
  <c r="H2998" i="14"/>
  <c r="F2998" i="14"/>
  <c r="H2997" i="14"/>
  <c r="F2997" i="14"/>
  <c r="H2995" i="14"/>
  <c r="F2995" i="14"/>
  <c r="H2994" i="14"/>
  <c r="F2994" i="14"/>
  <c r="H2993" i="14"/>
  <c r="F2993" i="14"/>
  <c r="H2992" i="14"/>
  <c r="F2992" i="14"/>
  <c r="H2985" i="14"/>
  <c r="F2985" i="14"/>
  <c r="H2984" i="14"/>
  <c r="F2984" i="14"/>
  <c r="H2983" i="14"/>
  <c r="I2983" i="14" s="1"/>
  <c r="F2983" i="14"/>
  <c r="H2981" i="14"/>
  <c r="F2981" i="14"/>
  <c r="H2980" i="14"/>
  <c r="E2980" i="14"/>
  <c r="F2980" i="14" s="1"/>
  <c r="H2976" i="14"/>
  <c r="F2976" i="14"/>
  <c r="F2966" i="14"/>
  <c r="I2966" i="14" s="1"/>
  <c r="H2961" i="14"/>
  <c r="F2961" i="14"/>
  <c r="H2960" i="14"/>
  <c r="F2960" i="14"/>
  <c r="H2959" i="14"/>
  <c r="F2959" i="14"/>
  <c r="H2958" i="14"/>
  <c r="F2958" i="14"/>
  <c r="H2957" i="14"/>
  <c r="F2957" i="14"/>
  <c r="H2955" i="14"/>
  <c r="F2955" i="14"/>
  <c r="H2954" i="14"/>
  <c r="F2954" i="14"/>
  <c r="H2953" i="14"/>
  <c r="F2953" i="14"/>
  <c r="H2950" i="14"/>
  <c r="F2950" i="14"/>
  <c r="H2949" i="14"/>
  <c r="F2949" i="14"/>
  <c r="H2948" i="14"/>
  <c r="F2948" i="14"/>
  <c r="H2946" i="14"/>
  <c r="F2946" i="14"/>
  <c r="H2945" i="14"/>
  <c r="F2945" i="14"/>
  <c r="H2944" i="14"/>
  <c r="F2944" i="14"/>
  <c r="H2941" i="14"/>
  <c r="F2941" i="14"/>
  <c r="H2940" i="14"/>
  <c r="F2940" i="14"/>
  <c r="H2939" i="14"/>
  <c r="F2939" i="14"/>
  <c r="H2937" i="14"/>
  <c r="F2937" i="14"/>
  <c r="H2936" i="14"/>
  <c r="F2936" i="14"/>
  <c r="H2935" i="14"/>
  <c r="F2935" i="14"/>
  <c r="H2934" i="14"/>
  <c r="F2934" i="14"/>
  <c r="H2933" i="14"/>
  <c r="F2933" i="14"/>
  <c r="H2930" i="14"/>
  <c r="F2930" i="14"/>
  <c r="H2923" i="14"/>
  <c r="F2923" i="14"/>
  <c r="H2918" i="14"/>
  <c r="F2918" i="14"/>
  <c r="H2917" i="14"/>
  <c r="F2917" i="14"/>
  <c r="H2916" i="14"/>
  <c r="F2916" i="14"/>
  <c r="H2915" i="14"/>
  <c r="F2915" i="14"/>
  <c r="H2914" i="14"/>
  <c r="F2914" i="14"/>
  <c r="H2912" i="14"/>
  <c r="F2912" i="14"/>
  <c r="H2911" i="14"/>
  <c r="F2911" i="14"/>
  <c r="H2910" i="14"/>
  <c r="F2910" i="14"/>
  <c r="H2907" i="14"/>
  <c r="F2907" i="14"/>
  <c r="H2906" i="14"/>
  <c r="F2906" i="14"/>
  <c r="H2904" i="14"/>
  <c r="F2904" i="14"/>
  <c r="H2903" i="14"/>
  <c r="F2903" i="14"/>
  <c r="H2900" i="14"/>
  <c r="F2900" i="14"/>
  <c r="H2899" i="14"/>
  <c r="F2899" i="14"/>
  <c r="H2897" i="14"/>
  <c r="F2897" i="14"/>
  <c r="H2896" i="14"/>
  <c r="F2896" i="14"/>
  <c r="H2895" i="14"/>
  <c r="F2895" i="14"/>
  <c r="H2892" i="14"/>
  <c r="F2892" i="14"/>
  <c r="H2884" i="14"/>
  <c r="F2884" i="14"/>
  <c r="H2877" i="14"/>
  <c r="F2877" i="14"/>
  <c r="H2876" i="14"/>
  <c r="F2876" i="14"/>
  <c r="H2875" i="14"/>
  <c r="F2875" i="14"/>
  <c r="H2874" i="14"/>
  <c r="F2874" i="14"/>
  <c r="H2873" i="14"/>
  <c r="F2873" i="14"/>
  <c r="H2871" i="14"/>
  <c r="F2871" i="14"/>
  <c r="H2870" i="14"/>
  <c r="F2870" i="14"/>
  <c r="H2869" i="14"/>
  <c r="F2869" i="14"/>
  <c r="H2866" i="14"/>
  <c r="F2866" i="14"/>
  <c r="H2865" i="14"/>
  <c r="F2865" i="14"/>
  <c r="H2863" i="14"/>
  <c r="F2863" i="14"/>
  <c r="H2862" i="14"/>
  <c r="F2862" i="14"/>
  <c r="H2859" i="14"/>
  <c r="F2859" i="14"/>
  <c r="H2858" i="14"/>
  <c r="F2858" i="14"/>
  <c r="H2856" i="14"/>
  <c r="F2856" i="14"/>
  <c r="H2855" i="14"/>
  <c r="F2855" i="14"/>
  <c r="H2854" i="14"/>
  <c r="F2854" i="14"/>
  <c r="H2851" i="14"/>
  <c r="F2851" i="14"/>
  <c r="H2837" i="14"/>
  <c r="F2837" i="14"/>
  <c r="H2835" i="14"/>
  <c r="F2835" i="14"/>
  <c r="H2831" i="14"/>
  <c r="F2831" i="14"/>
  <c r="H2830" i="14"/>
  <c r="F2830" i="14"/>
  <c r="H2828" i="14"/>
  <c r="F2828" i="14"/>
  <c r="H2827" i="14"/>
  <c r="F2827" i="14"/>
  <c r="H2826" i="14"/>
  <c r="F2826" i="14"/>
  <c r="H2824" i="14"/>
  <c r="F2824" i="14"/>
  <c r="H2823" i="14"/>
  <c r="F2823" i="14"/>
  <c r="H2822" i="14"/>
  <c r="F2822" i="14"/>
  <c r="H2821" i="14"/>
  <c r="F2821" i="14"/>
  <c r="H2820" i="14"/>
  <c r="F2820" i="14"/>
  <c r="H2817" i="14"/>
  <c r="F2817" i="14"/>
  <c r="H2816" i="14"/>
  <c r="F2816" i="14"/>
  <c r="H2814" i="14"/>
  <c r="F2814" i="14"/>
  <c r="H2813" i="14"/>
  <c r="F2813" i="14"/>
  <c r="H2810" i="14"/>
  <c r="F2810" i="14"/>
  <c r="H2809" i="14"/>
  <c r="F2809" i="14"/>
  <c r="H2806" i="14"/>
  <c r="F2806" i="14"/>
  <c r="H2805" i="14"/>
  <c r="F2805" i="14"/>
  <c r="H2804" i="14"/>
  <c r="F2804" i="14"/>
  <c r="H2803" i="14"/>
  <c r="F2803" i="14"/>
  <c r="H2799" i="14"/>
  <c r="F2799" i="14"/>
  <c r="H2798" i="14"/>
  <c r="F2798" i="14"/>
  <c r="H2795" i="14"/>
  <c r="F2795" i="14"/>
  <c r="H2794" i="14"/>
  <c r="F2794" i="14"/>
  <c r="H2791" i="14"/>
  <c r="F2791" i="14"/>
  <c r="H2784" i="14"/>
  <c r="F2784" i="14"/>
  <c r="H2783" i="14"/>
  <c r="F2783" i="14"/>
  <c r="H2782" i="14"/>
  <c r="F2782" i="14"/>
  <c r="H2780" i="14"/>
  <c r="F2780" i="14"/>
  <c r="H2779" i="14"/>
  <c r="F2779" i="14"/>
  <c r="H2778" i="14"/>
  <c r="F2778" i="14"/>
  <c r="H2774" i="14"/>
  <c r="F2774" i="14"/>
  <c r="H2773" i="14"/>
  <c r="F2773" i="14"/>
  <c r="H2771" i="14"/>
  <c r="F2771" i="14"/>
  <c r="H2770" i="14"/>
  <c r="F2770" i="14"/>
  <c r="H2769" i="14"/>
  <c r="F2769" i="14"/>
  <c r="H2768" i="14"/>
  <c r="F2768" i="14"/>
  <c r="H2766" i="14"/>
  <c r="F2766" i="14"/>
  <c r="H2765" i="14"/>
  <c r="F2765" i="14"/>
  <c r="H2764" i="14"/>
  <c r="F2764" i="14"/>
  <c r="H2763" i="14"/>
  <c r="F2763" i="14"/>
  <c r="H2762" i="14"/>
  <c r="F2762" i="14"/>
  <c r="H2761" i="14"/>
  <c r="F2761" i="14"/>
  <c r="H2760" i="14"/>
  <c r="F2760" i="14"/>
  <c r="H2759" i="14"/>
  <c r="F2759" i="14"/>
  <c r="H2756" i="14"/>
  <c r="F2756" i="14"/>
  <c r="H2755" i="14"/>
  <c r="F2755" i="14"/>
  <c r="H2754" i="14"/>
  <c r="F2754" i="14"/>
  <c r="H2752" i="14"/>
  <c r="F2752" i="14"/>
  <c r="H2751" i="14"/>
  <c r="F2751" i="14"/>
  <c r="H2750" i="14"/>
  <c r="F2750" i="14"/>
  <c r="H2749" i="14"/>
  <c r="F2749" i="14"/>
  <c r="H2745" i="14"/>
  <c r="F2745" i="14"/>
  <c r="H2744" i="14"/>
  <c r="F2744" i="14"/>
  <c r="H2743" i="14"/>
  <c r="F2743" i="14"/>
  <c r="H2742" i="14"/>
  <c r="F2742" i="14"/>
  <c r="H2741" i="14"/>
  <c r="F2741" i="14"/>
  <c r="H2738" i="14"/>
  <c r="F2738" i="14"/>
  <c r="H2737" i="14"/>
  <c r="F2737" i="14"/>
  <c r="H2736" i="14"/>
  <c r="F2736" i="14"/>
  <c r="H2735" i="14"/>
  <c r="F2735" i="14"/>
  <c r="H2732" i="14"/>
  <c r="F2732" i="14"/>
  <c r="H2731" i="14"/>
  <c r="F2731" i="14"/>
  <c r="H2730" i="14"/>
  <c r="F2730" i="14"/>
  <c r="H2729" i="14"/>
  <c r="F2729" i="14"/>
  <c r="H2728" i="14"/>
  <c r="F2728" i="14"/>
  <c r="H2724" i="14"/>
  <c r="F2724" i="14"/>
  <c r="H2723" i="14"/>
  <c r="F2723" i="14"/>
  <c r="H2722" i="14"/>
  <c r="F2722" i="14"/>
  <c r="H2721" i="14"/>
  <c r="F2721" i="14"/>
  <c r="H2718" i="14"/>
  <c r="F2718" i="14"/>
  <c r="H2717" i="14"/>
  <c r="F2717" i="14"/>
  <c r="H2716" i="14"/>
  <c r="F2716" i="14"/>
  <c r="H2714" i="14"/>
  <c r="F2714" i="14"/>
  <c r="H2713" i="14"/>
  <c r="F2713" i="14"/>
  <c r="H2710" i="14"/>
  <c r="F2710" i="14"/>
  <c r="H2709" i="14"/>
  <c r="F2709" i="14"/>
  <c r="H2708" i="14"/>
  <c r="F2708" i="14"/>
  <c r="H2701" i="14"/>
  <c r="F2701" i="14"/>
  <c r="H2700" i="14"/>
  <c r="F2700" i="14"/>
  <c r="H2699" i="14"/>
  <c r="F2699" i="14"/>
  <c r="H2698" i="14"/>
  <c r="F2698" i="14"/>
  <c r="H2695" i="14"/>
  <c r="F2695" i="14"/>
  <c r="H2694" i="14"/>
  <c r="F2694" i="14"/>
  <c r="H2693" i="14"/>
  <c r="F2693" i="14"/>
  <c r="H2692" i="14"/>
  <c r="F2692" i="14"/>
  <c r="H2691" i="14"/>
  <c r="F2691" i="14"/>
  <c r="H2687" i="14"/>
  <c r="F2687" i="14"/>
  <c r="H2686" i="14"/>
  <c r="F2686" i="14"/>
  <c r="H2685" i="14"/>
  <c r="F2685" i="14"/>
  <c r="H2684" i="14"/>
  <c r="F2684" i="14"/>
  <c r="H2681" i="14"/>
  <c r="F2681" i="14"/>
  <c r="H2680" i="14"/>
  <c r="F2680" i="14"/>
  <c r="H2679" i="14"/>
  <c r="F2679" i="14"/>
  <c r="H2676" i="14"/>
  <c r="F2676" i="14"/>
  <c r="H2675" i="14"/>
  <c r="F2675" i="14"/>
  <c r="H2674" i="14"/>
  <c r="F2674" i="14"/>
  <c r="H2673" i="14"/>
  <c r="F2673" i="14"/>
  <c r="H2672" i="14"/>
  <c r="F2672" i="14"/>
  <c r="H2671" i="14"/>
  <c r="F2671" i="14"/>
  <c r="H2666" i="14"/>
  <c r="F2666" i="14"/>
  <c r="H2665" i="14"/>
  <c r="F2665" i="14"/>
  <c r="H2664" i="14"/>
  <c r="F2664" i="14"/>
  <c r="H2662" i="14"/>
  <c r="F2662" i="14"/>
  <c r="H2661" i="14"/>
  <c r="F2661" i="14"/>
  <c r="H2660" i="14"/>
  <c r="F2660" i="14"/>
  <c r="H2656" i="14"/>
  <c r="F2656" i="14"/>
  <c r="H2654" i="14"/>
  <c r="F2654" i="14"/>
  <c r="H2653" i="14"/>
  <c r="F2653" i="14"/>
  <c r="H2651" i="14"/>
  <c r="F2651" i="14"/>
  <c r="H2650" i="14"/>
  <c r="F2650" i="14"/>
  <c r="H2649" i="14"/>
  <c r="F2649" i="14"/>
  <c r="H2648" i="14"/>
  <c r="F2648" i="14"/>
  <c r="H2646" i="14"/>
  <c r="F2646" i="14"/>
  <c r="H2645" i="14"/>
  <c r="F2645" i="14"/>
  <c r="H2644" i="14"/>
  <c r="F2644" i="14"/>
  <c r="H2643" i="14"/>
  <c r="F2643" i="14"/>
  <c r="H2642" i="14"/>
  <c r="F2642" i="14"/>
  <c r="H2641" i="14"/>
  <c r="F2641" i="14"/>
  <c r="H2640" i="14"/>
  <c r="F2640" i="14"/>
  <c r="H2639" i="14"/>
  <c r="F2639" i="14"/>
  <c r="H2636" i="14"/>
  <c r="F2636" i="14"/>
  <c r="H2635" i="14"/>
  <c r="F2635" i="14"/>
  <c r="H2633" i="14"/>
  <c r="F2633" i="14"/>
  <c r="H2631" i="14"/>
  <c r="F2631" i="14"/>
  <c r="H2630" i="14"/>
  <c r="F2630" i="14"/>
  <c r="H2629" i="14"/>
  <c r="F2629" i="14"/>
  <c r="H2628" i="14"/>
  <c r="F2628" i="14"/>
  <c r="H2627" i="14"/>
  <c r="F2627" i="14"/>
  <c r="H2623" i="14"/>
  <c r="F2623" i="14"/>
  <c r="H2622" i="14"/>
  <c r="F2622" i="14"/>
  <c r="H2620" i="14"/>
  <c r="F2620" i="14"/>
  <c r="H2618" i="14"/>
  <c r="F2618" i="14"/>
  <c r="H2617" i="14"/>
  <c r="F2617" i="14"/>
  <c r="H2614" i="14"/>
  <c r="F2614" i="14"/>
  <c r="H2613" i="14"/>
  <c r="F2613" i="14"/>
  <c r="H2612" i="14"/>
  <c r="F2612" i="14"/>
  <c r="H2611" i="14"/>
  <c r="F2611" i="14"/>
  <c r="H2610" i="14"/>
  <c r="F2610" i="14"/>
  <c r="H2609" i="14"/>
  <c r="F2609" i="14"/>
  <c r="H2608" i="14"/>
  <c r="F2608" i="14"/>
  <c r="H2605" i="14"/>
  <c r="F2605" i="14"/>
  <c r="H2604" i="14"/>
  <c r="F2604" i="14"/>
  <c r="H2603" i="14"/>
  <c r="F2603" i="14"/>
  <c r="H2602" i="14"/>
  <c r="F2602" i="14"/>
  <c r="H2601" i="14"/>
  <c r="F2601" i="14"/>
  <c r="H2600" i="14"/>
  <c r="F2600" i="14"/>
  <c r="H2599" i="14"/>
  <c r="F2599" i="14"/>
  <c r="H2598" i="14"/>
  <c r="F2598" i="14"/>
  <c r="H2597" i="14"/>
  <c r="F2597" i="14"/>
  <c r="H2596" i="14"/>
  <c r="F2596" i="14"/>
  <c r="G2592" i="14"/>
  <c r="H2592" i="14" s="1"/>
  <c r="E2592" i="14"/>
  <c r="F2592" i="14" s="1"/>
  <c r="H2591" i="14"/>
  <c r="F2591" i="14"/>
  <c r="H2590" i="14"/>
  <c r="F2590" i="14"/>
  <c r="H2589" i="14"/>
  <c r="F2589" i="14"/>
  <c r="H2588" i="14"/>
  <c r="F2588" i="14"/>
  <c r="H2587" i="14"/>
  <c r="F2587" i="14"/>
  <c r="H2586" i="14"/>
  <c r="F2586" i="14"/>
  <c r="H2585" i="14"/>
  <c r="F2585" i="14"/>
  <c r="H2584" i="14"/>
  <c r="F2584" i="14"/>
  <c r="H2581" i="14"/>
  <c r="F2581" i="14"/>
  <c r="H2580" i="14"/>
  <c r="F2580" i="14"/>
  <c r="H2579" i="14"/>
  <c r="F2579" i="14"/>
  <c r="H2578" i="14"/>
  <c r="F2578" i="14"/>
  <c r="H2577" i="14"/>
  <c r="F2577" i="14"/>
  <c r="H2576" i="14"/>
  <c r="F2576" i="14"/>
  <c r="H2575" i="14"/>
  <c r="F2575" i="14"/>
  <c r="H2574" i="14"/>
  <c r="F2574" i="14"/>
  <c r="H2571" i="14"/>
  <c r="F2571" i="14"/>
  <c r="H2570" i="14"/>
  <c r="F2570" i="14"/>
  <c r="H2569" i="14"/>
  <c r="F2569" i="14"/>
  <c r="H2568" i="14"/>
  <c r="F2568" i="14"/>
  <c r="H2567" i="14"/>
  <c r="F2567" i="14"/>
  <c r="H2566" i="14"/>
  <c r="F2566" i="14"/>
  <c r="H2565" i="14"/>
  <c r="F2565" i="14"/>
  <c r="H2564" i="14"/>
  <c r="F2564" i="14"/>
  <c r="H2563" i="14"/>
  <c r="F2563" i="14"/>
  <c r="H2562" i="14"/>
  <c r="F2562" i="14"/>
  <c r="H2561" i="14"/>
  <c r="F2561" i="14"/>
  <c r="H2556" i="14"/>
  <c r="F2556" i="14"/>
  <c r="H2555" i="14"/>
  <c r="F2555" i="14"/>
  <c r="H2554" i="14"/>
  <c r="F2554" i="14"/>
  <c r="H2552" i="14"/>
  <c r="F2552" i="14"/>
  <c r="H2551" i="14"/>
  <c r="F2551" i="14"/>
  <c r="H2550" i="14"/>
  <c r="F2550" i="14"/>
  <c r="H2546" i="14"/>
  <c r="F2546" i="14"/>
  <c r="H2544" i="14"/>
  <c r="F2544" i="14"/>
  <c r="H2543" i="14"/>
  <c r="F2543" i="14"/>
  <c r="H2541" i="14"/>
  <c r="F2541" i="14"/>
  <c r="H2540" i="14"/>
  <c r="F2540" i="14"/>
  <c r="H2539" i="14"/>
  <c r="F2539" i="14"/>
  <c r="H2538" i="14"/>
  <c r="F2538" i="14"/>
  <c r="H2536" i="14"/>
  <c r="F2536" i="14"/>
  <c r="H2535" i="14"/>
  <c r="F2535" i="14"/>
  <c r="H2534" i="14"/>
  <c r="F2534" i="14"/>
  <c r="H2533" i="14"/>
  <c r="F2533" i="14"/>
  <c r="H2532" i="14"/>
  <c r="F2532" i="14"/>
  <c r="H2531" i="14"/>
  <c r="F2531" i="14"/>
  <c r="H2530" i="14"/>
  <c r="F2530" i="14"/>
  <c r="H2529" i="14"/>
  <c r="F2529" i="14"/>
  <c r="H2528" i="14"/>
  <c r="F2528" i="14"/>
  <c r="H2527" i="14"/>
  <c r="F2527" i="14"/>
  <c r="H2524" i="14"/>
  <c r="F2524" i="14"/>
  <c r="H2523" i="14"/>
  <c r="F2523" i="14"/>
  <c r="H2522" i="14"/>
  <c r="F2522" i="14"/>
  <c r="H2519" i="14"/>
  <c r="F2519" i="14"/>
  <c r="H2518" i="14"/>
  <c r="F2518" i="14"/>
  <c r="H2516" i="14"/>
  <c r="F2516" i="14"/>
  <c r="H2514" i="14"/>
  <c r="F2514" i="14"/>
  <c r="H2513" i="14"/>
  <c r="F2513" i="14"/>
  <c r="H2512" i="14"/>
  <c r="F2512" i="14"/>
  <c r="H2511" i="14"/>
  <c r="F2511" i="14"/>
  <c r="H2510" i="14"/>
  <c r="F2510" i="14"/>
  <c r="H2509" i="14"/>
  <c r="F2509" i="14"/>
  <c r="H2505" i="14"/>
  <c r="F2505" i="14"/>
  <c r="H2504" i="14"/>
  <c r="F2504" i="14"/>
  <c r="H2502" i="14"/>
  <c r="F2502" i="14"/>
  <c r="H2500" i="14"/>
  <c r="F2500" i="14"/>
  <c r="H2499" i="14"/>
  <c r="F2499" i="14"/>
  <c r="H2496" i="14"/>
  <c r="F2496" i="14"/>
  <c r="H2495" i="14"/>
  <c r="F2495" i="14"/>
  <c r="H2494" i="14"/>
  <c r="F2494" i="14"/>
  <c r="H2493" i="14"/>
  <c r="F2493" i="14"/>
  <c r="H2492" i="14"/>
  <c r="F2492" i="14"/>
  <c r="H2491" i="14"/>
  <c r="F2491" i="14"/>
  <c r="H2490" i="14"/>
  <c r="F2490" i="14"/>
  <c r="H2489" i="14"/>
  <c r="F2489" i="14"/>
  <c r="H2486" i="14"/>
  <c r="F2486" i="14"/>
  <c r="H2485" i="14"/>
  <c r="F2485" i="14"/>
  <c r="H2484" i="14"/>
  <c r="F2484" i="14"/>
  <c r="H2483" i="14"/>
  <c r="F2483" i="14"/>
  <c r="H2482" i="14"/>
  <c r="F2482" i="14"/>
  <c r="H2481" i="14"/>
  <c r="F2481" i="14"/>
  <c r="H2480" i="14"/>
  <c r="F2480" i="14"/>
  <c r="H2479" i="14"/>
  <c r="F2479" i="14"/>
  <c r="H2478" i="14"/>
  <c r="F2478" i="14"/>
  <c r="G2474" i="14"/>
  <c r="H2474" i="14" s="1"/>
  <c r="E2474" i="14"/>
  <c r="F2474" i="14" s="1"/>
  <c r="H2473" i="14"/>
  <c r="F2473" i="14"/>
  <c r="H2472" i="14"/>
  <c r="F2472" i="14"/>
  <c r="H2471" i="14"/>
  <c r="F2471" i="14"/>
  <c r="H2470" i="14"/>
  <c r="F2470" i="14"/>
  <c r="H2469" i="14"/>
  <c r="F2469" i="14"/>
  <c r="H2468" i="14"/>
  <c r="F2468" i="14"/>
  <c r="H2467" i="14"/>
  <c r="F2467" i="14"/>
  <c r="H2464" i="14"/>
  <c r="F2464" i="14"/>
  <c r="H2463" i="14"/>
  <c r="F2463" i="14"/>
  <c r="H2462" i="14"/>
  <c r="F2462" i="14"/>
  <c r="H2461" i="14"/>
  <c r="F2461" i="14"/>
  <c r="H2460" i="14"/>
  <c r="F2460" i="14"/>
  <c r="H2459" i="14"/>
  <c r="F2459" i="14"/>
  <c r="H2458" i="14"/>
  <c r="F2458" i="14"/>
  <c r="H2457" i="14"/>
  <c r="F2457" i="14"/>
  <c r="H2456" i="14"/>
  <c r="F2456" i="14"/>
  <c r="H2455" i="14"/>
  <c r="F2455" i="14"/>
  <c r="H2452" i="14"/>
  <c r="F2452" i="14"/>
  <c r="H2451" i="14"/>
  <c r="F2451" i="14"/>
  <c r="H2450" i="14"/>
  <c r="F2450" i="14"/>
  <c r="H2449" i="14"/>
  <c r="F2449" i="14"/>
  <c r="H2448" i="14"/>
  <c r="F2448" i="14"/>
  <c r="H2447" i="14"/>
  <c r="F2447" i="14"/>
  <c r="H2446" i="14"/>
  <c r="F2446" i="14"/>
  <c r="H2445" i="14"/>
  <c r="F2445" i="14"/>
  <c r="H2444" i="14"/>
  <c r="F2444" i="14"/>
  <c r="H2443" i="14"/>
  <c r="F2443" i="14"/>
  <c r="I2439" i="14"/>
  <c r="H2438" i="14"/>
  <c r="F2438" i="14"/>
  <c r="H2437" i="14"/>
  <c r="F2437" i="14"/>
  <c r="H2436" i="14"/>
  <c r="F2436" i="14"/>
  <c r="H2433" i="14"/>
  <c r="F2433" i="14"/>
  <c r="H2432" i="14"/>
  <c r="F2432" i="14"/>
  <c r="H2431" i="14"/>
  <c r="F2431" i="14"/>
  <c r="H2429" i="14"/>
  <c r="F2429" i="14"/>
  <c r="H2428" i="14"/>
  <c r="F2428" i="14"/>
  <c r="H2427" i="14"/>
  <c r="F2427" i="14"/>
  <c r="H2423" i="14"/>
  <c r="F2423" i="14"/>
  <c r="H2421" i="14"/>
  <c r="F2421" i="14"/>
  <c r="H2420" i="14"/>
  <c r="F2420" i="14"/>
  <c r="H2418" i="14"/>
  <c r="F2418" i="14"/>
  <c r="H2417" i="14"/>
  <c r="F2417" i="14"/>
  <c r="H2416" i="14"/>
  <c r="F2416" i="14"/>
  <c r="H2415" i="14"/>
  <c r="F2415" i="14"/>
  <c r="H2413" i="14"/>
  <c r="F2413" i="14"/>
  <c r="H2412" i="14"/>
  <c r="F2412" i="14"/>
  <c r="H2411" i="14"/>
  <c r="F2411" i="14"/>
  <c r="H2410" i="14"/>
  <c r="F2410" i="14"/>
  <c r="H2409" i="14"/>
  <c r="F2409" i="14"/>
  <c r="H2408" i="14"/>
  <c r="F2408" i="14"/>
  <c r="H2407" i="14"/>
  <c r="F2407" i="14"/>
  <c r="H2406" i="14"/>
  <c r="F2406" i="14"/>
  <c r="H2405" i="14"/>
  <c r="F2405" i="14"/>
  <c r="H2402" i="14"/>
  <c r="F2402" i="14"/>
  <c r="H2401" i="14"/>
  <c r="F2401" i="14"/>
  <c r="H2399" i="14"/>
  <c r="F2399" i="14"/>
  <c r="H2397" i="14"/>
  <c r="F2397" i="14"/>
  <c r="H2396" i="14"/>
  <c r="F2396" i="14"/>
  <c r="H2395" i="14"/>
  <c r="F2395" i="14"/>
  <c r="H2394" i="14"/>
  <c r="F2394" i="14"/>
  <c r="H2393" i="14"/>
  <c r="F2393" i="14"/>
  <c r="H2389" i="14"/>
  <c r="F2389" i="14"/>
  <c r="H2388" i="14"/>
  <c r="F2388" i="14"/>
  <c r="H2386" i="14"/>
  <c r="F2386" i="14"/>
  <c r="H2384" i="14"/>
  <c r="F2384" i="14"/>
  <c r="H2383" i="14"/>
  <c r="F2383" i="14"/>
  <c r="H2380" i="14"/>
  <c r="F2380" i="14"/>
  <c r="H2379" i="14"/>
  <c r="F2379" i="14"/>
  <c r="H2378" i="14"/>
  <c r="F2378" i="14"/>
  <c r="H2377" i="14"/>
  <c r="F2377" i="14"/>
  <c r="H2376" i="14"/>
  <c r="F2376" i="14"/>
  <c r="H2375" i="14"/>
  <c r="F2375" i="14"/>
  <c r="H2374" i="14"/>
  <c r="F2374" i="14"/>
  <c r="H2373" i="14"/>
  <c r="F2373" i="14"/>
  <c r="H2370" i="14"/>
  <c r="F2370" i="14"/>
  <c r="H2369" i="14"/>
  <c r="F2369" i="14"/>
  <c r="H2368" i="14"/>
  <c r="F2368" i="14"/>
  <c r="H2367" i="14"/>
  <c r="F2367" i="14"/>
  <c r="H2366" i="14"/>
  <c r="F2366" i="14"/>
  <c r="H2365" i="14"/>
  <c r="F2365" i="14"/>
  <c r="H2364" i="14"/>
  <c r="F2364" i="14"/>
  <c r="H2363" i="14"/>
  <c r="F2363" i="14"/>
  <c r="H2362" i="14"/>
  <c r="F2362" i="14"/>
  <c r="H2361" i="14"/>
  <c r="F2361" i="14"/>
  <c r="H2360" i="14"/>
  <c r="F2360" i="14"/>
  <c r="G2356" i="14"/>
  <c r="H2356" i="14" s="1"/>
  <c r="E2356" i="14"/>
  <c r="F2356" i="14" s="1"/>
  <c r="H2355" i="14"/>
  <c r="F2355" i="14"/>
  <c r="H2354" i="14"/>
  <c r="F2354" i="14"/>
  <c r="H2353" i="14"/>
  <c r="F2353" i="14"/>
  <c r="H2352" i="14"/>
  <c r="F2352" i="14"/>
  <c r="H2351" i="14"/>
  <c r="F2351" i="14"/>
  <c r="H2350" i="14"/>
  <c r="F2350" i="14"/>
  <c r="H2349" i="14"/>
  <c r="F2349" i="14"/>
  <c r="H2348" i="14"/>
  <c r="F2348" i="14"/>
  <c r="H2345" i="14"/>
  <c r="F2345" i="14"/>
  <c r="H2344" i="14"/>
  <c r="F2344" i="14"/>
  <c r="H2343" i="14"/>
  <c r="F2343" i="14"/>
  <c r="H2342" i="14"/>
  <c r="F2342" i="14"/>
  <c r="H2341" i="14"/>
  <c r="F2341" i="14"/>
  <c r="H2340" i="14"/>
  <c r="F2340" i="14"/>
  <c r="H2339" i="14"/>
  <c r="F2339" i="14"/>
  <c r="H2338" i="14"/>
  <c r="F2338" i="14"/>
  <c r="H2337" i="14"/>
  <c r="F2337" i="14"/>
  <c r="H2336" i="14"/>
  <c r="F2336" i="14"/>
  <c r="H2335" i="14"/>
  <c r="F2335" i="14"/>
  <c r="H2334" i="14"/>
  <c r="F2334" i="14"/>
  <c r="H2331" i="14"/>
  <c r="F2331" i="14"/>
  <c r="H2330" i="14"/>
  <c r="F2330" i="14"/>
  <c r="H2328" i="14"/>
  <c r="F2328" i="14"/>
  <c r="H2327" i="14"/>
  <c r="F2327" i="14"/>
  <c r="H2326" i="14"/>
  <c r="F2326" i="14"/>
  <c r="H2325" i="14"/>
  <c r="F2325" i="14"/>
  <c r="H2324" i="14"/>
  <c r="F2324" i="14"/>
  <c r="H2323" i="14"/>
  <c r="F2323" i="14"/>
  <c r="H2322" i="14"/>
  <c r="F2322" i="14"/>
  <c r="H2321" i="14"/>
  <c r="F2321" i="14"/>
  <c r="H2320" i="14"/>
  <c r="F2320" i="14"/>
  <c r="H2319" i="14"/>
  <c r="F2319" i="14"/>
  <c r="H2318" i="14"/>
  <c r="F2318" i="14"/>
  <c r="H2317" i="14"/>
  <c r="F2317" i="14"/>
  <c r="H2316" i="14"/>
  <c r="F2316" i="14"/>
  <c r="H2315" i="14"/>
  <c r="F2315" i="14"/>
  <c r="H2314" i="14"/>
  <c r="F2314" i="14"/>
  <c r="H2313" i="14"/>
  <c r="F2313" i="14"/>
  <c r="H2308" i="14"/>
  <c r="F2308" i="14"/>
  <c r="H2307" i="14"/>
  <c r="F2307" i="14"/>
  <c r="H2306" i="14"/>
  <c r="F2306" i="14"/>
  <c r="H2305" i="14"/>
  <c r="F2305" i="14"/>
  <c r="H2304" i="14"/>
  <c r="F2304" i="14"/>
  <c r="H2301" i="14"/>
  <c r="F2301" i="14"/>
  <c r="H2300" i="14"/>
  <c r="F2300" i="14"/>
  <c r="H2299" i="14"/>
  <c r="F2299" i="14"/>
  <c r="H2298" i="14"/>
  <c r="F2298" i="14"/>
  <c r="H2297" i="14"/>
  <c r="F2297" i="14"/>
  <c r="H2296" i="14"/>
  <c r="F2296" i="14"/>
  <c r="H2295" i="14"/>
  <c r="F2295" i="14"/>
  <c r="H2294" i="14"/>
  <c r="F2294" i="14"/>
  <c r="H2293" i="14"/>
  <c r="F2293" i="14"/>
  <c r="H2292" i="14"/>
  <c r="F2292" i="14"/>
  <c r="H2291" i="14"/>
  <c r="F2291" i="14"/>
  <c r="H2290" i="14"/>
  <c r="F2290" i="14"/>
  <c r="H2289" i="14"/>
  <c r="F2289" i="14"/>
  <c r="H2288" i="14"/>
  <c r="F2288" i="14"/>
  <c r="G2284" i="14"/>
  <c r="H2284" i="14" s="1"/>
  <c r="E2284" i="14"/>
  <c r="F2284" i="14" s="1"/>
  <c r="H2283" i="14"/>
  <c r="F2283" i="14"/>
  <c r="H2282" i="14"/>
  <c r="F2282" i="14"/>
  <c r="H2281" i="14"/>
  <c r="F2281" i="14"/>
  <c r="H2280" i="14"/>
  <c r="F2280" i="14"/>
  <c r="H2279" i="14"/>
  <c r="F2279" i="14"/>
  <c r="H2278" i="14"/>
  <c r="F2278" i="14"/>
  <c r="H2277" i="14"/>
  <c r="F2277" i="14"/>
  <c r="H2276" i="14"/>
  <c r="F2276" i="14"/>
  <c r="H2275" i="14"/>
  <c r="F2275" i="14"/>
  <c r="H2274" i="14"/>
  <c r="F2274" i="14"/>
  <c r="H2271" i="14"/>
  <c r="F2271" i="14"/>
  <c r="H2270" i="14"/>
  <c r="F2270" i="14"/>
  <c r="H2269" i="14"/>
  <c r="F2269" i="14"/>
  <c r="H2266" i="14"/>
  <c r="F2266" i="14"/>
  <c r="H2265" i="14"/>
  <c r="F2265" i="14"/>
  <c r="H2264" i="14"/>
  <c r="F2264" i="14"/>
  <c r="H2263" i="14"/>
  <c r="F2263" i="14"/>
  <c r="H2262" i="14"/>
  <c r="F2262" i="14"/>
  <c r="H2261" i="14"/>
  <c r="F2261" i="14"/>
  <c r="H2260" i="14"/>
  <c r="F2260" i="14"/>
  <c r="H2259" i="14"/>
  <c r="F2259" i="14"/>
  <c r="H2258" i="14"/>
  <c r="F2258" i="14"/>
  <c r="H2257" i="14"/>
  <c r="F2257" i="14"/>
  <c r="H2256" i="14"/>
  <c r="F2256" i="14"/>
  <c r="H2255" i="14"/>
  <c r="F2255" i="14"/>
  <c r="H2254" i="14"/>
  <c r="F2254" i="14"/>
  <c r="H2253" i="14"/>
  <c r="F2253" i="14"/>
  <c r="H2252" i="14"/>
  <c r="F2252" i="14"/>
  <c r="H2249" i="14"/>
  <c r="F2249" i="14"/>
  <c r="H2248" i="14"/>
  <c r="F2248" i="14"/>
  <c r="H2247" i="14"/>
  <c r="F2247" i="14"/>
  <c r="H2246" i="14"/>
  <c r="F2246" i="14"/>
  <c r="H2245" i="14"/>
  <c r="F2245" i="14"/>
  <c r="H2244" i="14"/>
  <c r="F2244" i="14"/>
  <c r="H2243" i="14"/>
  <c r="F2243" i="14"/>
  <c r="H2242" i="14"/>
  <c r="F2242" i="14"/>
  <c r="H2241" i="14"/>
  <c r="F2241" i="14"/>
  <c r="H2240" i="14"/>
  <c r="F2240" i="14"/>
  <c r="H2239" i="14"/>
  <c r="F2239" i="14"/>
  <c r="H2238" i="14"/>
  <c r="F2238" i="14"/>
  <c r="H2237" i="14"/>
  <c r="F2237" i="14"/>
  <c r="H2236" i="14"/>
  <c r="F2236" i="14"/>
  <c r="H2235" i="14"/>
  <c r="F2235" i="14"/>
  <c r="H2234" i="14"/>
  <c r="F2234" i="14"/>
  <c r="H2233" i="14"/>
  <c r="F2233" i="14"/>
  <c r="H2232" i="14"/>
  <c r="F2232" i="14"/>
  <c r="H2231" i="14"/>
  <c r="F2231" i="14"/>
  <c r="H2228" i="14"/>
  <c r="F2228" i="14"/>
  <c r="H2227" i="14"/>
  <c r="F2227" i="14"/>
  <c r="H2214" i="14"/>
  <c r="F2214" i="14"/>
  <c r="H2212" i="14"/>
  <c r="F2212" i="14"/>
  <c r="H2207" i="14"/>
  <c r="I2207" i="14" s="1"/>
  <c r="H2206" i="14"/>
  <c r="F2206" i="14"/>
  <c r="H2204" i="14"/>
  <c r="F2204" i="14"/>
  <c r="H2202" i="14"/>
  <c r="F2202" i="14"/>
  <c r="H2201" i="14"/>
  <c r="F2201" i="14"/>
  <c r="H2199" i="14"/>
  <c r="F2199" i="14"/>
  <c r="H2197" i="14"/>
  <c r="F2197" i="14"/>
  <c r="H2196" i="14"/>
  <c r="F2196" i="14"/>
  <c r="H2191" i="14"/>
  <c r="F2191" i="14"/>
  <c r="H2190" i="14"/>
  <c r="F2190" i="14"/>
  <c r="H2189" i="14"/>
  <c r="F2189" i="14"/>
  <c r="H2188" i="14"/>
  <c r="F2188" i="14"/>
  <c r="H2187" i="14"/>
  <c r="F2187" i="14"/>
  <c r="H2186" i="14"/>
  <c r="F2186" i="14"/>
  <c r="H2185" i="14"/>
  <c r="F2185" i="14"/>
  <c r="H2183" i="14"/>
  <c r="F2183" i="14"/>
  <c r="H2180" i="14"/>
  <c r="F2180" i="14"/>
  <c r="H2175" i="14"/>
  <c r="F2175" i="14"/>
  <c r="E2178" i="14" s="1"/>
  <c r="G2178" i="14" s="1"/>
  <c r="H2178" i="14" s="1"/>
  <c r="H2165" i="14"/>
  <c r="F2165" i="14"/>
  <c r="E2168" i="14" s="1"/>
  <c r="G2168" i="14" s="1"/>
  <c r="H2168" i="14" s="1"/>
  <c r="H2163" i="14"/>
  <c r="F2163" i="14"/>
  <c r="H2161" i="14"/>
  <c r="F2161" i="14"/>
  <c r="H2158" i="14"/>
  <c r="F2158" i="14"/>
  <c r="H2152" i="14"/>
  <c r="F2152" i="14"/>
  <c r="E2153" i="14" s="1"/>
  <c r="H2147" i="14"/>
  <c r="F2147" i="14"/>
  <c r="H2145" i="14"/>
  <c r="F2145" i="14"/>
  <c r="H2143" i="14"/>
  <c r="F2143" i="14"/>
  <c r="H2142" i="14"/>
  <c r="F2142" i="14"/>
  <c r="H2140" i="14"/>
  <c r="F2140" i="14"/>
  <c r="H2137" i="14"/>
  <c r="F2137" i="14"/>
  <c r="H2132" i="14"/>
  <c r="F2132" i="14"/>
  <c r="H2131" i="14"/>
  <c r="F2131" i="14"/>
  <c r="H2130" i="14"/>
  <c r="F2130" i="14"/>
  <c r="H2129" i="14"/>
  <c r="F2129" i="14"/>
  <c r="H2128" i="14"/>
  <c r="F2128" i="14"/>
  <c r="H2127" i="14"/>
  <c r="F2127" i="14"/>
  <c r="H2126" i="14"/>
  <c r="F2126" i="14"/>
  <c r="H2124" i="14"/>
  <c r="F2124" i="14"/>
  <c r="H2123" i="14"/>
  <c r="F2123" i="14"/>
  <c r="H2122" i="14"/>
  <c r="F2122" i="14"/>
  <c r="H2117" i="14"/>
  <c r="F2117" i="14"/>
  <c r="E2120" i="14" s="1"/>
  <c r="F2120" i="14" s="1"/>
  <c r="H2115" i="14"/>
  <c r="F2115" i="14"/>
  <c r="H2111" i="14"/>
  <c r="F2111" i="14"/>
  <c r="H2110" i="14"/>
  <c r="F2110" i="14"/>
  <c r="H2109" i="14"/>
  <c r="F2109" i="14"/>
  <c r="H2107" i="14"/>
  <c r="F2107" i="14"/>
  <c r="H2101" i="14"/>
  <c r="F2101" i="14"/>
  <c r="H2100" i="14"/>
  <c r="F2100" i="14"/>
  <c r="H2095" i="14"/>
  <c r="F2095" i="14"/>
  <c r="H2094" i="14"/>
  <c r="F2094" i="14"/>
  <c r="H2093" i="14"/>
  <c r="F2093" i="14"/>
  <c r="H2092" i="14"/>
  <c r="F2092" i="14"/>
  <c r="H2091" i="14"/>
  <c r="F2091" i="14"/>
  <c r="H2088" i="14"/>
  <c r="F2088" i="14"/>
  <c r="H2087" i="14"/>
  <c r="F2087" i="14"/>
  <c r="H2085" i="14"/>
  <c r="F2085" i="14"/>
  <c r="H2084" i="14"/>
  <c r="F2084" i="14"/>
  <c r="H2083" i="14"/>
  <c r="F2083" i="14"/>
  <c r="H2078" i="14"/>
  <c r="F2078" i="14"/>
  <c r="H2077" i="14"/>
  <c r="F2077" i="14"/>
  <c r="H2076" i="14"/>
  <c r="F2076" i="14"/>
  <c r="H2075" i="14"/>
  <c r="F2075" i="14"/>
  <c r="H2074" i="14"/>
  <c r="F2074" i="14"/>
  <c r="H2073" i="14"/>
  <c r="F2073" i="14"/>
  <c r="H2072" i="14"/>
  <c r="F2072" i="14"/>
  <c r="H2071" i="14"/>
  <c r="F2071" i="14"/>
  <c r="H2066" i="14"/>
  <c r="F2066" i="14"/>
  <c r="H2064" i="14"/>
  <c r="F2064" i="14"/>
  <c r="H2062" i="14"/>
  <c r="F2062" i="14"/>
  <c r="H2061" i="14"/>
  <c r="F2061" i="14"/>
  <c r="H2059" i="14"/>
  <c r="F2059" i="14"/>
  <c r="H2057" i="14"/>
  <c r="F2057" i="14"/>
  <c r="H2052" i="14"/>
  <c r="F2052" i="14"/>
  <c r="H2051" i="14"/>
  <c r="F2051" i="14"/>
  <c r="H2050" i="14"/>
  <c r="F2050" i="14"/>
  <c r="H2049" i="14"/>
  <c r="F2049" i="14"/>
  <c r="H2048" i="14"/>
  <c r="F2048" i="14"/>
  <c r="H2047" i="14"/>
  <c r="F2047" i="14"/>
  <c r="H2046" i="14"/>
  <c r="F2046" i="14"/>
  <c r="H2044" i="14"/>
  <c r="F2044" i="14"/>
  <c r="H2043" i="14"/>
  <c r="F2043" i="14"/>
  <c r="H2042" i="14"/>
  <c r="F2042" i="14"/>
  <c r="H2037" i="14"/>
  <c r="F2037" i="14"/>
  <c r="E2038" i="14" s="1"/>
  <c r="G2038" i="14" s="1"/>
  <c r="H2038" i="14" s="1"/>
  <c r="H2035" i="14"/>
  <c r="F2035" i="14"/>
  <c r="H2031" i="14"/>
  <c r="F2031" i="14"/>
  <c r="H2030" i="14"/>
  <c r="F2030" i="14"/>
  <c r="H2029" i="14"/>
  <c r="F2029" i="14"/>
  <c r="H2027" i="14"/>
  <c r="F2027" i="14"/>
  <c r="H2021" i="14"/>
  <c r="F2021" i="14"/>
  <c r="H2020" i="14"/>
  <c r="F2020" i="14"/>
  <c r="H2015" i="14"/>
  <c r="F2015" i="14"/>
  <c r="H2014" i="14"/>
  <c r="F2014" i="14"/>
  <c r="H2013" i="14"/>
  <c r="F2013" i="14"/>
  <c r="H2012" i="14"/>
  <c r="F2012" i="14"/>
  <c r="H2011" i="14"/>
  <c r="F2011" i="14"/>
  <c r="H2008" i="14"/>
  <c r="F2008" i="14"/>
  <c r="H2007" i="14"/>
  <c r="F2007" i="14"/>
  <c r="H2005" i="14"/>
  <c r="F2005" i="14"/>
  <c r="H2004" i="14"/>
  <c r="F2004" i="14"/>
  <c r="H2003" i="14"/>
  <c r="F2003" i="14"/>
  <c r="H1998" i="14"/>
  <c r="F1998" i="14"/>
  <c r="H1997" i="14"/>
  <c r="F1997" i="14"/>
  <c r="H1996" i="14"/>
  <c r="F1996" i="14"/>
  <c r="H1995" i="14"/>
  <c r="F1995" i="14"/>
  <c r="H1994" i="14"/>
  <c r="F1994" i="14"/>
  <c r="H1993" i="14"/>
  <c r="F1993" i="14"/>
  <c r="H1992" i="14"/>
  <c r="F1992" i="14"/>
  <c r="H1991" i="14"/>
  <c r="F1991" i="14"/>
  <c r="H1986" i="14"/>
  <c r="I1986" i="14" s="1"/>
  <c r="H1985" i="14"/>
  <c r="F1985" i="14"/>
  <c r="H1983" i="14"/>
  <c r="F1983" i="14"/>
  <c r="H1982" i="14"/>
  <c r="F1982" i="14"/>
  <c r="H1980" i="14"/>
  <c r="F1980" i="14"/>
  <c r="H1979" i="14"/>
  <c r="F1979" i="14"/>
  <c r="H1977" i="14"/>
  <c r="F1977" i="14"/>
  <c r="H1975" i="14"/>
  <c r="F1975" i="14"/>
  <c r="H1974" i="14"/>
  <c r="F1974" i="14"/>
  <c r="H1972" i="14"/>
  <c r="F1972" i="14"/>
  <c r="H1970" i="14"/>
  <c r="F1970" i="14"/>
  <c r="H1969" i="14"/>
  <c r="F1969" i="14"/>
  <c r="H1968" i="14"/>
  <c r="F1968" i="14"/>
  <c r="H1966" i="14"/>
  <c r="F1966" i="14"/>
  <c r="H1965" i="14"/>
  <c r="F1965" i="14"/>
  <c r="H1963" i="14"/>
  <c r="F1963" i="14"/>
  <c r="H1961" i="14"/>
  <c r="F1961" i="14"/>
  <c r="H1960" i="14"/>
  <c r="F1960" i="14"/>
  <c r="H1958" i="14"/>
  <c r="F1958" i="14"/>
  <c r="H1956" i="14"/>
  <c r="F1956" i="14"/>
  <c r="H1955" i="14"/>
  <c r="F1955" i="14"/>
  <c r="H1950" i="14"/>
  <c r="F1950" i="14"/>
  <c r="H1949" i="14"/>
  <c r="F1949" i="14"/>
  <c r="H1948" i="14"/>
  <c r="F1948" i="14"/>
  <c r="H1947" i="14"/>
  <c r="F1947" i="14"/>
  <c r="H1946" i="14"/>
  <c r="F1946" i="14"/>
  <c r="H1945" i="14"/>
  <c r="F1945" i="14"/>
  <c r="H1944" i="14"/>
  <c r="F1944" i="14"/>
  <c r="H1943" i="14"/>
  <c r="F1943" i="14"/>
  <c r="H1942" i="14"/>
  <c r="F1942" i="14"/>
  <c r="H1940" i="14"/>
  <c r="F1940" i="14"/>
  <c r="H1939" i="14"/>
  <c r="F1939" i="14"/>
  <c r="H1938" i="14"/>
  <c r="F1938" i="14"/>
  <c r="H1937" i="14"/>
  <c r="F1937" i="14"/>
  <c r="H1936" i="14"/>
  <c r="F1936" i="14"/>
  <c r="H1934" i="14"/>
  <c r="F1934" i="14"/>
  <c r="H1929" i="14"/>
  <c r="F1929" i="14"/>
  <c r="E1932" i="14" s="1"/>
  <c r="G1932" i="14" s="1"/>
  <c r="H1932" i="14" s="1"/>
  <c r="H1925" i="14"/>
  <c r="F1925" i="14"/>
  <c r="H1924" i="14"/>
  <c r="F1924" i="14"/>
  <c r="H1922" i="14"/>
  <c r="F1922" i="14"/>
  <c r="H1921" i="14"/>
  <c r="F1921" i="14"/>
  <c r="H1920" i="14"/>
  <c r="F1920" i="14"/>
  <c r="H1918" i="14"/>
  <c r="F1918" i="14"/>
  <c r="H1912" i="14"/>
  <c r="F1912" i="14"/>
  <c r="H1911" i="14"/>
  <c r="F1911" i="14"/>
  <c r="H1906" i="14"/>
  <c r="F1906" i="14"/>
  <c r="H1905" i="14"/>
  <c r="F1905" i="14"/>
  <c r="H1904" i="14"/>
  <c r="F1904" i="14"/>
  <c r="H1903" i="14"/>
  <c r="F1903" i="14"/>
  <c r="H1902" i="14"/>
  <c r="F1902" i="14"/>
  <c r="H1899" i="14"/>
  <c r="I1899" i="14" s="1"/>
  <c r="H1898" i="14"/>
  <c r="F1898" i="14"/>
  <c r="H1897" i="14"/>
  <c r="F1897" i="14"/>
  <c r="H1896" i="14"/>
  <c r="F1896" i="14"/>
  <c r="H1894" i="14"/>
  <c r="F1894" i="14"/>
  <c r="H1893" i="14"/>
  <c r="F1893" i="14"/>
  <c r="H1891" i="14"/>
  <c r="F1891" i="14"/>
  <c r="H1890" i="14"/>
  <c r="F1890" i="14"/>
  <c r="H1889" i="14"/>
  <c r="F1889" i="14"/>
  <c r="H1887" i="14"/>
  <c r="F1887" i="14"/>
  <c r="H1886" i="14"/>
  <c r="F1886" i="14"/>
  <c r="H1885" i="14"/>
  <c r="F1885" i="14"/>
  <c r="H1883" i="14"/>
  <c r="F1883" i="14"/>
  <c r="H1882" i="14"/>
  <c r="F1882" i="14"/>
  <c r="H1880" i="14"/>
  <c r="F1880" i="14"/>
  <c r="H1879" i="14"/>
  <c r="F1879" i="14"/>
  <c r="H1878" i="14"/>
  <c r="F1878" i="14"/>
  <c r="H1873" i="14"/>
  <c r="F1873" i="14"/>
  <c r="H1872" i="14"/>
  <c r="F1872" i="14"/>
  <c r="H1871" i="14"/>
  <c r="F1871" i="14"/>
  <c r="H1870" i="14"/>
  <c r="F1870" i="14"/>
  <c r="H1869" i="14"/>
  <c r="F1869" i="14"/>
  <c r="H1868" i="14"/>
  <c r="F1868" i="14"/>
  <c r="H1867" i="14"/>
  <c r="F1867" i="14"/>
  <c r="H1866" i="14"/>
  <c r="F1866" i="14"/>
  <c r="H1858" i="14"/>
  <c r="F1858" i="14"/>
  <c r="H1856" i="14"/>
  <c r="F1856" i="14"/>
  <c r="H1854" i="14"/>
  <c r="F1854" i="14"/>
  <c r="H1853" i="14"/>
  <c r="F1853" i="14"/>
  <c r="H1851" i="14"/>
  <c r="F1851" i="14"/>
  <c r="H1849" i="14"/>
  <c r="F1849" i="14"/>
  <c r="H1844" i="14"/>
  <c r="F1844" i="14"/>
  <c r="H1843" i="14"/>
  <c r="F1843" i="14"/>
  <c r="H1842" i="14"/>
  <c r="F1842" i="14"/>
  <c r="H1841" i="14"/>
  <c r="F1841" i="14"/>
  <c r="H1839" i="14"/>
  <c r="F1839" i="14"/>
  <c r="H1838" i="14"/>
  <c r="F1838" i="14"/>
  <c r="H1837" i="14"/>
  <c r="F1837" i="14"/>
  <c r="H1835" i="14"/>
  <c r="F1835" i="14"/>
  <c r="H1830" i="14"/>
  <c r="F1830" i="14"/>
  <c r="E1831" i="14" s="1"/>
  <c r="G1831" i="14" s="1"/>
  <c r="H1831" i="14" s="1"/>
  <c r="H1825" i="14"/>
  <c r="F1825" i="14"/>
  <c r="H1823" i="14"/>
  <c r="F1823" i="14"/>
  <c r="H1821" i="14"/>
  <c r="F1821" i="14"/>
  <c r="H1820" i="14"/>
  <c r="F1820" i="14"/>
  <c r="H1818" i="14"/>
  <c r="F1818" i="14"/>
  <c r="H1816" i="14"/>
  <c r="F1816" i="14"/>
  <c r="H1811" i="14"/>
  <c r="F1811" i="14"/>
  <c r="H1810" i="14"/>
  <c r="F1810" i="14"/>
  <c r="H1809" i="14"/>
  <c r="F1809" i="14"/>
  <c r="H1808" i="14"/>
  <c r="F1808" i="14"/>
  <c r="H1807" i="14"/>
  <c r="F1807" i="14"/>
  <c r="H1806" i="14"/>
  <c r="F1806" i="14"/>
  <c r="H1805" i="14"/>
  <c r="F1805" i="14"/>
  <c r="H1803" i="14"/>
  <c r="F1803" i="14"/>
  <c r="H1802" i="14"/>
  <c r="F1802" i="14"/>
  <c r="H1801" i="14"/>
  <c r="F1801" i="14"/>
  <c r="H1796" i="14"/>
  <c r="F1796" i="14"/>
  <c r="E1798" i="14" s="1"/>
  <c r="G1798" i="14" s="1"/>
  <c r="H1798" i="14" s="1"/>
  <c r="H1791" i="14"/>
  <c r="I1791" i="14" s="1"/>
  <c r="H1790" i="14"/>
  <c r="F1790" i="14"/>
  <c r="H1788" i="14"/>
  <c r="F1788" i="14"/>
  <c r="H1786" i="14"/>
  <c r="F1786" i="14"/>
  <c r="H1785" i="14"/>
  <c r="F1785" i="14"/>
  <c r="H1783" i="14"/>
  <c r="F1783" i="14"/>
  <c r="H1781" i="14"/>
  <c r="F1781" i="14"/>
  <c r="H1780" i="14"/>
  <c r="F1780" i="14"/>
  <c r="H1775" i="14"/>
  <c r="F1775" i="14"/>
  <c r="H1774" i="14"/>
  <c r="F1774" i="14"/>
  <c r="H1773" i="14"/>
  <c r="F1773" i="14"/>
  <c r="H1772" i="14"/>
  <c r="F1772" i="14"/>
  <c r="H1771" i="14"/>
  <c r="F1771" i="14"/>
  <c r="H1770" i="14"/>
  <c r="F1770" i="14"/>
  <c r="H1769" i="14"/>
  <c r="F1769" i="14"/>
  <c r="H1768" i="14"/>
  <c r="F1768" i="14"/>
  <c r="H1767" i="14"/>
  <c r="F1767" i="14"/>
  <c r="H1765" i="14"/>
  <c r="F1765" i="14"/>
  <c r="H1764" i="14"/>
  <c r="F1764" i="14"/>
  <c r="H1763" i="14"/>
  <c r="F1763" i="14"/>
  <c r="H1762" i="14"/>
  <c r="F1762" i="14"/>
  <c r="H1760" i="14"/>
  <c r="F1760" i="14"/>
  <c r="H1755" i="14"/>
  <c r="F1755" i="14"/>
  <c r="E1758" i="14" s="1"/>
  <c r="F1758" i="14" s="1"/>
  <c r="H1749" i="14"/>
  <c r="F1749" i="14"/>
  <c r="E1752" i="14" s="1"/>
  <c r="H1739" i="14"/>
  <c r="F1739" i="14"/>
  <c r="E1742" i="14" s="1"/>
  <c r="F1742" i="14" s="1"/>
  <c r="H1737" i="14"/>
  <c r="F1737" i="14"/>
  <c r="H1734" i="14"/>
  <c r="F1734" i="14"/>
  <c r="H1728" i="14"/>
  <c r="F1728" i="14"/>
  <c r="H1723" i="14"/>
  <c r="I1723" i="14" s="1"/>
  <c r="H1722" i="14"/>
  <c r="F1722" i="14"/>
  <c r="H1720" i="14"/>
  <c r="F1720" i="14"/>
  <c r="H1718" i="14"/>
  <c r="F1718" i="14"/>
  <c r="H1717" i="14"/>
  <c r="F1717" i="14"/>
  <c r="H1715" i="14"/>
  <c r="F1715" i="14"/>
  <c r="H1713" i="14"/>
  <c r="F1713" i="14"/>
  <c r="H1712" i="14"/>
  <c r="F1712" i="14"/>
  <c r="H1707" i="14"/>
  <c r="F1707" i="14"/>
  <c r="H1706" i="14"/>
  <c r="F1706" i="14"/>
  <c r="H1705" i="14"/>
  <c r="F1705" i="14"/>
  <c r="H1704" i="14"/>
  <c r="F1704" i="14"/>
  <c r="H1703" i="14"/>
  <c r="F1703" i="14"/>
  <c r="H1702" i="14"/>
  <c r="F1702" i="14"/>
  <c r="H1701" i="14"/>
  <c r="F1701" i="14"/>
  <c r="H1700" i="14"/>
  <c r="F1700" i="14"/>
  <c r="H1699" i="14"/>
  <c r="F1699" i="14"/>
  <c r="H1697" i="14"/>
  <c r="F1697" i="14"/>
  <c r="H1696" i="14"/>
  <c r="F1696" i="14"/>
  <c r="H1695" i="14"/>
  <c r="F1695" i="14"/>
  <c r="H1694" i="14"/>
  <c r="F1694" i="14"/>
  <c r="H1692" i="14"/>
  <c r="E1692" i="14"/>
  <c r="H1691" i="14"/>
  <c r="F1691" i="14"/>
  <c r="H1686" i="14"/>
  <c r="F1686" i="14"/>
  <c r="E1688" i="14" s="1"/>
  <c r="G1688" i="14" s="1"/>
  <c r="H1688" i="14" s="1"/>
  <c r="H1682" i="14"/>
  <c r="F1682" i="14"/>
  <c r="H1681" i="14"/>
  <c r="F1681" i="14"/>
  <c r="H1680" i="14"/>
  <c r="F1680" i="14"/>
  <c r="H1678" i="14"/>
  <c r="F1678" i="14"/>
  <c r="H1677" i="14"/>
  <c r="F1677" i="14"/>
  <c r="H1676" i="14"/>
  <c r="F1676" i="14"/>
  <c r="H1674" i="14"/>
  <c r="F1674" i="14"/>
  <c r="H1668" i="14"/>
  <c r="F1668" i="14"/>
  <c r="H1667" i="14"/>
  <c r="F1667" i="14"/>
  <c r="H1662" i="14"/>
  <c r="F1662" i="14"/>
  <c r="H1661" i="14"/>
  <c r="F1661" i="14"/>
  <c r="H1660" i="14"/>
  <c r="F1660" i="14"/>
  <c r="H1659" i="14"/>
  <c r="F1659" i="14"/>
  <c r="H1658" i="14"/>
  <c r="F1658" i="14"/>
  <c r="H1655" i="14"/>
  <c r="I1655" i="14" s="1"/>
  <c r="F1655" i="14"/>
  <c r="H1654" i="14"/>
  <c r="F1654" i="14"/>
  <c r="H1652" i="14"/>
  <c r="F1652" i="14"/>
  <c r="H1651" i="14"/>
  <c r="F1651" i="14"/>
  <c r="H1650" i="14"/>
  <c r="F1650" i="14"/>
  <c r="H1645" i="14"/>
  <c r="F1645" i="14"/>
  <c r="H1644" i="14"/>
  <c r="F1644" i="14"/>
  <c r="H1643" i="14"/>
  <c r="F1643" i="14"/>
  <c r="H1642" i="14"/>
  <c r="F1642" i="14"/>
  <c r="H1641" i="14"/>
  <c r="F1641" i="14"/>
  <c r="H1640" i="14"/>
  <c r="F1640" i="14"/>
  <c r="H1639" i="14"/>
  <c r="F1639" i="14"/>
  <c r="H1638" i="14"/>
  <c r="F1638" i="14"/>
  <c r="H1627" i="14"/>
  <c r="F1627" i="14"/>
  <c r="E1630" i="14" s="1"/>
  <c r="G1630" i="14" s="1"/>
  <c r="H1630" i="14" s="1"/>
  <c r="H1625" i="14"/>
  <c r="F1625" i="14"/>
  <c r="H1622" i="14"/>
  <c r="F1622" i="14"/>
  <c r="H1616" i="14"/>
  <c r="F1616" i="14"/>
  <c r="E1617" i="14" s="1"/>
  <c r="G1617" i="14" s="1"/>
  <c r="H1617" i="14" s="1"/>
  <c r="H1611" i="14"/>
  <c r="F1611" i="14"/>
  <c r="H1609" i="14"/>
  <c r="F1609" i="14"/>
  <c r="H1607" i="14"/>
  <c r="F1607" i="14"/>
  <c r="H1606" i="14"/>
  <c r="F1606" i="14"/>
  <c r="H1604" i="14"/>
  <c r="F1604" i="14"/>
  <c r="H1602" i="14"/>
  <c r="F1602" i="14"/>
  <c r="H1597" i="14"/>
  <c r="F1597" i="14"/>
  <c r="H1596" i="14"/>
  <c r="F1596" i="14"/>
  <c r="H1595" i="14"/>
  <c r="F1595" i="14"/>
  <c r="H1594" i="14"/>
  <c r="F1594" i="14"/>
  <c r="H1593" i="14"/>
  <c r="F1593" i="14"/>
  <c r="H1592" i="14"/>
  <c r="F1592" i="14"/>
  <c r="H1591" i="14"/>
  <c r="F1591" i="14"/>
  <c r="I1590" i="14"/>
  <c r="H1589" i="14"/>
  <c r="F1589" i="14"/>
  <c r="H1588" i="14"/>
  <c r="F1588" i="14"/>
  <c r="H1587" i="14"/>
  <c r="F1587" i="14"/>
  <c r="H1586" i="14"/>
  <c r="F1586" i="14"/>
  <c r="H1581" i="14"/>
  <c r="F1581" i="14"/>
  <c r="E1582" i="14" s="1"/>
  <c r="F1582" i="14" s="1"/>
  <c r="H1579" i="14"/>
  <c r="F1579" i="14"/>
  <c r="H1575" i="14"/>
  <c r="F1575" i="14"/>
  <c r="H1574" i="14"/>
  <c r="F1574" i="14"/>
  <c r="H1573" i="14"/>
  <c r="F1573" i="14"/>
  <c r="H1571" i="14"/>
  <c r="F1571" i="14"/>
  <c r="H1565" i="14"/>
  <c r="F1565" i="14"/>
  <c r="H1564" i="14"/>
  <c r="F1564" i="14"/>
  <c r="H1559" i="14"/>
  <c r="F1559" i="14"/>
  <c r="H1558" i="14"/>
  <c r="F1558" i="14"/>
  <c r="H1557" i="14"/>
  <c r="F1557" i="14"/>
  <c r="H1556" i="14"/>
  <c r="F1556" i="14"/>
  <c r="H1555" i="14"/>
  <c r="F1555" i="14"/>
  <c r="H1552" i="14"/>
  <c r="F1552" i="14"/>
  <c r="H1550" i="14"/>
  <c r="F1550" i="14"/>
  <c r="H1549" i="14"/>
  <c r="F1549" i="14"/>
  <c r="H1548" i="14"/>
  <c r="F1548" i="14"/>
  <c r="H1543" i="14"/>
  <c r="F1543" i="14"/>
  <c r="H1542" i="14"/>
  <c r="F1542" i="14"/>
  <c r="H1541" i="14"/>
  <c r="F1541" i="14"/>
  <c r="H1540" i="14"/>
  <c r="F1540" i="14"/>
  <c r="H1539" i="14"/>
  <c r="F1539" i="14"/>
  <c r="H1538" i="14"/>
  <c r="F1538" i="14"/>
  <c r="H1537" i="14"/>
  <c r="F1537" i="14"/>
  <c r="H1536" i="14"/>
  <c r="F1536" i="14"/>
  <c r="H1531" i="14"/>
  <c r="F1531" i="14"/>
  <c r="H1529" i="14"/>
  <c r="F1529" i="14"/>
  <c r="H1527" i="14"/>
  <c r="F1527" i="14"/>
  <c r="H1526" i="14"/>
  <c r="F1526" i="14"/>
  <c r="H1524" i="14"/>
  <c r="F1524" i="14"/>
  <c r="H1522" i="14"/>
  <c r="F1522" i="14"/>
  <c r="H1517" i="14"/>
  <c r="F1517" i="14"/>
  <c r="H1516" i="14"/>
  <c r="F1516" i="14"/>
  <c r="H1515" i="14"/>
  <c r="F1515" i="14"/>
  <c r="H1514" i="14"/>
  <c r="F1514" i="14"/>
  <c r="H1513" i="14"/>
  <c r="F1513" i="14"/>
  <c r="H1512" i="14"/>
  <c r="F1512" i="14"/>
  <c r="H1511" i="14"/>
  <c r="F1511" i="14"/>
  <c r="H1509" i="14"/>
  <c r="F1509" i="14"/>
  <c r="H1508" i="14"/>
  <c r="F1508" i="14"/>
  <c r="H1507" i="14"/>
  <c r="F1507" i="14"/>
  <c r="H1506" i="14"/>
  <c r="F1506" i="14"/>
  <c r="H1501" i="14"/>
  <c r="F1501" i="14"/>
  <c r="E1503" i="14" s="1"/>
  <c r="G1503" i="14" s="1"/>
  <c r="H1503" i="14" s="1"/>
  <c r="H1499" i="14"/>
  <c r="F1499" i="14"/>
  <c r="H1495" i="14"/>
  <c r="F1495" i="14"/>
  <c r="H1494" i="14"/>
  <c r="F1494" i="14"/>
  <c r="H1493" i="14"/>
  <c r="F1493" i="14"/>
  <c r="H1491" i="14"/>
  <c r="F1491" i="14"/>
  <c r="H1485" i="14"/>
  <c r="F1485" i="14"/>
  <c r="H1484" i="14"/>
  <c r="F1484" i="14"/>
  <c r="H1479" i="14"/>
  <c r="F1479" i="14"/>
  <c r="H1478" i="14"/>
  <c r="F1478" i="14"/>
  <c r="H1477" i="14"/>
  <c r="F1477" i="14"/>
  <c r="H1476" i="14"/>
  <c r="F1476" i="14"/>
  <c r="H1475" i="14"/>
  <c r="F1475" i="14"/>
  <c r="H1472" i="14"/>
  <c r="I1472" i="14" s="1"/>
  <c r="H1471" i="14"/>
  <c r="F1471" i="14"/>
  <c r="H1469" i="14"/>
  <c r="F1469" i="14"/>
  <c r="H1468" i="14"/>
  <c r="F1468" i="14"/>
  <c r="H1467" i="14"/>
  <c r="F1467" i="14"/>
  <c r="H1462" i="14"/>
  <c r="F1462" i="14"/>
  <c r="H1461" i="14"/>
  <c r="F1461" i="14"/>
  <c r="H1460" i="14"/>
  <c r="F1460" i="14"/>
  <c r="H1459" i="14"/>
  <c r="F1459" i="14"/>
  <c r="H1458" i="14"/>
  <c r="F1458" i="14"/>
  <c r="H1457" i="14"/>
  <c r="F1457" i="14"/>
  <c r="H1456" i="14"/>
  <c r="F1456" i="14"/>
  <c r="H1455" i="14"/>
  <c r="F1455" i="14"/>
  <c r="H1450" i="14"/>
  <c r="I1450" i="14" s="1"/>
  <c r="F1450" i="14"/>
  <c r="H1449" i="14"/>
  <c r="F1449" i="14"/>
  <c r="H1447" i="14"/>
  <c r="F1447" i="14"/>
  <c r="H1445" i="14"/>
  <c r="F1445" i="14"/>
  <c r="H1444" i="14"/>
  <c r="F1444" i="14"/>
  <c r="H1442" i="14"/>
  <c r="F1442" i="14"/>
  <c r="I1440" i="14"/>
  <c r="H1439" i="14"/>
  <c r="F1439" i="14"/>
  <c r="H1434" i="14"/>
  <c r="F1434" i="14"/>
  <c r="H1433" i="14"/>
  <c r="F1433" i="14"/>
  <c r="H1432" i="14"/>
  <c r="F1432" i="14"/>
  <c r="H1431" i="14"/>
  <c r="F1431" i="14"/>
  <c r="H1430" i="14"/>
  <c r="F1430" i="14"/>
  <c r="H1429" i="14"/>
  <c r="F1429" i="14"/>
  <c r="H1428" i="14"/>
  <c r="F1428" i="14"/>
  <c r="H1427" i="14"/>
  <c r="F1427" i="14"/>
  <c r="H1425" i="14"/>
  <c r="F1425" i="14"/>
  <c r="H1424" i="14"/>
  <c r="F1424" i="14"/>
  <c r="H1423" i="14"/>
  <c r="F1423" i="14"/>
  <c r="H1422" i="14"/>
  <c r="F1422" i="14"/>
  <c r="H1420" i="14"/>
  <c r="F1420" i="14"/>
  <c r="H1415" i="14"/>
  <c r="F1415" i="14"/>
  <c r="E1417" i="14" s="1"/>
  <c r="H1411" i="14"/>
  <c r="F1411" i="14"/>
  <c r="H1410" i="14"/>
  <c r="F1410" i="14"/>
  <c r="H1408" i="14"/>
  <c r="F1408" i="14"/>
  <c r="H1407" i="14"/>
  <c r="F1407" i="14"/>
  <c r="H1406" i="14"/>
  <c r="F1406" i="14"/>
  <c r="H1404" i="14"/>
  <c r="F1404" i="14"/>
  <c r="H1398" i="14"/>
  <c r="F1398" i="14"/>
  <c r="H1397" i="14"/>
  <c r="F1397" i="14"/>
  <c r="H1392" i="14"/>
  <c r="F1392" i="14"/>
  <c r="H1391" i="14"/>
  <c r="F1391" i="14"/>
  <c r="H1390" i="14"/>
  <c r="F1390" i="14"/>
  <c r="H1389" i="14"/>
  <c r="F1389" i="14"/>
  <c r="H1388" i="14"/>
  <c r="F1388" i="14"/>
  <c r="H1385" i="14"/>
  <c r="I1385" i="14" s="1"/>
  <c r="F1385" i="14"/>
  <c r="H1384" i="14"/>
  <c r="F1384" i="14"/>
  <c r="H1382" i="14"/>
  <c r="F1382" i="14"/>
  <c r="H1381" i="14"/>
  <c r="F1381" i="14"/>
  <c r="H1380" i="14"/>
  <c r="F1380" i="14"/>
  <c r="H1375" i="14"/>
  <c r="F1375" i="14"/>
  <c r="H1374" i="14"/>
  <c r="F1374" i="14"/>
  <c r="H1373" i="14"/>
  <c r="F1373" i="14"/>
  <c r="H1372" i="14"/>
  <c r="F1372" i="14"/>
  <c r="H1371" i="14"/>
  <c r="F1371" i="14"/>
  <c r="H1370" i="14"/>
  <c r="F1370" i="14"/>
  <c r="H1369" i="14"/>
  <c r="F1369" i="14"/>
  <c r="H1368" i="14"/>
  <c r="F1368" i="14"/>
  <c r="H1354" i="14"/>
  <c r="B1353" i="14"/>
  <c r="B1352" i="14"/>
  <c r="B1350" i="14"/>
  <c r="B1349" i="14"/>
  <c r="B1348" i="14"/>
  <c r="H1326" i="14"/>
  <c r="E1325" i="14"/>
  <c r="F1325" i="14" s="1"/>
  <c r="E1326" i="14" s="1"/>
  <c r="F1326" i="14" s="1"/>
  <c r="H1312" i="14"/>
  <c r="G1311" i="14"/>
  <c r="G1310" i="14"/>
  <c r="G1308" i="14"/>
  <c r="H1303" i="14"/>
  <c r="G1302" i="14"/>
  <c r="C1302" i="14"/>
  <c r="H1300" i="14"/>
  <c r="G1296" i="14"/>
  <c r="H1293" i="14"/>
  <c r="B1292" i="14"/>
  <c r="B1290" i="14"/>
  <c r="H1268" i="14"/>
  <c r="G1266" i="14"/>
  <c r="H1261" i="14"/>
  <c r="B1260" i="14"/>
  <c r="B1259" i="14"/>
  <c r="B1258" i="14"/>
  <c r="B1257" i="14"/>
  <c r="B1256" i="14"/>
  <c r="B1255" i="14"/>
  <c r="B1254" i="14"/>
  <c r="B1253" i="14"/>
  <c r="B1252" i="14"/>
  <c r="B1251" i="14"/>
  <c r="B1250" i="14"/>
  <c r="B1248" i="14"/>
  <c r="B1247" i="14"/>
  <c r="B1246" i="14"/>
  <c r="B1245" i="14"/>
  <c r="B1244" i="14"/>
  <c r="B1243" i="14"/>
  <c r="B1242" i="14"/>
  <c r="B1241" i="14"/>
  <c r="B1240" i="14"/>
  <c r="B1239" i="14"/>
  <c r="H1236" i="14"/>
  <c r="E1230" i="14"/>
  <c r="B1230" i="14"/>
  <c r="G1229" i="14"/>
  <c r="E1229" i="14"/>
  <c r="B1229" i="14"/>
  <c r="G1228" i="14"/>
  <c r="E1228" i="14"/>
  <c r="B1228" i="14"/>
  <c r="A1228" i="14"/>
  <c r="G1227" i="14"/>
  <c r="E1227" i="14"/>
  <c r="B1227" i="14"/>
  <c r="G1226" i="14"/>
  <c r="E1226" i="14"/>
  <c r="B1226" i="14"/>
  <c r="A1226" i="14"/>
  <c r="G1225" i="14"/>
  <c r="E1225" i="14"/>
  <c r="B1225" i="14"/>
  <c r="A1225" i="14"/>
  <c r="G1224" i="14"/>
  <c r="E1224" i="14"/>
  <c r="B1224" i="14"/>
  <c r="A1224" i="14"/>
  <c r="G1223" i="14"/>
  <c r="E1223" i="14"/>
  <c r="B1223" i="14"/>
  <c r="A1223" i="14"/>
  <c r="G1222" i="14"/>
  <c r="B1222" i="14"/>
  <c r="A1222" i="14"/>
  <c r="G1221" i="14"/>
  <c r="B1221" i="14"/>
  <c r="A1221" i="14"/>
  <c r="G1220" i="14"/>
  <c r="B1220" i="14"/>
  <c r="A1220" i="14"/>
  <c r="G1219" i="14"/>
  <c r="B1219" i="14"/>
  <c r="A1219" i="14"/>
  <c r="G1218" i="14"/>
  <c r="B1218" i="14"/>
  <c r="A1218" i="14"/>
  <c r="E1217" i="14"/>
  <c r="B1217" i="14"/>
  <c r="A1217" i="14"/>
  <c r="E1216" i="14"/>
  <c r="B1216" i="14"/>
  <c r="A1216" i="14"/>
  <c r="E1215" i="14"/>
  <c r="B1215" i="14"/>
  <c r="A1215" i="14"/>
  <c r="E1214" i="14"/>
  <c r="B1214" i="14"/>
  <c r="A1214" i="14"/>
  <c r="E1213" i="14"/>
  <c r="B1213" i="14"/>
  <c r="A1213" i="14"/>
  <c r="G1212" i="14"/>
  <c r="E1212" i="14"/>
  <c r="B1212" i="14"/>
  <c r="A1212" i="14"/>
  <c r="E1211" i="14"/>
  <c r="B1211" i="14"/>
  <c r="A1211" i="14"/>
  <c r="E1210" i="14"/>
  <c r="B1210" i="14"/>
  <c r="A1210" i="14"/>
  <c r="E1209" i="14"/>
  <c r="B1209" i="14"/>
  <c r="A1209" i="14"/>
  <c r="E1208" i="14"/>
  <c r="B1208" i="14"/>
  <c r="A1208" i="14"/>
  <c r="E1207" i="14"/>
  <c r="B1207" i="14"/>
  <c r="A1207" i="14"/>
  <c r="G1206" i="14"/>
  <c r="E1206" i="14"/>
  <c r="B1206" i="14"/>
  <c r="A1206" i="14"/>
  <c r="G1205" i="14"/>
  <c r="E1205" i="14"/>
  <c r="B1205" i="14"/>
  <c r="A1205" i="14"/>
  <c r="G1204" i="14"/>
  <c r="E1204" i="14"/>
  <c r="B1204" i="14"/>
  <c r="A1204" i="14"/>
  <c r="G1203" i="14"/>
  <c r="E1203" i="14"/>
  <c r="B1203" i="14"/>
  <c r="A1203" i="14"/>
  <c r="G1202" i="14"/>
  <c r="E1202" i="14"/>
  <c r="B1202" i="14"/>
  <c r="A1202" i="14"/>
  <c r="G1201" i="14"/>
  <c r="E1201" i="14"/>
  <c r="B1201" i="14"/>
  <c r="A1201" i="14"/>
  <c r="G1200" i="14"/>
  <c r="E1200" i="14"/>
  <c r="B1200" i="14"/>
  <c r="A1200" i="14"/>
  <c r="H1197" i="14"/>
  <c r="C1196" i="14"/>
  <c r="F1196" i="14" s="1"/>
  <c r="C1195" i="14"/>
  <c r="F1195" i="14" s="1"/>
  <c r="C1194" i="14"/>
  <c r="F1194" i="14" s="1"/>
  <c r="H1190" i="14"/>
  <c r="C1189" i="14"/>
  <c r="F1189" i="14" s="1"/>
  <c r="C1188" i="14"/>
  <c r="F1188" i="14" s="1"/>
  <c r="C1187" i="14"/>
  <c r="F1187" i="14" s="1"/>
  <c r="C1185" i="14"/>
  <c r="F1185" i="14" s="1"/>
  <c r="H1157" i="14"/>
  <c r="G1156" i="14"/>
  <c r="C1156" i="14"/>
  <c r="H1154" i="14"/>
  <c r="B1153" i="14"/>
  <c r="B1152" i="14"/>
  <c r="B1151" i="14"/>
  <c r="B1150" i="14"/>
  <c r="B1149" i="14"/>
  <c r="B1148" i="14"/>
  <c r="B1147" i="14"/>
  <c r="B1146" i="14"/>
  <c r="B1145" i="14"/>
  <c r="B1143" i="14"/>
  <c r="B1142" i="14"/>
  <c r="B1141" i="14"/>
  <c r="B1140" i="14"/>
  <c r="B1139" i="14"/>
  <c r="B1138" i="14"/>
  <c r="B1137" i="14"/>
  <c r="B1136" i="14"/>
  <c r="B1135" i="14"/>
  <c r="B1134" i="14"/>
  <c r="B1133" i="14"/>
  <c r="B1132" i="14"/>
  <c r="H1129" i="14"/>
  <c r="E1123" i="14"/>
  <c r="B1123" i="14"/>
  <c r="G1122" i="14"/>
  <c r="E1122" i="14"/>
  <c r="B1122" i="14"/>
  <c r="G1121" i="14"/>
  <c r="E1121" i="14"/>
  <c r="B1121" i="14"/>
  <c r="A1121" i="14"/>
  <c r="G1120" i="14"/>
  <c r="E1120" i="14"/>
  <c r="B1120" i="14"/>
  <c r="G1119" i="14"/>
  <c r="E1119" i="14"/>
  <c r="B1119" i="14"/>
  <c r="A1119" i="14"/>
  <c r="G1118" i="14"/>
  <c r="E1118" i="14"/>
  <c r="B1118" i="14"/>
  <c r="A1118" i="14"/>
  <c r="G1117" i="14"/>
  <c r="E1117" i="14"/>
  <c r="B1117" i="14"/>
  <c r="A1117" i="14"/>
  <c r="G1116" i="14"/>
  <c r="E1116" i="14"/>
  <c r="B1116" i="14"/>
  <c r="A1116" i="14"/>
  <c r="G1115" i="14"/>
  <c r="B1115" i="14"/>
  <c r="A1115" i="14"/>
  <c r="G1114" i="14"/>
  <c r="B1114" i="14"/>
  <c r="A1114" i="14"/>
  <c r="G1113" i="14"/>
  <c r="B1113" i="14"/>
  <c r="A1113" i="14"/>
  <c r="G1112" i="14"/>
  <c r="B1112" i="14"/>
  <c r="A1112" i="14"/>
  <c r="G1111" i="14"/>
  <c r="B1111" i="14"/>
  <c r="A1111" i="14"/>
  <c r="E1110" i="14"/>
  <c r="B1110" i="14"/>
  <c r="A1110" i="14"/>
  <c r="E1109" i="14"/>
  <c r="B1109" i="14"/>
  <c r="A1109" i="14"/>
  <c r="E1108" i="14"/>
  <c r="B1108" i="14"/>
  <c r="A1108" i="14"/>
  <c r="E1107" i="14"/>
  <c r="B1107" i="14"/>
  <c r="A1107" i="14"/>
  <c r="E1106" i="14"/>
  <c r="B1106" i="14"/>
  <c r="A1106" i="14"/>
  <c r="G1105" i="14"/>
  <c r="E1105" i="14"/>
  <c r="B1105" i="14"/>
  <c r="A1105" i="14"/>
  <c r="E1104" i="14"/>
  <c r="B1104" i="14"/>
  <c r="A1104" i="14"/>
  <c r="E1103" i="14"/>
  <c r="B1103" i="14"/>
  <c r="A1103" i="14"/>
  <c r="E1102" i="14"/>
  <c r="B1102" i="14"/>
  <c r="A1102" i="14"/>
  <c r="E1101" i="14"/>
  <c r="B1101" i="14"/>
  <c r="A1101" i="14"/>
  <c r="E1100" i="14"/>
  <c r="B1100" i="14"/>
  <c r="A1100" i="14"/>
  <c r="G1099" i="14"/>
  <c r="E1099" i="14"/>
  <c r="B1099" i="14"/>
  <c r="A1099" i="14"/>
  <c r="G1098" i="14"/>
  <c r="E1098" i="14"/>
  <c r="B1098" i="14"/>
  <c r="A1098" i="14"/>
  <c r="G1097" i="14"/>
  <c r="E1097" i="14"/>
  <c r="B1097" i="14"/>
  <c r="A1097" i="14"/>
  <c r="G1096" i="14"/>
  <c r="E1096" i="14"/>
  <c r="B1096" i="14"/>
  <c r="A1096" i="14"/>
  <c r="G1095" i="14"/>
  <c r="E1095" i="14"/>
  <c r="B1095" i="14"/>
  <c r="A1095" i="14"/>
  <c r="G1094" i="14"/>
  <c r="E1094" i="14"/>
  <c r="B1094" i="14"/>
  <c r="A1094" i="14"/>
  <c r="G1093" i="14"/>
  <c r="E1093" i="14"/>
  <c r="B1093" i="14"/>
  <c r="A1093" i="14"/>
  <c r="H1090" i="14"/>
  <c r="C1089" i="14"/>
  <c r="C1088" i="14"/>
  <c r="H1088" i="14" s="1"/>
  <c r="C1087" i="14"/>
  <c r="F1087" i="14" s="1"/>
  <c r="H1083" i="14"/>
  <c r="C1082" i="14"/>
  <c r="F1082" i="14" s="1"/>
  <c r="C1081" i="14"/>
  <c r="F1081" i="14" s="1"/>
  <c r="C1080" i="14"/>
  <c r="F1080" i="14" s="1"/>
  <c r="C1078" i="14"/>
  <c r="F1078" i="14" s="1"/>
  <c r="H1075" i="14"/>
  <c r="H1074" i="14"/>
  <c r="F1074" i="14"/>
  <c r="G1073" i="14"/>
  <c r="E1073" i="14"/>
  <c r="C1073" i="14"/>
  <c r="G1072" i="14"/>
  <c r="E1072" i="14"/>
  <c r="C1072" i="14"/>
  <c r="H1068" i="14"/>
  <c r="C1067" i="14"/>
  <c r="C1066" i="14"/>
  <c r="H1066" i="14" s="1"/>
  <c r="C1065" i="14"/>
  <c r="H1065" i="14" s="1"/>
  <c r="H1039" i="14"/>
  <c r="B1038" i="14"/>
  <c r="B1037" i="14"/>
  <c r="B1036" i="14"/>
  <c r="B1035" i="14"/>
  <c r="B1034" i="14"/>
  <c r="B1033" i="14"/>
  <c r="B1032" i="14"/>
  <c r="B1031" i="14"/>
  <c r="B1030" i="14"/>
  <c r="B1029" i="14"/>
  <c r="B1028" i="14"/>
  <c r="B1027" i="14"/>
  <c r="B1025" i="14"/>
  <c r="B1024" i="14"/>
  <c r="B1023" i="14"/>
  <c r="B1022" i="14"/>
  <c r="B1021" i="14"/>
  <c r="B1020" i="14"/>
  <c r="B1019" i="14"/>
  <c r="B1018" i="14"/>
  <c r="B1017" i="14"/>
  <c r="B1016" i="14"/>
  <c r="B1015" i="14"/>
  <c r="B1014" i="14"/>
  <c r="B1013" i="14"/>
  <c r="B1012" i="14"/>
  <c r="B1011" i="14"/>
  <c r="B1010" i="14"/>
  <c r="H1007" i="14"/>
  <c r="E1001" i="14"/>
  <c r="B1001" i="14"/>
  <c r="G1000" i="14"/>
  <c r="E1000" i="14"/>
  <c r="B1000" i="14"/>
  <c r="G999" i="14"/>
  <c r="E999" i="14"/>
  <c r="B999" i="14"/>
  <c r="A999" i="14"/>
  <c r="G998" i="14"/>
  <c r="E998" i="14"/>
  <c r="B998" i="14"/>
  <c r="G997" i="14"/>
  <c r="E997" i="14"/>
  <c r="B997" i="14"/>
  <c r="A997" i="14"/>
  <c r="G996" i="14"/>
  <c r="E996" i="14"/>
  <c r="B996" i="14"/>
  <c r="A996" i="14"/>
  <c r="G995" i="14"/>
  <c r="E995" i="14"/>
  <c r="B995" i="14"/>
  <c r="A995" i="14"/>
  <c r="G994" i="14"/>
  <c r="E994" i="14"/>
  <c r="B994" i="14"/>
  <c r="A994" i="14"/>
  <c r="G993" i="14"/>
  <c r="E993" i="14"/>
  <c r="B993" i="14"/>
  <c r="A993" i="14"/>
  <c r="G992" i="14"/>
  <c r="E992" i="14"/>
  <c r="B992" i="14"/>
  <c r="A992" i="14"/>
  <c r="G991" i="14"/>
  <c r="B991" i="14"/>
  <c r="A991" i="14"/>
  <c r="G990" i="14"/>
  <c r="B990" i="14"/>
  <c r="A990" i="14"/>
  <c r="G989" i="14"/>
  <c r="B989" i="14"/>
  <c r="A989" i="14"/>
  <c r="G988" i="14"/>
  <c r="B988" i="14"/>
  <c r="A988" i="14"/>
  <c r="G987" i="14"/>
  <c r="B987" i="14"/>
  <c r="A987" i="14"/>
  <c r="E986" i="14"/>
  <c r="B986" i="14"/>
  <c r="A986" i="14"/>
  <c r="E985" i="14"/>
  <c r="B985" i="14"/>
  <c r="A985" i="14"/>
  <c r="E984" i="14"/>
  <c r="B984" i="14"/>
  <c r="A984" i="14"/>
  <c r="E983" i="14"/>
  <c r="B983" i="14"/>
  <c r="A983" i="14"/>
  <c r="E982" i="14"/>
  <c r="B982" i="14"/>
  <c r="A982" i="14"/>
  <c r="G981" i="14"/>
  <c r="E981" i="14"/>
  <c r="B981" i="14"/>
  <c r="A981" i="14"/>
  <c r="E980" i="14"/>
  <c r="B980" i="14"/>
  <c r="A980" i="14"/>
  <c r="E979" i="14"/>
  <c r="B979" i="14"/>
  <c r="A979" i="14"/>
  <c r="E978" i="14"/>
  <c r="B978" i="14"/>
  <c r="A978" i="14"/>
  <c r="E977" i="14"/>
  <c r="B977" i="14"/>
  <c r="A977" i="14"/>
  <c r="E976" i="14"/>
  <c r="B976" i="14"/>
  <c r="A976" i="14"/>
  <c r="G975" i="14"/>
  <c r="E975" i="14"/>
  <c r="B975" i="14"/>
  <c r="A975" i="14"/>
  <c r="G974" i="14"/>
  <c r="E974" i="14"/>
  <c r="B974" i="14"/>
  <c r="A974" i="14"/>
  <c r="G973" i="14"/>
  <c r="E973" i="14"/>
  <c r="B973" i="14"/>
  <c r="A973" i="14"/>
  <c r="G972" i="14"/>
  <c r="E972" i="14"/>
  <c r="B972" i="14"/>
  <c r="A972" i="14"/>
  <c r="G971" i="14"/>
  <c r="E971" i="14"/>
  <c r="B971" i="14"/>
  <c r="A971" i="14"/>
  <c r="G970" i="14"/>
  <c r="E970" i="14"/>
  <c r="B970" i="14"/>
  <c r="A970" i="14"/>
  <c r="G969" i="14"/>
  <c r="E969" i="14"/>
  <c r="B969" i="14"/>
  <c r="A969" i="14"/>
  <c r="H966" i="14"/>
  <c r="C965" i="14"/>
  <c r="C964" i="14"/>
  <c r="C963" i="14"/>
  <c r="H959" i="14"/>
  <c r="C958" i="14"/>
  <c r="C957" i="14"/>
  <c r="C956" i="14"/>
  <c r="H952" i="14"/>
  <c r="C951" i="14"/>
  <c r="C950" i="14"/>
  <c r="C949" i="14"/>
  <c r="C947" i="14"/>
  <c r="H942" i="14"/>
  <c r="H941" i="14"/>
  <c r="F941" i="14"/>
  <c r="G940" i="14"/>
  <c r="E940" i="14"/>
  <c r="C940" i="14"/>
  <c r="G939" i="14"/>
  <c r="E939" i="14"/>
  <c r="C939" i="14"/>
  <c r="H901" i="14"/>
  <c r="E900" i="14"/>
  <c r="F900" i="14" s="1"/>
  <c r="E901" i="14" s="1"/>
  <c r="F901" i="14" s="1"/>
  <c r="H898" i="14"/>
  <c r="G897" i="14"/>
  <c r="H895" i="14"/>
  <c r="H892" i="14"/>
  <c r="G889" i="14"/>
  <c r="G885" i="14"/>
  <c r="H883" i="14"/>
  <c r="H876" i="14"/>
  <c r="H875" i="14"/>
  <c r="F875" i="14"/>
  <c r="G873" i="14"/>
  <c r="E873" i="14"/>
  <c r="G872" i="14"/>
  <c r="E872" i="14"/>
  <c r="C872" i="14"/>
  <c r="C874" i="14" s="1"/>
  <c r="H874" i="14" s="1"/>
  <c r="H870" i="14"/>
  <c r="B869" i="14"/>
  <c r="B868" i="14"/>
  <c r="B867" i="14"/>
  <c r="B866" i="14"/>
  <c r="B864" i="14"/>
  <c r="B863" i="14"/>
  <c r="B862" i="14"/>
  <c r="C838" i="14"/>
  <c r="H838" i="14" s="1"/>
  <c r="E837" i="14"/>
  <c r="C837" i="14"/>
  <c r="H837" i="14" s="1"/>
  <c r="H835" i="14"/>
  <c r="B834" i="14"/>
  <c r="B832" i="14"/>
  <c r="B831" i="14"/>
  <c r="H807" i="14"/>
  <c r="G804" i="14"/>
  <c r="G803" i="14"/>
  <c r="G801" i="14"/>
  <c r="G800" i="14"/>
  <c r="H794" i="14"/>
  <c r="B793" i="14"/>
  <c r="B792" i="14"/>
  <c r="H776" i="14"/>
  <c r="B775" i="14"/>
  <c r="B774" i="14"/>
  <c r="B773" i="14"/>
  <c r="B771" i="14"/>
  <c r="B770" i="14"/>
  <c r="B769" i="14"/>
  <c r="H766" i="14"/>
  <c r="E760" i="14"/>
  <c r="B760" i="14"/>
  <c r="G759" i="14"/>
  <c r="E759" i="14"/>
  <c r="B759" i="14"/>
  <c r="G758" i="14"/>
  <c r="E758" i="14"/>
  <c r="B758" i="14"/>
  <c r="A758" i="14"/>
  <c r="G757" i="14"/>
  <c r="E757" i="14"/>
  <c r="B757" i="14"/>
  <c r="A757" i="14"/>
  <c r="G756" i="14"/>
  <c r="E756" i="14"/>
  <c r="B756" i="14"/>
  <c r="A756" i="14"/>
  <c r="G755" i="14"/>
  <c r="E755" i="14"/>
  <c r="B755" i="14"/>
  <c r="A755" i="14"/>
  <c r="G754" i="14"/>
  <c r="E754" i="14"/>
  <c r="B754" i="14"/>
  <c r="A754" i="14"/>
  <c r="G753" i="14"/>
  <c r="E753" i="14"/>
  <c r="B753" i="14"/>
  <c r="A753" i="14"/>
  <c r="G752" i="14"/>
  <c r="B752" i="14"/>
  <c r="A752" i="14"/>
  <c r="E751" i="14"/>
  <c r="B751" i="14"/>
  <c r="A751" i="14"/>
  <c r="E750" i="14"/>
  <c r="B750" i="14"/>
  <c r="A750" i="14"/>
  <c r="E749" i="14"/>
  <c r="B749" i="14"/>
  <c r="A749" i="14"/>
  <c r="E748" i="14"/>
  <c r="B748" i="14"/>
  <c r="A748" i="14"/>
  <c r="E747" i="14"/>
  <c r="B747" i="14"/>
  <c r="A747" i="14"/>
  <c r="G746" i="14"/>
  <c r="E746" i="14"/>
  <c r="B746" i="14"/>
  <c r="A746" i="14"/>
  <c r="G745" i="14"/>
  <c r="E745" i="14"/>
  <c r="B745" i="14"/>
  <c r="A745" i="14"/>
  <c r="G744" i="14"/>
  <c r="E744" i="14"/>
  <c r="B744" i="14"/>
  <c r="A744" i="14"/>
  <c r="G743" i="14"/>
  <c r="E743" i="14"/>
  <c r="B743" i="14"/>
  <c r="A743" i="14"/>
  <c r="H713" i="14"/>
  <c r="E712" i="14"/>
  <c r="G712" i="14" s="1"/>
  <c r="H712" i="14" s="1"/>
  <c r="C709" i="14"/>
  <c r="H709" i="14" s="1"/>
  <c r="C708" i="14"/>
  <c r="H708" i="14" s="1"/>
  <c r="C707" i="14"/>
  <c r="H707" i="14" s="1"/>
  <c r="H694" i="14"/>
  <c r="G693" i="14"/>
  <c r="C693" i="14"/>
  <c r="F693" i="14" s="1"/>
  <c r="E694" i="14" s="1"/>
  <c r="F694" i="14" s="1"/>
  <c r="H691" i="14"/>
  <c r="G690" i="14"/>
  <c r="H688" i="14"/>
  <c r="H681" i="14"/>
  <c r="B680" i="14"/>
  <c r="B678" i="14"/>
  <c r="B677" i="14"/>
  <c r="H661" i="14"/>
  <c r="B660" i="14"/>
  <c r="B659" i="14"/>
  <c r="B658" i="14"/>
  <c r="B657" i="14"/>
  <c r="B656" i="14"/>
  <c r="B655" i="14"/>
  <c r="B654" i="14"/>
  <c r="B653" i="14"/>
  <c r="B652" i="14"/>
  <c r="B651" i="14"/>
  <c r="C650" i="14"/>
  <c r="H650" i="14" s="1"/>
  <c r="B650" i="14"/>
  <c r="B649" i="14"/>
  <c r="B648" i="14"/>
  <c r="B646" i="14"/>
  <c r="B645" i="14"/>
  <c r="B644" i="14"/>
  <c r="B643" i="14"/>
  <c r="B642" i="14"/>
  <c r="B641" i="14"/>
  <c r="B640" i="14"/>
  <c r="B639" i="14"/>
  <c r="B638" i="14"/>
  <c r="B637" i="14"/>
  <c r="B636" i="14"/>
  <c r="H633" i="14"/>
  <c r="E627" i="14"/>
  <c r="B627" i="14"/>
  <c r="G626" i="14"/>
  <c r="E626" i="14"/>
  <c r="B626" i="14"/>
  <c r="G625" i="14"/>
  <c r="E625" i="14"/>
  <c r="B625" i="14"/>
  <c r="A625" i="14"/>
  <c r="G624" i="14"/>
  <c r="E624" i="14"/>
  <c r="B624" i="14"/>
  <c r="G623" i="14"/>
  <c r="E623" i="14"/>
  <c r="B623" i="14"/>
  <c r="A623" i="14"/>
  <c r="G622" i="14"/>
  <c r="E622" i="14"/>
  <c r="B622" i="14"/>
  <c r="A622" i="14"/>
  <c r="G621" i="14"/>
  <c r="E621" i="14"/>
  <c r="B621" i="14"/>
  <c r="A621" i="14"/>
  <c r="G620" i="14"/>
  <c r="E620" i="14"/>
  <c r="B620" i="14"/>
  <c r="A620" i="14"/>
  <c r="G619" i="14"/>
  <c r="B619" i="14"/>
  <c r="A619" i="14"/>
  <c r="G618" i="14"/>
  <c r="B618" i="14"/>
  <c r="A618" i="14"/>
  <c r="G617" i="14"/>
  <c r="B617" i="14"/>
  <c r="A617" i="14"/>
  <c r="G616" i="14"/>
  <c r="B616" i="14"/>
  <c r="A616" i="14"/>
  <c r="G615" i="14"/>
  <c r="B615" i="14"/>
  <c r="A615" i="14"/>
  <c r="E614" i="14"/>
  <c r="B614" i="14"/>
  <c r="A614" i="14"/>
  <c r="E613" i="14"/>
  <c r="B613" i="14"/>
  <c r="A613" i="14"/>
  <c r="E612" i="14"/>
  <c r="B612" i="14"/>
  <c r="A612" i="14"/>
  <c r="E611" i="14"/>
  <c r="B611" i="14"/>
  <c r="A611" i="14"/>
  <c r="E610" i="14"/>
  <c r="B610" i="14"/>
  <c r="A610" i="14"/>
  <c r="G609" i="14"/>
  <c r="E609" i="14"/>
  <c r="B609" i="14"/>
  <c r="A609" i="14"/>
  <c r="E608" i="14"/>
  <c r="B608" i="14"/>
  <c r="A608" i="14"/>
  <c r="E607" i="14"/>
  <c r="B607" i="14"/>
  <c r="A607" i="14"/>
  <c r="E606" i="14"/>
  <c r="B606" i="14"/>
  <c r="A606" i="14"/>
  <c r="E605" i="14"/>
  <c r="B605" i="14"/>
  <c r="A605" i="14"/>
  <c r="E604" i="14"/>
  <c r="B604" i="14"/>
  <c r="A604" i="14"/>
  <c r="G603" i="14"/>
  <c r="E603" i="14"/>
  <c r="B603" i="14"/>
  <c r="A603" i="14"/>
  <c r="G602" i="14"/>
  <c r="E602" i="14"/>
  <c r="B602" i="14"/>
  <c r="A602" i="14"/>
  <c r="G601" i="14"/>
  <c r="E601" i="14"/>
  <c r="B601" i="14"/>
  <c r="A601" i="14"/>
  <c r="G600" i="14"/>
  <c r="E600" i="14"/>
  <c r="B600" i="14"/>
  <c r="A600" i="14"/>
  <c r="G599" i="14"/>
  <c r="E599" i="14"/>
  <c r="B599" i="14"/>
  <c r="A599" i="14"/>
  <c r="G598" i="14"/>
  <c r="E598" i="14"/>
  <c r="B598" i="14"/>
  <c r="A598" i="14"/>
  <c r="G597" i="14"/>
  <c r="E597" i="14"/>
  <c r="B597" i="14"/>
  <c r="A597" i="14"/>
  <c r="H594" i="14"/>
  <c r="C593" i="14"/>
  <c r="C592" i="14"/>
  <c r="C591" i="14"/>
  <c r="H589" i="14"/>
  <c r="C588" i="14"/>
  <c r="C587" i="14"/>
  <c r="C586" i="14"/>
  <c r="H561" i="14"/>
  <c r="G560" i="14"/>
  <c r="H558" i="14"/>
  <c r="B557" i="14"/>
  <c r="B556" i="14"/>
  <c r="B555" i="14"/>
  <c r="C554" i="14"/>
  <c r="H554" i="14" s="1"/>
  <c r="B554" i="14"/>
  <c r="B553" i="14"/>
  <c r="B552" i="14"/>
  <c r="B550" i="14"/>
  <c r="B549" i="14"/>
  <c r="B548" i="14"/>
  <c r="B547" i="14"/>
  <c r="B546" i="14"/>
  <c r="B545" i="14"/>
  <c r="B544" i="14"/>
  <c r="B543" i="14"/>
  <c r="B542" i="14"/>
  <c r="B541" i="14"/>
  <c r="B540" i="14"/>
  <c r="B539" i="14"/>
  <c r="H536" i="14"/>
  <c r="E530" i="14"/>
  <c r="B530" i="14"/>
  <c r="G529" i="14"/>
  <c r="E529" i="14"/>
  <c r="B529" i="14"/>
  <c r="G528" i="14"/>
  <c r="E528" i="14"/>
  <c r="B528" i="14"/>
  <c r="A528" i="14"/>
  <c r="G527" i="14"/>
  <c r="E527" i="14"/>
  <c r="B527" i="14"/>
  <c r="G526" i="14"/>
  <c r="E526" i="14"/>
  <c r="B526" i="14"/>
  <c r="A526" i="14"/>
  <c r="G525" i="14"/>
  <c r="E525" i="14"/>
  <c r="B525" i="14"/>
  <c r="A525" i="14"/>
  <c r="G524" i="14"/>
  <c r="E524" i="14"/>
  <c r="B524" i="14"/>
  <c r="A524" i="14"/>
  <c r="G523" i="14"/>
  <c r="E523" i="14"/>
  <c r="B523" i="14"/>
  <c r="A523" i="14"/>
  <c r="G522" i="14"/>
  <c r="B522" i="14"/>
  <c r="A522" i="14"/>
  <c r="G521" i="14"/>
  <c r="B521" i="14"/>
  <c r="A521" i="14"/>
  <c r="G520" i="14"/>
  <c r="B520" i="14"/>
  <c r="A520" i="14"/>
  <c r="G519" i="14"/>
  <c r="B519" i="14"/>
  <c r="A519" i="14"/>
  <c r="G518" i="14"/>
  <c r="B518" i="14"/>
  <c r="A518" i="14"/>
  <c r="E517" i="14"/>
  <c r="B517" i="14"/>
  <c r="A517" i="14"/>
  <c r="E516" i="14"/>
  <c r="B516" i="14"/>
  <c r="A516" i="14"/>
  <c r="E515" i="14"/>
  <c r="B515" i="14"/>
  <c r="A515" i="14"/>
  <c r="E514" i="14"/>
  <c r="B514" i="14"/>
  <c r="A514" i="14"/>
  <c r="E513" i="14"/>
  <c r="B513" i="14"/>
  <c r="A513" i="14"/>
  <c r="G512" i="14"/>
  <c r="E512" i="14"/>
  <c r="B512" i="14"/>
  <c r="A512" i="14"/>
  <c r="E511" i="14"/>
  <c r="B511" i="14"/>
  <c r="A511" i="14"/>
  <c r="E510" i="14"/>
  <c r="B510" i="14"/>
  <c r="A510" i="14"/>
  <c r="E509" i="14"/>
  <c r="B509" i="14"/>
  <c r="A509" i="14"/>
  <c r="E508" i="14"/>
  <c r="B508" i="14"/>
  <c r="A508" i="14"/>
  <c r="E507" i="14"/>
  <c r="B507" i="14"/>
  <c r="A507" i="14"/>
  <c r="G506" i="14"/>
  <c r="E506" i="14"/>
  <c r="B506" i="14"/>
  <c r="A506" i="14"/>
  <c r="G505" i="14"/>
  <c r="E505" i="14"/>
  <c r="B505" i="14"/>
  <c r="A505" i="14"/>
  <c r="G504" i="14"/>
  <c r="E504" i="14"/>
  <c r="B504" i="14"/>
  <c r="A504" i="14"/>
  <c r="G503" i="14"/>
  <c r="E503" i="14"/>
  <c r="B503" i="14"/>
  <c r="A503" i="14"/>
  <c r="G502" i="14"/>
  <c r="E502" i="14"/>
  <c r="B502" i="14"/>
  <c r="A502" i="14"/>
  <c r="G501" i="14"/>
  <c r="E501" i="14"/>
  <c r="B501" i="14"/>
  <c r="A501" i="14"/>
  <c r="G500" i="14"/>
  <c r="E500" i="14"/>
  <c r="B500" i="14"/>
  <c r="A500" i="14"/>
  <c r="H497" i="14"/>
  <c r="C496" i="14"/>
  <c r="C495" i="14"/>
  <c r="H495" i="14" s="1"/>
  <c r="C494" i="14"/>
  <c r="F494" i="14" s="1"/>
  <c r="H492" i="14"/>
  <c r="C491" i="14"/>
  <c r="C490" i="14"/>
  <c r="F490" i="14" s="1"/>
  <c r="C489" i="14"/>
  <c r="H489" i="14" s="1"/>
  <c r="H487" i="14"/>
  <c r="C486" i="14"/>
  <c r="C485" i="14"/>
  <c r="H485" i="14" s="1"/>
  <c r="C484" i="14"/>
  <c r="H484" i="14" s="1"/>
  <c r="H459" i="14"/>
  <c r="B458" i="14"/>
  <c r="B457" i="14"/>
  <c r="B456" i="14"/>
  <c r="B455" i="14"/>
  <c r="B454" i="14"/>
  <c r="B453" i="14"/>
  <c r="B452" i="14"/>
  <c r="B451" i="14"/>
  <c r="B450" i="14"/>
  <c r="B449" i="14"/>
  <c r="B448" i="14"/>
  <c r="B446" i="14"/>
  <c r="B445" i="14"/>
  <c r="B444" i="14"/>
  <c r="B443" i="14"/>
  <c r="B442" i="14"/>
  <c r="B441" i="14"/>
  <c r="B440" i="14"/>
  <c r="B439" i="14"/>
  <c r="B438" i="14"/>
  <c r="B437" i="14"/>
  <c r="B436" i="14"/>
  <c r="B435" i="14"/>
  <c r="B434" i="14"/>
  <c r="H431" i="14"/>
  <c r="E425" i="14"/>
  <c r="B425" i="14"/>
  <c r="G424" i="14"/>
  <c r="E424" i="14"/>
  <c r="B424" i="14"/>
  <c r="G423" i="14"/>
  <c r="E423" i="14"/>
  <c r="B423" i="14"/>
  <c r="A423" i="14"/>
  <c r="G422" i="14"/>
  <c r="E422" i="14"/>
  <c r="B422" i="14"/>
  <c r="G421" i="14"/>
  <c r="E421" i="14"/>
  <c r="B421" i="14"/>
  <c r="A421" i="14"/>
  <c r="G420" i="14"/>
  <c r="E420" i="14"/>
  <c r="B420" i="14"/>
  <c r="A420" i="14"/>
  <c r="G419" i="14"/>
  <c r="E419" i="14"/>
  <c r="B419" i="14"/>
  <c r="A419" i="14"/>
  <c r="G418" i="14"/>
  <c r="E418" i="14"/>
  <c r="B418" i="14"/>
  <c r="A418" i="14"/>
  <c r="G417" i="14"/>
  <c r="B417" i="14"/>
  <c r="A417" i="14"/>
  <c r="G416" i="14"/>
  <c r="B416" i="14"/>
  <c r="A416" i="14"/>
  <c r="G415" i="14"/>
  <c r="B415" i="14"/>
  <c r="A415" i="14"/>
  <c r="G414" i="14"/>
  <c r="B414" i="14"/>
  <c r="A414" i="14"/>
  <c r="G413" i="14"/>
  <c r="B413" i="14"/>
  <c r="A413" i="14"/>
  <c r="E412" i="14"/>
  <c r="B412" i="14"/>
  <c r="A412" i="14"/>
  <c r="E411" i="14"/>
  <c r="B411" i="14"/>
  <c r="A411" i="14"/>
  <c r="E410" i="14"/>
  <c r="B410" i="14"/>
  <c r="A410" i="14"/>
  <c r="E409" i="14"/>
  <c r="B409" i="14"/>
  <c r="A409" i="14"/>
  <c r="E408" i="14"/>
  <c r="B408" i="14"/>
  <c r="A408" i="14"/>
  <c r="G407" i="14"/>
  <c r="E407" i="14"/>
  <c r="B407" i="14"/>
  <c r="A407" i="14"/>
  <c r="E406" i="14"/>
  <c r="B406" i="14"/>
  <c r="A406" i="14"/>
  <c r="E405" i="14"/>
  <c r="B405" i="14"/>
  <c r="A405" i="14"/>
  <c r="E404" i="14"/>
  <c r="B404" i="14"/>
  <c r="A404" i="14"/>
  <c r="E403" i="14"/>
  <c r="B403" i="14"/>
  <c r="A403" i="14"/>
  <c r="E402" i="14"/>
  <c r="B402" i="14"/>
  <c r="A402" i="14"/>
  <c r="G401" i="14"/>
  <c r="E401" i="14"/>
  <c r="B401" i="14"/>
  <c r="A401" i="14"/>
  <c r="G400" i="14"/>
  <c r="E400" i="14"/>
  <c r="B400" i="14"/>
  <c r="A400" i="14"/>
  <c r="G399" i="14"/>
  <c r="E399" i="14"/>
  <c r="B399" i="14"/>
  <c r="A399" i="14"/>
  <c r="G398" i="14"/>
  <c r="E398" i="14"/>
  <c r="B398" i="14"/>
  <c r="A398" i="14"/>
  <c r="G397" i="14"/>
  <c r="E397" i="14"/>
  <c r="B397" i="14"/>
  <c r="A397" i="14"/>
  <c r="G396" i="14"/>
  <c r="E396" i="14"/>
  <c r="B396" i="14"/>
  <c r="A396" i="14"/>
  <c r="G395" i="14"/>
  <c r="E395" i="14"/>
  <c r="B395" i="14"/>
  <c r="A395" i="14"/>
  <c r="H392" i="14"/>
  <c r="C391" i="14"/>
  <c r="H391" i="14" s="1"/>
  <c r="C390" i="14"/>
  <c r="H390" i="14" s="1"/>
  <c r="C389" i="14"/>
  <c r="H389" i="14" s="1"/>
  <c r="H385" i="14"/>
  <c r="C384" i="14"/>
  <c r="H384" i="14" s="1"/>
  <c r="C383" i="14"/>
  <c r="H383" i="14" s="1"/>
  <c r="C382" i="14"/>
  <c r="H382" i="14" s="1"/>
  <c r="C380" i="14"/>
  <c r="H380" i="14" s="1"/>
  <c r="H378" i="14"/>
  <c r="C377" i="14"/>
  <c r="H377" i="14" s="1"/>
  <c r="C376" i="14"/>
  <c r="H376" i="14" s="1"/>
  <c r="C375" i="14"/>
  <c r="H375" i="14" s="1"/>
  <c r="C373" i="14"/>
  <c r="H373" i="14" s="1"/>
  <c r="H12" i="14"/>
  <c r="H88" i="14"/>
  <c r="F88" i="14"/>
  <c r="H87" i="14"/>
  <c r="F87" i="14"/>
  <c r="H86" i="14"/>
  <c r="F86" i="14"/>
  <c r="H85" i="14"/>
  <c r="F85" i="14"/>
  <c r="H84" i="14"/>
  <c r="F84" i="14"/>
  <c r="H83" i="14"/>
  <c r="F83" i="14"/>
  <c r="H82" i="14"/>
  <c r="F82" i="14"/>
  <c r="H81" i="14"/>
  <c r="F81" i="14"/>
  <c r="H80" i="14"/>
  <c r="F80" i="14"/>
  <c r="H79" i="14"/>
  <c r="F79" i="14"/>
  <c r="H78" i="14"/>
  <c r="F78" i="14"/>
  <c r="H77" i="14"/>
  <c r="F77" i="14"/>
  <c r="H74" i="14"/>
  <c r="E74" i="14"/>
  <c r="F74" i="14" s="1"/>
  <c r="H68" i="14"/>
  <c r="F68" i="14"/>
  <c r="E70" i="14" s="1"/>
  <c r="H65" i="14"/>
  <c r="F65" i="14"/>
  <c r="H64" i="14"/>
  <c r="F64" i="14"/>
  <c r="H63" i="14"/>
  <c r="F63" i="14"/>
  <c r="H61" i="14"/>
  <c r="F61" i="14"/>
  <c r="H60" i="14"/>
  <c r="F60" i="14"/>
  <c r="H59" i="14"/>
  <c r="F59" i="14"/>
  <c r="H54" i="14"/>
  <c r="F54" i="14"/>
  <c r="E56" i="14" s="1"/>
  <c r="H45" i="14"/>
  <c r="F45" i="14"/>
  <c r="H44" i="14"/>
  <c r="F44" i="14"/>
  <c r="H42" i="14"/>
  <c r="F42" i="14"/>
  <c r="H40" i="14"/>
  <c r="F40" i="14"/>
  <c r="H38" i="14"/>
  <c r="F38" i="14"/>
  <c r="H36" i="14"/>
  <c r="F36" i="14"/>
  <c r="H31" i="14"/>
  <c r="F31" i="14"/>
  <c r="C27" i="14"/>
  <c r="H27" i="14" s="1"/>
  <c r="H26" i="14"/>
  <c r="F26" i="14"/>
  <c r="H25" i="14"/>
  <c r="F25" i="14"/>
  <c r="I1870" i="14" l="1"/>
  <c r="I1493" i="14"/>
  <c r="I1495" i="14"/>
  <c r="I1514" i="14"/>
  <c r="I1529" i="14"/>
  <c r="I1542" i="14"/>
  <c r="I1548" i="14"/>
  <c r="I2997" i="14"/>
  <c r="I3050" i="14"/>
  <c r="I1872" i="14"/>
  <c r="I2992" i="14"/>
  <c r="I3001" i="14"/>
  <c r="I1995" i="14"/>
  <c r="I2008" i="14"/>
  <c r="I3003" i="14"/>
  <c r="I3170" i="14"/>
  <c r="I3005" i="14"/>
  <c r="I1550" i="14"/>
  <c r="I1555" i="14"/>
  <c r="I1573" i="14"/>
  <c r="I2949" i="14"/>
  <c r="I1575" i="14"/>
  <c r="I2953" i="14"/>
  <c r="I2197" i="14"/>
  <c r="I2204" i="14"/>
  <c r="I2443" i="14"/>
  <c r="I2445" i="14"/>
  <c r="I2447" i="14"/>
  <c r="I2449" i="14"/>
  <c r="I2451" i="14"/>
  <c r="I2490" i="14"/>
  <c r="I2492" i="14"/>
  <c r="I2494" i="14"/>
  <c r="I2496" i="14"/>
  <c r="I2509" i="14"/>
  <c r="I2513" i="14"/>
  <c r="I2529" i="14"/>
  <c r="I2540" i="14"/>
  <c r="I2543" i="14"/>
  <c r="I2546" i="14"/>
  <c r="I2556" i="14"/>
  <c r="I2562" i="14"/>
  <c r="I2568" i="14"/>
  <c r="I2570" i="14"/>
  <c r="I2478" i="14"/>
  <c r="I2564" i="14"/>
  <c r="I2906" i="14"/>
  <c r="I2030" i="14"/>
  <c r="I2590" i="14"/>
  <c r="I2910" i="14"/>
  <c r="I3108" i="14"/>
  <c r="I1587" i="14"/>
  <c r="I3146" i="14"/>
  <c r="I3158" i="14"/>
  <c r="I2778" i="14"/>
  <c r="E2054" i="14"/>
  <c r="G2054" i="14" s="1"/>
  <c r="H2054" i="14" s="1"/>
  <c r="E1399" i="14"/>
  <c r="G1399" i="14" s="1"/>
  <c r="H1399" i="14" s="1"/>
  <c r="I2238" i="14"/>
  <c r="I2252" i="14"/>
  <c r="I2256" i="14"/>
  <c r="I2258" i="14"/>
  <c r="I2260" i="14"/>
  <c r="I2262" i="14"/>
  <c r="I2264" i="14"/>
  <c r="I2266" i="14"/>
  <c r="I2274" i="14"/>
  <c r="I2276" i="14"/>
  <c r="I2278" i="14"/>
  <c r="I2297" i="14"/>
  <c r="I2301" i="14"/>
  <c r="I2305" i="14"/>
  <c r="I2307" i="14"/>
  <c r="I2317" i="14"/>
  <c r="I2354" i="14"/>
  <c r="I2428" i="14"/>
  <c r="I2917" i="14"/>
  <c r="I3089" i="14"/>
  <c r="I2165" i="14"/>
  <c r="I1445" i="14"/>
  <c r="I1467" i="14"/>
  <c r="I2007" i="14"/>
  <c r="I2202" i="14"/>
  <c r="I3072" i="14"/>
  <c r="I3080" i="14"/>
  <c r="E2097" i="14"/>
  <c r="G2097" i="14" s="1"/>
  <c r="H2097" i="14" s="1"/>
  <c r="I2051" i="14"/>
  <c r="I2960" i="14"/>
  <c r="I1373" i="14"/>
  <c r="I1381" i="14"/>
  <c r="I1384" i="14"/>
  <c r="I1920" i="14"/>
  <c r="I1937" i="14"/>
  <c r="I1942" i="14"/>
  <c r="I1946" i="14"/>
  <c r="I1948" i="14"/>
  <c r="I1972" i="14"/>
  <c r="I1979" i="14"/>
  <c r="I2064" i="14"/>
  <c r="I1929" i="14"/>
  <c r="I2012" i="14"/>
  <c r="I3022" i="14"/>
  <c r="I3025" i="14"/>
  <c r="I3043" i="14"/>
  <c r="I3082" i="14"/>
  <c r="I3084" i="14"/>
  <c r="I3096" i="14"/>
  <c r="I1430" i="14"/>
  <c r="I1434" i="14"/>
  <c r="I1494" i="14"/>
  <c r="I3081" i="14"/>
  <c r="I3118" i="14"/>
  <c r="I1806" i="14"/>
  <c r="I1816" i="14"/>
  <c r="I1820" i="14"/>
  <c r="I1823" i="14"/>
  <c r="I1854" i="14"/>
  <c r="I1869" i="14"/>
  <c r="I1871" i="14"/>
  <c r="I1873" i="14"/>
  <c r="I1879" i="14"/>
  <c r="I2427" i="14"/>
  <c r="I2575" i="14"/>
  <c r="I2591" i="14"/>
  <c r="I2596" i="14"/>
  <c r="I2604" i="14"/>
  <c r="I2608" i="14"/>
  <c r="I2614" i="14"/>
  <c r="I2650" i="14"/>
  <c r="I2699" i="14"/>
  <c r="I2701" i="14"/>
  <c r="I2709" i="14"/>
  <c r="I2721" i="14"/>
  <c r="I2723" i="14"/>
  <c r="I2728" i="14"/>
  <c r="I2730" i="14"/>
  <c r="I2732" i="14"/>
  <c r="I2742" i="14"/>
  <c r="I2744" i="14"/>
  <c r="I2749" i="14"/>
  <c r="I2754" i="14"/>
  <c r="I2762" i="14"/>
  <c r="I2764" i="14"/>
  <c r="I2771" i="14"/>
  <c r="I2774" i="14"/>
  <c r="I2779" i="14"/>
  <c r="I2784" i="14"/>
  <c r="I2816" i="14"/>
  <c r="I2820" i="14"/>
  <c r="I2822" i="14"/>
  <c r="I2824" i="14"/>
  <c r="I2827" i="14"/>
  <c r="I2830" i="14"/>
  <c r="I2855" i="14"/>
  <c r="I2858" i="14"/>
  <c r="I2876" i="14"/>
  <c r="I2884" i="14"/>
  <c r="I2895" i="14"/>
  <c r="I2897" i="14"/>
  <c r="I2900" i="14"/>
  <c r="I3021" i="14"/>
  <c r="F375" i="14"/>
  <c r="I375" i="14" s="1"/>
  <c r="I1882" i="14"/>
  <c r="I1893" i="14"/>
  <c r="I1898" i="14"/>
  <c r="I2586" i="14"/>
  <c r="I2916" i="14"/>
  <c r="E1544" i="14"/>
  <c r="G1544" i="14" s="1"/>
  <c r="H1544" i="14" s="1"/>
  <c r="I3088" i="14"/>
  <c r="I3117" i="14"/>
  <c r="I38" i="14"/>
  <c r="I42" i="14"/>
  <c r="I45" i="14"/>
  <c r="I64" i="14"/>
  <c r="I2649" i="14"/>
  <c r="I2013" i="14"/>
  <c r="I2021" i="14"/>
  <c r="I2904" i="14"/>
  <c r="I3054" i="14"/>
  <c r="I36" i="14"/>
  <c r="I44" i="14"/>
  <c r="I63" i="14"/>
  <c r="I88" i="14"/>
  <c r="F837" i="14"/>
  <c r="I837" i="14" s="1"/>
  <c r="F1072" i="14"/>
  <c r="H1087" i="14"/>
  <c r="I1087" i="14" s="1"/>
  <c r="I1372" i="14"/>
  <c r="I1397" i="14"/>
  <c r="I1447" i="14"/>
  <c r="I1456" i="14"/>
  <c r="I1609" i="14"/>
  <c r="I1625" i="14"/>
  <c r="I1638" i="14"/>
  <c r="I1640" i="14"/>
  <c r="I1650" i="14"/>
  <c r="I1652" i="14"/>
  <c r="I1661" i="14"/>
  <c r="I1677" i="14"/>
  <c r="I1694" i="14"/>
  <c r="E1740" i="14"/>
  <c r="F1740" i="14" s="1"/>
  <c r="I1517" i="14"/>
  <c r="I1552" i="14"/>
  <c r="I1556" i="14"/>
  <c r="I1558" i="14"/>
  <c r="I1571" i="14"/>
  <c r="I1591" i="14"/>
  <c r="I1593" i="14"/>
  <c r="I1604" i="14"/>
  <c r="I1611" i="14"/>
  <c r="I1641" i="14"/>
  <c r="I1643" i="14"/>
  <c r="I1645" i="14"/>
  <c r="I1676" i="14"/>
  <c r="I1678" i="14"/>
  <c r="I1681" i="14"/>
  <c r="I1695" i="14"/>
  <c r="I1704" i="14"/>
  <c r="I1718" i="14"/>
  <c r="I1722" i="14"/>
  <c r="I1737" i="14"/>
  <c r="I1763" i="14"/>
  <c r="I1765" i="14"/>
  <c r="I1768" i="14"/>
  <c r="I1770" i="14"/>
  <c r="I1772" i="14"/>
  <c r="I1774" i="14"/>
  <c r="E2217" i="14"/>
  <c r="F2217" i="14" s="1"/>
  <c r="E2215" i="14"/>
  <c r="G2215" i="14" s="1"/>
  <c r="H2215" i="14" s="1"/>
  <c r="E2022" i="14"/>
  <c r="G2022" i="14" s="1"/>
  <c r="H2022" i="14" s="1"/>
  <c r="I2191" i="14"/>
  <c r="I2214" i="14"/>
  <c r="I2431" i="14"/>
  <c r="I2433" i="14"/>
  <c r="I2437" i="14"/>
  <c r="I2444" i="14"/>
  <c r="I2448" i="14"/>
  <c r="I2452" i="14"/>
  <c r="I2464" i="14"/>
  <c r="I2567" i="14"/>
  <c r="I2684" i="14"/>
  <c r="I3065" i="14"/>
  <c r="I3070" i="14"/>
  <c r="I3119" i="14"/>
  <c r="I3121" i="14"/>
  <c r="I3125" i="14"/>
  <c r="I3135" i="14"/>
  <c r="I3147" i="14"/>
  <c r="I3149" i="14"/>
  <c r="I3157" i="14"/>
  <c r="I1994" i="14"/>
  <c r="I1996" i="14"/>
  <c r="I1998" i="14"/>
  <c r="I2212" i="14"/>
  <c r="I3069" i="14"/>
  <c r="I1903" i="14"/>
  <c r="I2031" i="14"/>
  <c r="I2059" i="14"/>
  <c r="I2111" i="14"/>
  <c r="I2128" i="14"/>
  <c r="I2130" i="14"/>
  <c r="I2132" i="14"/>
  <c r="I2227" i="14"/>
  <c r="I2231" i="14"/>
  <c r="I2233" i="14"/>
  <c r="I2235" i="14"/>
  <c r="I2237" i="14"/>
  <c r="I2239" i="14"/>
  <c r="I2241" i="14"/>
  <c r="I2243" i="14"/>
  <c r="I2245" i="14"/>
  <c r="I2247" i="14"/>
  <c r="I2257" i="14"/>
  <c r="I2265" i="14"/>
  <c r="I2269" i="14"/>
  <c r="I2271" i="14"/>
  <c r="I2275" i="14"/>
  <c r="I2300" i="14"/>
  <c r="I2308" i="14"/>
  <c r="I2314" i="14"/>
  <c r="I2316" i="14"/>
  <c r="I2320" i="14"/>
  <c r="I2324" i="14"/>
  <c r="I2326" i="14"/>
  <c r="I2328" i="14"/>
  <c r="I2345" i="14"/>
  <c r="I2349" i="14"/>
  <c r="I2355" i="14"/>
  <c r="I2360" i="14"/>
  <c r="I2364" i="14"/>
  <c r="I2366" i="14"/>
  <c r="I2368" i="14"/>
  <c r="I2370" i="14"/>
  <c r="I2374" i="14"/>
  <c r="I2388" i="14"/>
  <c r="I2397" i="14"/>
  <c r="I2401" i="14"/>
  <c r="I2405" i="14"/>
  <c r="I2407" i="14"/>
  <c r="I2409" i="14"/>
  <c r="I2617" i="14"/>
  <c r="I2620" i="14"/>
  <c r="I2642" i="14"/>
  <c r="I2644" i="14"/>
  <c r="I2646" i="14"/>
  <c r="I2651" i="14"/>
  <c r="I2654" i="14"/>
  <c r="I2671" i="14"/>
  <c r="I2673" i="14"/>
  <c r="I2675" i="14"/>
  <c r="I2679" i="14"/>
  <c r="I2681" i="14"/>
  <c r="I2685" i="14"/>
  <c r="I2687" i="14"/>
  <c r="I2692" i="14"/>
  <c r="I2698" i="14"/>
  <c r="I2710" i="14"/>
  <c r="I2714" i="14"/>
  <c r="I2716" i="14"/>
  <c r="I2718" i="14"/>
  <c r="I2722" i="14"/>
  <c r="I2729" i="14"/>
  <c r="I2731" i="14"/>
  <c r="I2735" i="14"/>
  <c r="I2870" i="14"/>
  <c r="I2892" i="14"/>
  <c r="I2896" i="14"/>
  <c r="I2959" i="14"/>
  <c r="I2980" i="14"/>
  <c r="I3013" i="14"/>
  <c r="I3015" i="14"/>
  <c r="I3036" i="14"/>
  <c r="I3055" i="14"/>
  <c r="I3064" i="14"/>
  <c r="I3066" i="14"/>
  <c r="I3074" i="14"/>
  <c r="I3114" i="14"/>
  <c r="I3130" i="14"/>
  <c r="H490" i="14"/>
  <c r="I490" i="14" s="1"/>
  <c r="H494" i="14"/>
  <c r="I494" i="14" s="1"/>
  <c r="I1477" i="14"/>
  <c r="I1501" i="14"/>
  <c r="I1658" i="14"/>
  <c r="I26" i="14"/>
  <c r="F939" i="14"/>
  <c r="I1471" i="14"/>
  <c r="E1496" i="14"/>
  <c r="G1496" i="14" s="1"/>
  <c r="H1496" i="14" s="1"/>
  <c r="E1486" i="14"/>
  <c r="G1486" i="14" s="1"/>
  <c r="H1486" i="14" s="1"/>
  <c r="I1499" i="14"/>
  <c r="E1502" i="14"/>
  <c r="F1502" i="14" s="1"/>
  <c r="E1683" i="14"/>
  <c r="F1683" i="14" s="1"/>
  <c r="E1669" i="14"/>
  <c r="G1669" i="14" s="1"/>
  <c r="H1669" i="14" s="1"/>
  <c r="E1708" i="14"/>
  <c r="G1708" i="14" s="1"/>
  <c r="H1708" i="14" s="1"/>
  <c r="I1701" i="14"/>
  <c r="I1705" i="14"/>
  <c r="I1707" i="14"/>
  <c r="F484" i="14"/>
  <c r="I484" i="14" s="1"/>
  <c r="H1156" i="14"/>
  <c r="I1326" i="14"/>
  <c r="I1407" i="14"/>
  <c r="I1410" i="14"/>
  <c r="I1422" i="14"/>
  <c r="I1424" i="14"/>
  <c r="I1427" i="14"/>
  <c r="I1429" i="14"/>
  <c r="I1431" i="14"/>
  <c r="I1433" i="14"/>
  <c r="I1513" i="14"/>
  <c r="I1527" i="14"/>
  <c r="I1531" i="14"/>
  <c r="I1537" i="14"/>
  <c r="I1541" i="14"/>
  <c r="I1543" i="14"/>
  <c r="E1566" i="14"/>
  <c r="G1566" i="14" s="1"/>
  <c r="H1566" i="14" s="1"/>
  <c r="I1586" i="14"/>
  <c r="I1781" i="14"/>
  <c r="I1788" i="14"/>
  <c r="I1839" i="14"/>
  <c r="I1844" i="14"/>
  <c r="I1991" i="14"/>
  <c r="I2046" i="14"/>
  <c r="I2143" i="14"/>
  <c r="I2158" i="14"/>
  <c r="I2291" i="14"/>
  <c r="I2315" i="14"/>
  <c r="I2327" i="14"/>
  <c r="I2350" i="14"/>
  <c r="I2367" i="14"/>
  <c r="I2373" i="14"/>
  <c r="I2399" i="14"/>
  <c r="I2408" i="14"/>
  <c r="I2417" i="14"/>
  <c r="I2585" i="14"/>
  <c r="I2589" i="14"/>
  <c r="I2875" i="14"/>
  <c r="I3038" i="14"/>
  <c r="I3058" i="14"/>
  <c r="I3063" i="14"/>
  <c r="I3095" i="14"/>
  <c r="I3102" i="14"/>
  <c r="I3106" i="14"/>
  <c r="I1734" i="14"/>
  <c r="I1749" i="14"/>
  <c r="I1760" i="14"/>
  <c r="I1796" i="14"/>
  <c r="E1846" i="14"/>
  <c r="G1846" i="14" s="1"/>
  <c r="H1846" i="14" s="1"/>
  <c r="I1880" i="14"/>
  <c r="I1956" i="14"/>
  <c r="I1963" i="14"/>
  <c r="I2004" i="14"/>
  <c r="E2055" i="14"/>
  <c r="F2055" i="14" s="1"/>
  <c r="I2087" i="14"/>
  <c r="I2091" i="14"/>
  <c r="I2093" i="14"/>
  <c r="I2101" i="14"/>
  <c r="I2418" i="14"/>
  <c r="I2438" i="14"/>
  <c r="I2469" i="14"/>
  <c r="I2535" i="14"/>
  <c r="I2588" i="14"/>
  <c r="I2780" i="14"/>
  <c r="I2933" i="14"/>
  <c r="I2944" i="14"/>
  <c r="I3006" i="14"/>
  <c r="I3107" i="14"/>
  <c r="I3134" i="14"/>
  <c r="I3144" i="14"/>
  <c r="I3161" i="14"/>
  <c r="I3173" i="14"/>
  <c r="I1717" i="14"/>
  <c r="I1720" i="14"/>
  <c r="I1764" i="14"/>
  <c r="I1767" i="14"/>
  <c r="I1769" i="14"/>
  <c r="I1771" i="14"/>
  <c r="I1773" i="14"/>
  <c r="E1797" i="14"/>
  <c r="F1797" i="14" s="1"/>
  <c r="I1853" i="14"/>
  <c r="I1883" i="14"/>
  <c r="I1886" i="14"/>
  <c r="I1891" i="14"/>
  <c r="I1940" i="14"/>
  <c r="I1943" i="14"/>
  <c r="I1945" i="14"/>
  <c r="I1949" i="14"/>
  <c r="I1958" i="14"/>
  <c r="I1965" i="14"/>
  <c r="I1970" i="14"/>
  <c r="I1977" i="14"/>
  <c r="I1983" i="14"/>
  <c r="I2083" i="14"/>
  <c r="I2085" i="14"/>
  <c r="E2102" i="14"/>
  <c r="G2102" i="14" s="1"/>
  <c r="H2102" i="14" s="1"/>
  <c r="I2110" i="14"/>
  <c r="I2124" i="14"/>
  <c r="I2127" i="14"/>
  <c r="I2129" i="14"/>
  <c r="I2142" i="14"/>
  <c r="I2339" i="14"/>
  <c r="I2343" i="14"/>
  <c r="I2468" i="14"/>
  <c r="I2470" i="14"/>
  <c r="I2472" i="14"/>
  <c r="I2479" i="14"/>
  <c r="I2481" i="14"/>
  <c r="I2483" i="14"/>
  <c r="I2485" i="14"/>
  <c r="I2499" i="14"/>
  <c r="I2505" i="14"/>
  <c r="I2518" i="14"/>
  <c r="I2522" i="14"/>
  <c r="I2528" i="14"/>
  <c r="I2530" i="14"/>
  <c r="I2536" i="14"/>
  <c r="I2539" i="14"/>
  <c r="I2550" i="14"/>
  <c r="I2552" i="14"/>
  <c r="I2555" i="14"/>
  <c r="I2561" i="14"/>
  <c r="I2597" i="14"/>
  <c r="I2613" i="14"/>
  <c r="I2618" i="14"/>
  <c r="I2641" i="14"/>
  <c r="I2645" i="14"/>
  <c r="I2648" i="14"/>
  <c r="I2806" i="14"/>
  <c r="I2810" i="14"/>
  <c r="I2814" i="14"/>
  <c r="I2817" i="14"/>
  <c r="I2823" i="14"/>
  <c r="I2826" i="14"/>
  <c r="I2828" i="14"/>
  <c r="I2837" i="14"/>
  <c r="I2856" i="14"/>
  <c r="I2859" i="14"/>
  <c r="I2863" i="14"/>
  <c r="I2918" i="14"/>
  <c r="I2930" i="14"/>
  <c r="I2934" i="14"/>
  <c r="I2936" i="14"/>
  <c r="I2939" i="14"/>
  <c r="I2941" i="14"/>
  <c r="I2945" i="14"/>
  <c r="I2948" i="14"/>
  <c r="I3035" i="14"/>
  <c r="I3037" i="14"/>
  <c r="I3042" i="14"/>
  <c r="I3073" i="14"/>
  <c r="I3109" i="14"/>
  <c r="I3145" i="14"/>
  <c r="I3167" i="14"/>
  <c r="H486" i="14"/>
  <c r="F489" i="14"/>
  <c r="I489" i="14" s="1"/>
  <c r="I941" i="14"/>
  <c r="F1073" i="14"/>
  <c r="E1378" i="14"/>
  <c r="F1378" i="14" s="1"/>
  <c r="I1370" i="14"/>
  <c r="I1392" i="14"/>
  <c r="I1455" i="14"/>
  <c r="I1459" i="14"/>
  <c r="I1476" i="14"/>
  <c r="I1484" i="14"/>
  <c r="I1526" i="14"/>
  <c r="I1540" i="14"/>
  <c r="I1559" i="14"/>
  <c r="I1588" i="14"/>
  <c r="I1607" i="14"/>
  <c r="I1659" i="14"/>
  <c r="I1667" i="14"/>
  <c r="I1682" i="14"/>
  <c r="I1696" i="14"/>
  <c r="I1762" i="14"/>
  <c r="I1775" i="14"/>
  <c r="I1867" i="14"/>
  <c r="I1904" i="14"/>
  <c r="I1906" i="14"/>
  <c r="I1925" i="14"/>
  <c r="I1939" i="14"/>
  <c r="I1975" i="14"/>
  <c r="I1992" i="14"/>
  <c r="I2005" i="14"/>
  <c r="I2048" i="14"/>
  <c r="I2123" i="14"/>
  <c r="I2140" i="14"/>
  <c r="I2189" i="14"/>
  <c r="I2232" i="14"/>
  <c r="I2236" i="14"/>
  <c r="I2240" i="14"/>
  <c r="I2244" i="14"/>
  <c r="I2248" i="14"/>
  <c r="I79" i="14"/>
  <c r="I83" i="14"/>
  <c r="I87" i="14"/>
  <c r="F391" i="14"/>
  <c r="I391" i="14" s="1"/>
  <c r="F485" i="14"/>
  <c r="I485" i="14" s="1"/>
  <c r="I694" i="14"/>
  <c r="H940" i="14"/>
  <c r="H1073" i="14"/>
  <c r="I1380" i="14"/>
  <c r="I1390" i="14"/>
  <c r="E1481" i="14"/>
  <c r="G1481" i="14" s="1"/>
  <c r="H1481" i="14" s="1"/>
  <c r="I1549" i="14"/>
  <c r="E1576" i="14"/>
  <c r="F1576" i="14" s="1"/>
  <c r="I1589" i="14"/>
  <c r="E1665" i="14"/>
  <c r="G1665" i="14" s="1"/>
  <c r="H1665" i="14" s="1"/>
  <c r="I1697" i="14"/>
  <c r="I1803" i="14"/>
  <c r="I1897" i="14"/>
  <c r="I2020" i="14"/>
  <c r="I2077" i="14"/>
  <c r="I2092" i="14"/>
  <c r="I2094" i="14"/>
  <c r="I2183" i="14"/>
  <c r="I2186" i="14"/>
  <c r="I2190" i="14"/>
  <c r="I2206" i="14"/>
  <c r="I2249" i="14"/>
  <c r="I25" i="14"/>
  <c r="I65" i="14"/>
  <c r="I80" i="14"/>
  <c r="I82" i="14"/>
  <c r="I84" i="14"/>
  <c r="I875" i="14"/>
  <c r="F940" i="14"/>
  <c r="H1072" i="14"/>
  <c r="I1369" i="14"/>
  <c r="I1411" i="14"/>
  <c r="I1428" i="14"/>
  <c r="I1442" i="14"/>
  <c r="I1460" i="14"/>
  <c r="I1479" i="14"/>
  <c r="I1507" i="14"/>
  <c r="I1509" i="14"/>
  <c r="I1564" i="14"/>
  <c r="I1574" i="14"/>
  <c r="I1579" i="14"/>
  <c r="I1592" i="14"/>
  <c r="I1594" i="14"/>
  <c r="I1596" i="14"/>
  <c r="I1622" i="14"/>
  <c r="I1654" i="14"/>
  <c r="I1660" i="14"/>
  <c r="I1686" i="14"/>
  <c r="I1712" i="14"/>
  <c r="I1715" i="14"/>
  <c r="E1750" i="14"/>
  <c r="F1750" i="14" s="1"/>
  <c r="I1783" i="14"/>
  <c r="I1790" i="14"/>
  <c r="I1805" i="14"/>
  <c r="I1809" i="14"/>
  <c r="I1818" i="14"/>
  <c r="I1821" i="14"/>
  <c r="I1835" i="14"/>
  <c r="I1866" i="14"/>
  <c r="I1868" i="14"/>
  <c r="I1887" i="14"/>
  <c r="I1890" i="14"/>
  <c r="E1908" i="14"/>
  <c r="G1908" i="14" s="1"/>
  <c r="H1908" i="14" s="1"/>
  <c r="I1905" i="14"/>
  <c r="I1911" i="14"/>
  <c r="I1924" i="14"/>
  <c r="I1936" i="14"/>
  <c r="I1950" i="14"/>
  <c r="I1966" i="14"/>
  <c r="I1993" i="14"/>
  <c r="I2042" i="14"/>
  <c r="I2066" i="14"/>
  <c r="I2074" i="14"/>
  <c r="I2078" i="14"/>
  <c r="I2084" i="14"/>
  <c r="E2096" i="14"/>
  <c r="F2096" i="14" s="1"/>
  <c r="I2115" i="14"/>
  <c r="I2122" i="14"/>
  <c r="I2255" i="14"/>
  <c r="I2263" i="14"/>
  <c r="I2281" i="14"/>
  <c r="I2282" i="14"/>
  <c r="I2306" i="14"/>
  <c r="I2331" i="14"/>
  <c r="I2351" i="14"/>
  <c r="I2362" i="14"/>
  <c r="I2512" i="14"/>
  <c r="I2554" i="14"/>
  <c r="I2603" i="14"/>
  <c r="I2611" i="14"/>
  <c r="I2693" i="14"/>
  <c r="I2695" i="14"/>
  <c r="I2869" i="14"/>
  <c r="I2899" i="14"/>
  <c r="I2955" i="14"/>
  <c r="I2993" i="14"/>
  <c r="I2995" i="14"/>
  <c r="I2998" i="14"/>
  <c r="I3000" i="14"/>
  <c r="I3002" i="14"/>
  <c r="I3026" i="14"/>
  <c r="I3030" i="14"/>
  <c r="I3049" i="14"/>
  <c r="I3051" i="14"/>
  <c r="I3075" i="14"/>
  <c r="I3079" i="14"/>
  <c r="I3090" i="14"/>
  <c r="I3092" i="14"/>
  <c r="I3110" i="14"/>
  <c r="I3115" i="14"/>
  <c r="I3129" i="14"/>
  <c r="I3131" i="14"/>
  <c r="I3148" i="14"/>
  <c r="I3156" i="14"/>
  <c r="I2295" i="14"/>
  <c r="I2361" i="14"/>
  <c r="I2363" i="14"/>
  <c r="I2365" i="14"/>
  <c r="I2378" i="14"/>
  <c r="I2384" i="14"/>
  <c r="I2395" i="14"/>
  <c r="I2413" i="14"/>
  <c r="I2421" i="14"/>
  <c r="I2455" i="14"/>
  <c r="I2459" i="14"/>
  <c r="I2467" i="14"/>
  <c r="I2534" i="14"/>
  <c r="I2578" i="14"/>
  <c r="I2623" i="14"/>
  <c r="I2628" i="14"/>
  <c r="I2633" i="14"/>
  <c r="I2660" i="14"/>
  <c r="I2665" i="14"/>
  <c r="I2741" i="14"/>
  <c r="I2760" i="14"/>
  <c r="I2769" i="14"/>
  <c r="I2799" i="14"/>
  <c r="I2804" i="14"/>
  <c r="I2874" i="14"/>
  <c r="I2912" i="14"/>
  <c r="I2923" i="14"/>
  <c r="I2950" i="14"/>
  <c r="I2954" i="14"/>
  <c r="I2957" i="14"/>
  <c r="I2981" i="14"/>
  <c r="I2984" i="14"/>
  <c r="I3008" i="14"/>
  <c r="I3018" i="14"/>
  <c r="I3044" i="14"/>
  <c r="I3057" i="14"/>
  <c r="I3059" i="14"/>
  <c r="I3083" i="14"/>
  <c r="I3087" i="14"/>
  <c r="I3103" i="14"/>
  <c r="I3120" i="14"/>
  <c r="I3124" i="14"/>
  <c r="I3128" i="14"/>
  <c r="I3137" i="14"/>
  <c r="I3141" i="14"/>
  <c r="I3155" i="14"/>
  <c r="I2283" i="14"/>
  <c r="I2288" i="14"/>
  <c r="I2290" i="14"/>
  <c r="I2292" i="14"/>
  <c r="I2294" i="14"/>
  <c r="I2296" i="14"/>
  <c r="I2298" i="14"/>
  <c r="I2336" i="14"/>
  <c r="I2338" i="14"/>
  <c r="I2340" i="14"/>
  <c r="I2342" i="14"/>
  <c r="I2344" i="14"/>
  <c r="I2352" i="14"/>
  <c r="I2375" i="14"/>
  <c r="I2377" i="14"/>
  <c r="I2389" i="14"/>
  <c r="I2394" i="14"/>
  <c r="I2396" i="14"/>
  <c r="I2402" i="14"/>
  <c r="I2410" i="14"/>
  <c r="I2432" i="14"/>
  <c r="I2456" i="14"/>
  <c r="I2458" i="14"/>
  <c r="I2460" i="14"/>
  <c r="I2473" i="14"/>
  <c r="I2480" i="14"/>
  <c r="I2484" i="14"/>
  <c r="I2504" i="14"/>
  <c r="I2527" i="14"/>
  <c r="I2531" i="14"/>
  <c r="I2533" i="14"/>
  <c r="I2544" i="14"/>
  <c r="I2571" i="14"/>
  <c r="I2579" i="14"/>
  <c r="I2587" i="14"/>
  <c r="I2600" i="14"/>
  <c r="I2622" i="14"/>
  <c r="I2627" i="14"/>
  <c r="I2629" i="14"/>
  <c r="I2631" i="14"/>
  <c r="I2635" i="14"/>
  <c r="I2656" i="14"/>
  <c r="I2661" i="14"/>
  <c r="I2666" i="14"/>
  <c r="I2674" i="14"/>
  <c r="I2745" i="14"/>
  <c r="I2752" i="14"/>
  <c r="I2755" i="14"/>
  <c r="I2759" i="14"/>
  <c r="I2761" i="14"/>
  <c r="I2765" i="14"/>
  <c r="I2768" i="14"/>
  <c r="I2770" i="14"/>
  <c r="I2805" i="14"/>
  <c r="I2809" i="14"/>
  <c r="I2813" i="14"/>
  <c r="I2907" i="14"/>
  <c r="I2911" i="14"/>
  <c r="I2914" i="14"/>
  <c r="I2937" i="14"/>
  <c r="I2940" i="14"/>
  <c r="I2961" i="14"/>
  <c r="I3012" i="14"/>
  <c r="I3014" i="14"/>
  <c r="I3016" i="14"/>
  <c r="I3027" i="14"/>
  <c r="I3034" i="14"/>
  <c r="I3060" i="14"/>
  <c r="I3076" i="14"/>
  <c r="I3091" i="14"/>
  <c r="I3098" i="14"/>
  <c r="I3111" i="14"/>
  <c r="I3136" i="14"/>
  <c r="I3139" i="14"/>
  <c r="I3162" i="14"/>
  <c r="I3164" i="14"/>
  <c r="E57" i="14"/>
  <c r="G57" i="14" s="1"/>
  <c r="H57" i="14" s="1"/>
  <c r="E71" i="14"/>
  <c r="G71" i="14" s="1"/>
  <c r="H71" i="14" s="1"/>
  <c r="I81" i="14"/>
  <c r="H693" i="14"/>
  <c r="I693" i="14" s="1"/>
  <c r="H939" i="14"/>
  <c r="F1089" i="14"/>
  <c r="H1185" i="14"/>
  <c r="I1185" i="14" s="1"/>
  <c r="H1188" i="14"/>
  <c r="I1188" i="14" s="1"/>
  <c r="H1195" i="14"/>
  <c r="I1195" i="14" s="1"/>
  <c r="I1368" i="14"/>
  <c r="I1374" i="14"/>
  <c r="E1394" i="14"/>
  <c r="F1394" i="14" s="1"/>
  <c r="E1412" i="14"/>
  <c r="G1412" i="14" s="1"/>
  <c r="H1412" i="14" s="1"/>
  <c r="I1391" i="14"/>
  <c r="I1406" i="14"/>
  <c r="I1408" i="14"/>
  <c r="E1416" i="14"/>
  <c r="I1420" i="14"/>
  <c r="I1423" i="14"/>
  <c r="I1425" i="14"/>
  <c r="I1439" i="14"/>
  <c r="I31" i="14"/>
  <c r="I40" i="14"/>
  <c r="I59" i="14"/>
  <c r="I61" i="14"/>
  <c r="I74" i="14"/>
  <c r="I78" i="14"/>
  <c r="I85" i="14"/>
  <c r="F496" i="14"/>
  <c r="F1065" i="14"/>
  <c r="I1065" i="14" s="1"/>
  <c r="F1067" i="14"/>
  <c r="I1074" i="14"/>
  <c r="H1078" i="14"/>
  <c r="I1078" i="14" s="1"/>
  <c r="H1081" i="14"/>
  <c r="I1081" i="14" s="1"/>
  <c r="F1088" i="14"/>
  <c r="I1088" i="14" s="1"/>
  <c r="H1089" i="14"/>
  <c r="I1404" i="14"/>
  <c r="F491" i="14"/>
  <c r="F495" i="14"/>
  <c r="H496" i="14"/>
  <c r="F712" i="14"/>
  <c r="E713" i="14" s="1"/>
  <c r="F713" i="14" s="1"/>
  <c r="I713" i="14" s="1"/>
  <c r="G900" i="14"/>
  <c r="H900" i="14" s="1"/>
  <c r="I900" i="14" s="1"/>
  <c r="H1187" i="14"/>
  <c r="I1187" i="14" s="1"/>
  <c r="H1189" i="14"/>
  <c r="I1189" i="14" s="1"/>
  <c r="H1194" i="14"/>
  <c r="I1194" i="14" s="1"/>
  <c r="H1196" i="14"/>
  <c r="I1196" i="14" s="1"/>
  <c r="I1371" i="14"/>
  <c r="I1382" i="14"/>
  <c r="E1418" i="14"/>
  <c r="G1418" i="14" s="1"/>
  <c r="H1418" i="14" s="1"/>
  <c r="I1432" i="14"/>
  <c r="G1752" i="14"/>
  <c r="H1752" i="14" s="1"/>
  <c r="F1752" i="14"/>
  <c r="E32" i="14"/>
  <c r="G32" i="14" s="1"/>
  <c r="H32" i="14" s="1"/>
  <c r="I60" i="14"/>
  <c r="I68" i="14"/>
  <c r="I77" i="14"/>
  <c r="I86" i="14"/>
  <c r="F380" i="14"/>
  <c r="I380" i="14" s="1"/>
  <c r="F486" i="14"/>
  <c r="H491" i="14"/>
  <c r="F872" i="14"/>
  <c r="F1066" i="14"/>
  <c r="I1066" i="14" s="1"/>
  <c r="H1080" i="14"/>
  <c r="I1080" i="14" s="1"/>
  <c r="H1082" i="14"/>
  <c r="I1082" i="14" s="1"/>
  <c r="G1325" i="14"/>
  <c r="H1325" i="14" s="1"/>
  <c r="I1325" i="14" s="1"/>
  <c r="I1375" i="14"/>
  <c r="I1389" i="14"/>
  <c r="I1398" i="14"/>
  <c r="I1415" i="14"/>
  <c r="E1504" i="14"/>
  <c r="F1504" i="14" s="1"/>
  <c r="E1520" i="14"/>
  <c r="G1520" i="14" s="1"/>
  <c r="H1520" i="14" s="1"/>
  <c r="I1602" i="14"/>
  <c r="E1629" i="14"/>
  <c r="F1629" i="14" s="1"/>
  <c r="E1687" i="14"/>
  <c r="I1700" i="14"/>
  <c r="I1785" i="14"/>
  <c r="I1801" i="14"/>
  <c r="E1847" i="14"/>
  <c r="G1847" i="14" s="1"/>
  <c r="H1847" i="14" s="1"/>
  <c r="I1894" i="14"/>
  <c r="I1902" i="14"/>
  <c r="E1926" i="14"/>
  <c r="G1926" i="14" s="1"/>
  <c r="H1926" i="14" s="1"/>
  <c r="E1909" i="14"/>
  <c r="G1909" i="14" s="1"/>
  <c r="H1909" i="14" s="1"/>
  <c r="I1912" i="14"/>
  <c r="I1960" i="14"/>
  <c r="I1982" i="14"/>
  <c r="I1985" i="14"/>
  <c r="I2003" i="14"/>
  <c r="I2035" i="14"/>
  <c r="I2234" i="14"/>
  <c r="I2299" i="14"/>
  <c r="I2318" i="14"/>
  <c r="I2323" i="14"/>
  <c r="I2325" i="14"/>
  <c r="I2335" i="14"/>
  <c r="I2337" i="14"/>
  <c r="I2348" i="14"/>
  <c r="I2376" i="14"/>
  <c r="I1457" i="14"/>
  <c r="I1468" i="14"/>
  <c r="I1478" i="14"/>
  <c r="I1491" i="14"/>
  <c r="I1506" i="14"/>
  <c r="I1516" i="14"/>
  <c r="I1522" i="14"/>
  <c r="F1630" i="14"/>
  <c r="I1630" i="14" s="1"/>
  <c r="I1642" i="14"/>
  <c r="E1663" i="14"/>
  <c r="F1663" i="14" s="1"/>
  <c r="I1706" i="14"/>
  <c r="I1739" i="14"/>
  <c r="I1825" i="14"/>
  <c r="F1831" i="14"/>
  <c r="I1831" i="14" s="1"/>
  <c r="I1837" i="14"/>
  <c r="I1841" i="14"/>
  <c r="I1849" i="14"/>
  <c r="E1907" i="14"/>
  <c r="I2050" i="14"/>
  <c r="I2052" i="14"/>
  <c r="I2057" i="14"/>
  <c r="I2061" i="14"/>
  <c r="I2088" i="14"/>
  <c r="I2109" i="14"/>
  <c r="I2163" i="14"/>
  <c r="E2166" i="14"/>
  <c r="G2166" i="14" s="1"/>
  <c r="H2166" i="14" s="1"/>
  <c r="F2178" i="14"/>
  <c r="I2178" i="14" s="1"/>
  <c r="I2188" i="14"/>
  <c r="I2201" i="14"/>
  <c r="I2254" i="14"/>
  <c r="I2259" i="14"/>
  <c r="I2261" i="14"/>
  <c r="I2270" i="14"/>
  <c r="I2277" i="14"/>
  <c r="I2279" i="14"/>
  <c r="I2289" i="14"/>
  <c r="I2313" i="14"/>
  <c r="I2322" i="14"/>
  <c r="I2330" i="14"/>
  <c r="I2334" i="14"/>
  <c r="I2341" i="14"/>
  <c r="I1595" i="14"/>
  <c r="E1689" i="14"/>
  <c r="G1689" i="14" s="1"/>
  <c r="H1689" i="14" s="1"/>
  <c r="E1812" i="14"/>
  <c r="I1808" i="14"/>
  <c r="I1810" i="14"/>
  <c r="I1842" i="14"/>
  <c r="I1856" i="14"/>
  <c r="I1878" i="14"/>
  <c r="I1885" i="14"/>
  <c r="I1889" i="14"/>
  <c r="I1896" i="14"/>
  <c r="I1918" i="14"/>
  <c r="I1921" i="14"/>
  <c r="E1930" i="14"/>
  <c r="G1930" i="14" s="1"/>
  <c r="H1930" i="14" s="1"/>
  <c r="I1969" i="14"/>
  <c r="E2017" i="14"/>
  <c r="G2017" i="14" s="1"/>
  <c r="H2017" i="14" s="1"/>
  <c r="I2029" i="14"/>
  <c r="I2100" i="14"/>
  <c r="E2118" i="14"/>
  <c r="G2118" i="14" s="1"/>
  <c r="H2118" i="14" s="1"/>
  <c r="I2152" i="14"/>
  <c r="I2242" i="14"/>
  <c r="I2293" i="14"/>
  <c r="I2304" i="14"/>
  <c r="I1449" i="14"/>
  <c r="I1461" i="14"/>
  <c r="I1475" i="14"/>
  <c r="I1485" i="14"/>
  <c r="I1515" i="14"/>
  <c r="I1524" i="14"/>
  <c r="I1536" i="14"/>
  <c r="I1538" i="14"/>
  <c r="I1557" i="14"/>
  <c r="E1628" i="14"/>
  <c r="G1628" i="14" s="1"/>
  <c r="H1628" i="14" s="1"/>
  <c r="I1651" i="14"/>
  <c r="I1703" i="14"/>
  <c r="G1742" i="14"/>
  <c r="H1742" i="14" s="1"/>
  <c r="I1742" i="14" s="1"/>
  <c r="E1799" i="14"/>
  <c r="G1799" i="14" s="1"/>
  <c r="H1799" i="14" s="1"/>
  <c r="E1814" i="14"/>
  <c r="G1814" i="14" s="1"/>
  <c r="H1814" i="14" s="1"/>
  <c r="I1938" i="14"/>
  <c r="I1944" i="14"/>
  <c r="I1997" i="14"/>
  <c r="I2043" i="14"/>
  <c r="I2047" i="14"/>
  <c r="I2073" i="14"/>
  <c r="I2075" i="14"/>
  <c r="I2107" i="14"/>
  <c r="I2131" i="14"/>
  <c r="I2137" i="14"/>
  <c r="I2147" i="14"/>
  <c r="I2175" i="14"/>
  <c r="I2185" i="14"/>
  <c r="I2187" i="14"/>
  <c r="I2196" i="14"/>
  <c r="I2199" i="14"/>
  <c r="I2228" i="14"/>
  <c r="I2246" i="14"/>
  <c r="I2253" i="14"/>
  <c r="I2280" i="14"/>
  <c r="I2319" i="14"/>
  <c r="I2321" i="14"/>
  <c r="I2353" i="14"/>
  <c r="I2379" i="14"/>
  <c r="I2383" i="14"/>
  <c r="I2386" i="14"/>
  <c r="I2411" i="14"/>
  <c r="I2420" i="14"/>
  <c r="I2429" i="14"/>
  <c r="I2457" i="14"/>
  <c r="I2471" i="14"/>
  <c r="I2511" i="14"/>
  <c r="I2524" i="14"/>
  <c r="I2783" i="14"/>
  <c r="I2795" i="14"/>
  <c r="I2393" i="14"/>
  <c r="I2436" i="14"/>
  <c r="I2450" i="14"/>
  <c r="I2486" i="14"/>
  <c r="I2491" i="14"/>
  <c r="I2495" i="14"/>
  <c r="I2502" i="14"/>
  <c r="I2510" i="14"/>
  <c r="I2516" i="14"/>
  <c r="I2519" i="14"/>
  <c r="I2523" i="14"/>
  <c r="I2538" i="14"/>
  <c r="I2541" i="14"/>
  <c r="I2551" i="14"/>
  <c r="I2563" i="14"/>
  <c r="I2565" i="14"/>
  <c r="I2574" i="14"/>
  <c r="I2576" i="14"/>
  <c r="I2581" i="14"/>
  <c r="I2599" i="14"/>
  <c r="I2601" i="14"/>
  <c r="I2610" i="14"/>
  <c r="I2612" i="14"/>
  <c r="I2680" i="14"/>
  <c r="I2738" i="14"/>
  <c r="I2766" i="14"/>
  <c r="I2862" i="14"/>
  <c r="I2865" i="14"/>
  <c r="I2873" i="14"/>
  <c r="I2994" i="14"/>
  <c r="I3020" i="14"/>
  <c r="I3024" i="14"/>
  <c r="I3029" i="14"/>
  <c r="I3053" i="14"/>
  <c r="I3056" i="14"/>
  <c r="I2416" i="14"/>
  <c r="I2423" i="14"/>
  <c r="I2463" i="14"/>
  <c r="I2500" i="14"/>
  <c r="I2532" i="14"/>
  <c r="I2569" i="14"/>
  <c r="I2598" i="14"/>
  <c r="I2605" i="14"/>
  <c r="I2609" i="14"/>
  <c r="I2653" i="14"/>
  <c r="I2737" i="14"/>
  <c r="I2750" i="14"/>
  <c r="I2756" i="14"/>
  <c r="I2794" i="14"/>
  <c r="I2798" i="14"/>
  <c r="I3039" i="14"/>
  <c r="I3078" i="14"/>
  <c r="I3086" i="14"/>
  <c r="I3094" i="14"/>
  <c r="I3105" i="14"/>
  <c r="I3123" i="14"/>
  <c r="I3133" i="14"/>
  <c r="I3143" i="14"/>
  <c r="I2412" i="14"/>
  <c r="I2415" i="14"/>
  <c r="I2462" i="14"/>
  <c r="I2489" i="14"/>
  <c r="I2577" i="14"/>
  <c r="I2580" i="14"/>
  <c r="I2584" i="14"/>
  <c r="I2636" i="14"/>
  <c r="I2640" i="14"/>
  <c r="I2871" i="14"/>
  <c r="I3004" i="14"/>
  <c r="I3077" i="14"/>
  <c r="I3085" i="14"/>
  <c r="I3093" i="14"/>
  <c r="I3104" i="14"/>
  <c r="I3113" i="14"/>
  <c r="I3122" i="14"/>
  <c r="I3132" i="14"/>
  <c r="I3142" i="14"/>
  <c r="I3150" i="14"/>
  <c r="I3163" i="14"/>
  <c r="F1156" i="14"/>
  <c r="E1157" i="14" s="1"/>
  <c r="F1157" i="14" s="1"/>
  <c r="I1157" i="14" s="1"/>
  <c r="G56" i="14"/>
  <c r="H56" i="14" s="1"/>
  <c r="F56" i="14"/>
  <c r="F70" i="14"/>
  <c r="G70" i="14"/>
  <c r="H70" i="14" s="1"/>
  <c r="H588" i="14"/>
  <c r="F588" i="14"/>
  <c r="H591" i="14"/>
  <c r="F591" i="14"/>
  <c r="I54" i="14"/>
  <c r="F373" i="14"/>
  <c r="I373" i="14" s="1"/>
  <c r="F384" i="14"/>
  <c r="I384" i="14" s="1"/>
  <c r="F390" i="14"/>
  <c r="I390" i="14" s="1"/>
  <c r="H592" i="14"/>
  <c r="F592" i="14"/>
  <c r="F27" i="14"/>
  <c r="I27" i="14" s="1"/>
  <c r="E34" i="14"/>
  <c r="E55" i="14"/>
  <c r="E69" i="14"/>
  <c r="I12" i="14"/>
  <c r="F377" i="14"/>
  <c r="I377" i="14" s="1"/>
  <c r="F383" i="14"/>
  <c r="I383" i="14" s="1"/>
  <c r="F389" i="14"/>
  <c r="I389" i="14" s="1"/>
  <c r="H586" i="14"/>
  <c r="F586" i="14"/>
  <c r="H593" i="14"/>
  <c r="F593" i="14"/>
  <c r="E33" i="14"/>
  <c r="F376" i="14"/>
  <c r="I376" i="14" s="1"/>
  <c r="F382" i="14"/>
  <c r="H587" i="14"/>
  <c r="F587" i="14"/>
  <c r="H950" i="14"/>
  <c r="F950" i="14"/>
  <c r="H958" i="14"/>
  <c r="F958" i="14"/>
  <c r="F1302" i="14"/>
  <c r="E1303" i="14" s="1"/>
  <c r="F1303" i="14" s="1"/>
  <c r="I1303" i="14" s="1"/>
  <c r="H1302" i="14"/>
  <c r="H951" i="14"/>
  <c r="F951" i="14"/>
  <c r="H963" i="14"/>
  <c r="F963" i="14"/>
  <c r="F707" i="14"/>
  <c r="F708" i="14"/>
  <c r="I708" i="14" s="1"/>
  <c r="F709" i="14"/>
  <c r="I709" i="14" s="1"/>
  <c r="I901" i="14"/>
  <c r="H947" i="14"/>
  <c r="F947" i="14"/>
  <c r="H956" i="14"/>
  <c r="F956" i="14"/>
  <c r="H964" i="14"/>
  <c r="F964" i="14"/>
  <c r="F874" i="14"/>
  <c r="I874" i="14" s="1"/>
  <c r="H949" i="14"/>
  <c r="F949" i="14"/>
  <c r="H957" i="14"/>
  <c r="F957" i="14"/>
  <c r="H965" i="14"/>
  <c r="F965" i="14"/>
  <c r="C873" i="14"/>
  <c r="F873" i="14" s="1"/>
  <c r="H1067" i="14"/>
  <c r="F838" i="14"/>
  <c r="I838" i="14" s="1"/>
  <c r="H872" i="14"/>
  <c r="F1417" i="14"/>
  <c r="G1417" i="14"/>
  <c r="H1417" i="14" s="1"/>
  <c r="E1395" i="14"/>
  <c r="I1462" i="14"/>
  <c r="E1465" i="14"/>
  <c r="I1508" i="14"/>
  <c r="I1539" i="14"/>
  <c r="E1545" i="14"/>
  <c r="E1376" i="14"/>
  <c r="I1388" i="14"/>
  <c r="F1503" i="14"/>
  <c r="I1503" i="14" s="1"/>
  <c r="E1519" i="14"/>
  <c r="E1377" i="14"/>
  <c r="E1393" i="14"/>
  <c r="I1444" i="14"/>
  <c r="E1464" i="14"/>
  <c r="I1458" i="14"/>
  <c r="I1469" i="14"/>
  <c r="E1482" i="14"/>
  <c r="E1437" i="14"/>
  <c r="E1436" i="14"/>
  <c r="E1435" i="14"/>
  <c r="E1518" i="14"/>
  <c r="I1512" i="14"/>
  <c r="G1582" i="14"/>
  <c r="H1582" i="14" s="1"/>
  <c r="I1582" i="14" s="1"/>
  <c r="E1709" i="14"/>
  <c r="E1710" i="14"/>
  <c r="G1758" i="14"/>
  <c r="H1758" i="14" s="1"/>
  <c r="I1758" i="14" s="1"/>
  <c r="F1932" i="14"/>
  <c r="I1932" i="14" s="1"/>
  <c r="E1951" i="14"/>
  <c r="E2039" i="14"/>
  <c r="E1546" i="14"/>
  <c r="E1598" i="14"/>
  <c r="E1599" i="14"/>
  <c r="E1600" i="14"/>
  <c r="F1617" i="14"/>
  <c r="E1620" i="14" s="1"/>
  <c r="I1662" i="14"/>
  <c r="F1688" i="14"/>
  <c r="I1688" i="14" s="1"/>
  <c r="I1691" i="14"/>
  <c r="I1702" i="14"/>
  <c r="I1728" i="14"/>
  <c r="I1755" i="14"/>
  <c r="E1757" i="14"/>
  <c r="I1780" i="14"/>
  <c r="I1802" i="14"/>
  <c r="I1811" i="14"/>
  <c r="E1813" i="14"/>
  <c r="E1833" i="14"/>
  <c r="I1838" i="14"/>
  <c r="I1851" i="14"/>
  <c r="I1922" i="14"/>
  <c r="E1953" i="14"/>
  <c r="I1961" i="14"/>
  <c r="I1974" i="14"/>
  <c r="I2015" i="14"/>
  <c r="I2027" i="14"/>
  <c r="I2037" i="14"/>
  <c r="I2049" i="14"/>
  <c r="I2072" i="14"/>
  <c r="E2135" i="14"/>
  <c r="E2134" i="14"/>
  <c r="I2126" i="14"/>
  <c r="E2133" i="14"/>
  <c r="E1463" i="14"/>
  <c r="E1480" i="14"/>
  <c r="E1560" i="14"/>
  <c r="I1581" i="14"/>
  <c r="E1583" i="14"/>
  <c r="E1584" i="14"/>
  <c r="E1646" i="14"/>
  <c r="E1664" i="14"/>
  <c r="I1692" i="14"/>
  <c r="I1699" i="14"/>
  <c r="E1729" i="14"/>
  <c r="E1756" i="14"/>
  <c r="E1776" i="14"/>
  <c r="F1798" i="14"/>
  <c r="I1798" i="14" s="1"/>
  <c r="E1832" i="14"/>
  <c r="E2016" i="14"/>
  <c r="F2038" i="14"/>
  <c r="I2038" i="14" s="1"/>
  <c r="I1511" i="14"/>
  <c r="E1561" i="14"/>
  <c r="E1562" i="14"/>
  <c r="I1565" i="14"/>
  <c r="I1597" i="14"/>
  <c r="I1606" i="14"/>
  <c r="I1616" i="14"/>
  <c r="I1627" i="14"/>
  <c r="I1639" i="14"/>
  <c r="I1644" i="14"/>
  <c r="E1647" i="14"/>
  <c r="E1648" i="14"/>
  <c r="I1668" i="14"/>
  <c r="I1674" i="14"/>
  <c r="I1680" i="14"/>
  <c r="F1692" i="14"/>
  <c r="I1713" i="14"/>
  <c r="E1778" i="14"/>
  <c r="I1786" i="14"/>
  <c r="I1807" i="14"/>
  <c r="I1830" i="14"/>
  <c r="I1843" i="14"/>
  <c r="I1858" i="14"/>
  <c r="E1875" i="14"/>
  <c r="E1876" i="14"/>
  <c r="E1913" i="14"/>
  <c r="I1934" i="14"/>
  <c r="I1947" i="14"/>
  <c r="I1955" i="14"/>
  <c r="I1968" i="14"/>
  <c r="I1980" i="14"/>
  <c r="E2000" i="14"/>
  <c r="E2001" i="14"/>
  <c r="I2011" i="14"/>
  <c r="I2014" i="14"/>
  <c r="E2018" i="14"/>
  <c r="E2040" i="14"/>
  <c r="I2044" i="14"/>
  <c r="E2053" i="14"/>
  <c r="I2062" i="14"/>
  <c r="I2071" i="14"/>
  <c r="E2081" i="14"/>
  <c r="E2080" i="14"/>
  <c r="E2079" i="14"/>
  <c r="I2076" i="14"/>
  <c r="F2168" i="14"/>
  <c r="I2168" i="14" s="1"/>
  <c r="E1741" i="14"/>
  <c r="E1777" i="14"/>
  <c r="E1845" i="14"/>
  <c r="E1874" i="14"/>
  <c r="E1931" i="14"/>
  <c r="E1952" i="14"/>
  <c r="E1999" i="14"/>
  <c r="G2120" i="14"/>
  <c r="H2120" i="14" s="1"/>
  <c r="I2120" i="14" s="1"/>
  <c r="E2194" i="14"/>
  <c r="E2192" i="14"/>
  <c r="E1751" i="14"/>
  <c r="E2098" i="14"/>
  <c r="I2095" i="14"/>
  <c r="I2117" i="14"/>
  <c r="E2119" i="14"/>
  <c r="I2145" i="14"/>
  <c r="G2153" i="14"/>
  <c r="H2153" i="14" s="1"/>
  <c r="F2153" i="14"/>
  <c r="E2156" i="14" s="1"/>
  <c r="I2161" i="14"/>
  <c r="I2180" i="14"/>
  <c r="G2217" i="14"/>
  <c r="H2217" i="14" s="1"/>
  <c r="I2217" i="14" s="1"/>
  <c r="I2708" i="14"/>
  <c r="E2193" i="14"/>
  <c r="E2216" i="14"/>
  <c r="E2167" i="14"/>
  <c r="E2176" i="14"/>
  <c r="E2177" i="14"/>
  <c r="I2369" i="14"/>
  <c r="I2380" i="14"/>
  <c r="I2406" i="14"/>
  <c r="I2446" i="14"/>
  <c r="I2461" i="14"/>
  <c r="I2482" i="14"/>
  <c r="I2493" i="14"/>
  <c r="I2514" i="14"/>
  <c r="I2566" i="14"/>
  <c r="I2602" i="14"/>
  <c r="I2664" i="14"/>
  <c r="I2672" i="14"/>
  <c r="I2700" i="14"/>
  <c r="I2851" i="14"/>
  <c r="F2968" i="14"/>
  <c r="F16" i="14" s="1"/>
  <c r="I2630" i="14"/>
  <c r="I2643" i="14"/>
  <c r="I2662" i="14"/>
  <c r="I2694" i="14"/>
  <c r="I2717" i="14"/>
  <c r="I2736" i="14"/>
  <c r="I2782" i="14"/>
  <c r="I2791" i="14"/>
  <c r="I2803" i="14"/>
  <c r="I2639" i="14"/>
  <c r="I2676" i="14"/>
  <c r="I2686" i="14"/>
  <c r="I2691" i="14"/>
  <c r="I2713" i="14"/>
  <c r="I2724" i="14"/>
  <c r="I2743" i="14"/>
  <c r="I2751" i="14"/>
  <c r="I2763" i="14"/>
  <c r="I2773" i="14"/>
  <c r="H2968" i="14"/>
  <c r="H16" i="14" s="1"/>
  <c r="I2999" i="14"/>
  <c r="I3007" i="14"/>
  <c r="I3019" i="14"/>
  <c r="I3028" i="14"/>
  <c r="I3052" i="14"/>
  <c r="I3099" i="14"/>
  <c r="I3160" i="14"/>
  <c r="I3174" i="14"/>
  <c r="I2821" i="14"/>
  <c r="I2831" i="14"/>
  <c r="I2835" i="14"/>
  <c r="I2854" i="14"/>
  <c r="I2866" i="14"/>
  <c r="I2877" i="14"/>
  <c r="I2903" i="14"/>
  <c r="I2915" i="14"/>
  <c r="I2935" i="14"/>
  <c r="I2946" i="14"/>
  <c r="I2958" i="14"/>
  <c r="H3176" i="14"/>
  <c r="H17" i="14" s="1"/>
  <c r="I2985" i="14"/>
  <c r="I3041" i="14"/>
  <c r="I3062" i="14"/>
  <c r="I2976" i="14"/>
  <c r="I2453" i="14" l="1"/>
  <c r="G2453" i="14" s="1"/>
  <c r="H2453" i="14" s="1"/>
  <c r="I2302" i="14"/>
  <c r="E2302" i="14" s="1"/>
  <c r="F2302" i="14" s="1"/>
  <c r="I2272" i="14"/>
  <c r="I3176" i="14"/>
  <c r="I17" i="14" s="1"/>
  <c r="F2097" i="14"/>
  <c r="I2097" i="14" s="1"/>
  <c r="G1394" i="14"/>
  <c r="H1394" i="14" s="1"/>
  <c r="I1394" i="14" s="1"/>
  <c r="I2800" i="14"/>
  <c r="I2801" i="14" s="1"/>
  <c r="E2801" i="14" s="1"/>
  <c r="F2801" i="14" s="1"/>
  <c r="F2054" i="14"/>
  <c r="I2054" i="14" s="1"/>
  <c r="F1496" i="14"/>
  <c r="I1496" i="14" s="1"/>
  <c r="G1683" i="14"/>
  <c r="H1683" i="14" s="1"/>
  <c r="I1683" i="14" s="1"/>
  <c r="F1544" i="14"/>
  <c r="I1544" i="14" s="1"/>
  <c r="E1090" i="14"/>
  <c r="F1090" i="14" s="1"/>
  <c r="I1090" i="14" s="1"/>
  <c r="E1075" i="14"/>
  <c r="F1075" i="14" s="1"/>
  <c r="I1075" i="14" s="1"/>
  <c r="G2096" i="14"/>
  <c r="H2096" i="14" s="1"/>
  <c r="I2096" i="14" s="1"/>
  <c r="I1067" i="14"/>
  <c r="I1072" i="14"/>
  <c r="F1926" i="14"/>
  <c r="I1926" i="14" s="1"/>
  <c r="G1504" i="14"/>
  <c r="H1504" i="14" s="1"/>
  <c r="I1504" i="14" s="1"/>
  <c r="I2818" i="14"/>
  <c r="E2818" i="14" s="1"/>
  <c r="F2818" i="14" s="1"/>
  <c r="I940" i="14"/>
  <c r="E589" i="14"/>
  <c r="F589" i="14" s="1"/>
  <c r="I589" i="14" s="1"/>
  <c r="I872" i="14"/>
  <c r="F1847" i="14"/>
  <c r="I1847" i="14" s="1"/>
  <c r="I2733" i="14"/>
  <c r="E2733" i="14" s="1"/>
  <c r="F2733" i="14" s="1"/>
  <c r="F1669" i="14"/>
  <c r="E1670" i="14" s="1"/>
  <c r="F1670" i="14" s="1"/>
  <c r="G1740" i="14"/>
  <c r="H1740" i="14" s="1"/>
  <c r="I1740" i="14" s="1"/>
  <c r="G1576" i="14"/>
  <c r="H1576" i="14" s="1"/>
  <c r="I1576" i="14" s="1"/>
  <c r="G1378" i="14"/>
  <c r="H1378" i="14" s="1"/>
  <c r="I1378" i="14" s="1"/>
  <c r="F1689" i="14"/>
  <c r="I1689" i="14" s="1"/>
  <c r="I2746" i="14"/>
  <c r="E2746" i="14" s="1"/>
  <c r="F2746" i="14" s="1"/>
  <c r="F1930" i="14"/>
  <c r="I1930" i="14" s="1"/>
  <c r="F1814" i="14"/>
  <c r="I1814" i="14" s="1"/>
  <c r="F57" i="14"/>
  <c r="I57" i="14" s="1"/>
  <c r="F1399" i="14"/>
  <c r="I1399" i="14" s="1"/>
  <c r="I2403" i="14"/>
  <c r="G2403" i="14" s="1"/>
  <c r="H2403" i="14" s="1"/>
  <c r="I2229" i="14"/>
  <c r="E2229" i="14" s="1"/>
  <c r="F2229" i="14" s="1"/>
  <c r="F2102" i="14"/>
  <c r="E2104" i="14" s="1"/>
  <c r="G2104" i="14" s="1"/>
  <c r="H2104" i="14" s="1"/>
  <c r="E1068" i="14"/>
  <c r="F1068" i="14" s="1"/>
  <c r="I1068" i="14" s="1"/>
  <c r="G1629" i="14"/>
  <c r="H1629" i="14" s="1"/>
  <c r="I1629" i="14" s="1"/>
  <c r="I1089" i="14"/>
  <c r="F2215" i="14"/>
  <c r="I2215" i="14" s="1"/>
  <c r="F1846" i="14"/>
  <c r="I1846" i="14" s="1"/>
  <c r="F1486" i="14"/>
  <c r="E1487" i="14" s="1"/>
  <c r="F1487" i="14" s="1"/>
  <c r="G1797" i="14"/>
  <c r="H1797" i="14" s="1"/>
  <c r="I1797" i="14" s="1"/>
  <c r="I2838" i="14"/>
  <c r="E2838" i="14" s="1"/>
  <c r="F2838" i="14" s="1"/>
  <c r="I2497" i="14"/>
  <c r="E2497" i="14" s="1"/>
  <c r="F2497" i="14" s="1"/>
  <c r="I2702" i="14"/>
  <c r="E2702" i="14" s="1"/>
  <c r="F2702" i="14" s="1"/>
  <c r="F1566" i="14"/>
  <c r="I1566" i="14" s="1"/>
  <c r="I2811" i="14"/>
  <c r="G2811" i="14" s="1"/>
  <c r="H2811" i="14" s="1"/>
  <c r="E942" i="14"/>
  <c r="F942" i="14" s="1"/>
  <c r="I942" i="14" s="1"/>
  <c r="I2624" i="14"/>
  <c r="E2624" i="14" s="1"/>
  <c r="F2624" i="14" s="1"/>
  <c r="I2357" i="14"/>
  <c r="I2358" i="14" s="1"/>
  <c r="E2358" i="14" s="1"/>
  <c r="F2358" i="14" s="1"/>
  <c r="I2796" i="14"/>
  <c r="E2796" i="14" s="1"/>
  <c r="F2796" i="14" s="1"/>
  <c r="I2682" i="14"/>
  <c r="G2682" i="14" s="1"/>
  <c r="H2682" i="14" s="1"/>
  <c r="I2309" i="14"/>
  <c r="G2309" i="14" s="1"/>
  <c r="H2309" i="14" s="1"/>
  <c r="F3176" i="14"/>
  <c r="F17" i="14" s="1"/>
  <c r="F1628" i="14"/>
  <c r="I1628" i="14" s="1"/>
  <c r="E378" i="14"/>
  <c r="F378" i="14" s="1"/>
  <c r="I378" i="14" s="1"/>
  <c r="F1708" i="14"/>
  <c r="I1708" i="14" s="1"/>
  <c r="F1665" i="14"/>
  <c r="I1665" i="14" s="1"/>
  <c r="I2615" i="14"/>
  <c r="E2615" i="14" s="1"/>
  <c r="F2615" i="14" s="1"/>
  <c r="I2381" i="14"/>
  <c r="G2381" i="14" s="1"/>
  <c r="H2381" i="14" s="1"/>
  <c r="I2487" i="14"/>
  <c r="G2487" i="14" s="1"/>
  <c r="H2487" i="14" s="1"/>
  <c r="I2557" i="14"/>
  <c r="E2557" i="14" s="1"/>
  <c r="F2557" i="14" s="1"/>
  <c r="I2475" i="14"/>
  <c r="I2476" i="14" s="1"/>
  <c r="E2476" i="14" s="1"/>
  <c r="F2476" i="14" s="1"/>
  <c r="I2332" i="14"/>
  <c r="E2332" i="14" s="1"/>
  <c r="F2332" i="14" s="1"/>
  <c r="I592" i="14"/>
  <c r="I2572" i="14"/>
  <c r="E2572" i="14" s="1"/>
  <c r="F2572" i="14" s="1"/>
  <c r="I2371" i="14"/>
  <c r="E2371" i="14" s="1"/>
  <c r="F2371" i="14" s="1"/>
  <c r="F1520" i="14"/>
  <c r="I1520" i="14" s="1"/>
  <c r="I2657" i="14"/>
  <c r="G2657" i="14" s="1"/>
  <c r="H2657" i="14" s="1"/>
  <c r="F1909" i="14"/>
  <c r="I1909" i="14" s="1"/>
  <c r="F1481" i="14"/>
  <c r="I1481" i="14" s="1"/>
  <c r="F1412" i="14"/>
  <c r="I1412" i="14" s="1"/>
  <c r="I2250" i="14"/>
  <c r="E2250" i="14" s="1"/>
  <c r="F2250" i="14" s="1"/>
  <c r="F2022" i="14"/>
  <c r="E2032" i="14" s="1"/>
  <c r="I491" i="14"/>
  <c r="I496" i="14"/>
  <c r="I2465" i="14"/>
  <c r="G2465" i="14" s="1"/>
  <c r="H2465" i="14" s="1"/>
  <c r="G2055" i="14"/>
  <c r="H2055" i="14" s="1"/>
  <c r="I2055" i="14" s="1"/>
  <c r="F1418" i="14"/>
  <c r="I1418" i="14" s="1"/>
  <c r="I2807" i="14"/>
  <c r="G2807" i="14" s="1"/>
  <c r="H2807" i="14" s="1"/>
  <c r="F32" i="14"/>
  <c r="I32" i="14" s="1"/>
  <c r="F71" i="14"/>
  <c r="I71" i="14" s="1"/>
  <c r="I70" i="14"/>
  <c r="I2434" i="14"/>
  <c r="E2434" i="14" s="1"/>
  <c r="F2434" i="14" s="1"/>
  <c r="I2285" i="14"/>
  <c r="G2285" i="14" s="1"/>
  <c r="H2285" i="14" s="1"/>
  <c r="I2267" i="14"/>
  <c r="G2267" i="14" s="1"/>
  <c r="H2267" i="14" s="1"/>
  <c r="I486" i="14"/>
  <c r="E497" i="14"/>
  <c r="F497" i="14" s="1"/>
  <c r="I497" i="14" s="1"/>
  <c r="I2390" i="14"/>
  <c r="G2390" i="14" s="1"/>
  <c r="H2390" i="14" s="1"/>
  <c r="I2757" i="14"/>
  <c r="E2757" i="14" s="1"/>
  <c r="F2757" i="14" s="1"/>
  <c r="I2637" i="14"/>
  <c r="G2637" i="14" s="1"/>
  <c r="H2637" i="14" s="1"/>
  <c r="I2520" i="14"/>
  <c r="G2520" i="14" s="1"/>
  <c r="H2520" i="14" s="1"/>
  <c r="I2506" i="14"/>
  <c r="E2506" i="14" s="1"/>
  <c r="F2506" i="14" s="1"/>
  <c r="G1750" i="14"/>
  <c r="H1750" i="14" s="1"/>
  <c r="I1750" i="14" s="1"/>
  <c r="E492" i="14"/>
  <c r="F492" i="14" s="1"/>
  <c r="I492" i="14" s="1"/>
  <c r="I2606" i="14"/>
  <c r="E2606" i="14" s="1"/>
  <c r="F2606" i="14" s="1"/>
  <c r="I2424" i="14"/>
  <c r="G2424" i="14" s="1"/>
  <c r="H2424" i="14" s="1"/>
  <c r="F2166" i="14"/>
  <c r="I2166" i="14" s="1"/>
  <c r="F1908" i="14"/>
  <c r="I1908" i="14" s="1"/>
  <c r="I1073" i="14"/>
  <c r="I2785" i="14"/>
  <c r="G2785" i="14" s="1"/>
  <c r="H2785" i="14" s="1"/>
  <c r="E876" i="14"/>
  <c r="F876" i="14" s="1"/>
  <c r="I876" i="14" s="1"/>
  <c r="G1502" i="14"/>
  <c r="H1502" i="14" s="1"/>
  <c r="I1502" i="14" s="1"/>
  <c r="I89" i="14"/>
  <c r="G89" i="14" s="1"/>
  <c r="H89" i="14" s="1"/>
  <c r="I939" i="14"/>
  <c r="I2547" i="14"/>
  <c r="G2547" i="14" s="1"/>
  <c r="H2547" i="14" s="1"/>
  <c r="F2118" i="14"/>
  <c r="I2118" i="14" s="1"/>
  <c r="F2017" i="14"/>
  <c r="I2017" i="14" s="1"/>
  <c r="I965" i="14"/>
  <c r="I949" i="14"/>
  <c r="I963" i="14"/>
  <c r="I1617" i="14"/>
  <c r="F1799" i="14"/>
  <c r="I1799" i="14" s="1"/>
  <c r="G1663" i="14"/>
  <c r="H1663" i="14" s="1"/>
  <c r="I1663" i="14" s="1"/>
  <c r="I2593" i="14"/>
  <c r="I2775" i="14"/>
  <c r="G2775" i="14" s="1"/>
  <c r="H2775" i="14" s="1"/>
  <c r="I2739" i="14"/>
  <c r="G2739" i="14" s="1"/>
  <c r="H2739" i="14" s="1"/>
  <c r="I957" i="14"/>
  <c r="H873" i="14"/>
  <c r="I873" i="14" s="1"/>
  <c r="I951" i="14"/>
  <c r="I1752" i="14"/>
  <c r="I2582" i="14"/>
  <c r="F1907" i="14"/>
  <c r="G1907" i="14"/>
  <c r="H1907" i="14" s="1"/>
  <c r="I2688" i="14"/>
  <c r="I2689" i="14" s="1"/>
  <c r="I2153" i="14"/>
  <c r="I964" i="14"/>
  <c r="I950" i="14"/>
  <c r="I587" i="14"/>
  <c r="I593" i="14"/>
  <c r="I2346" i="14"/>
  <c r="E487" i="14"/>
  <c r="F487" i="14" s="1"/>
  <c r="I487" i="14" s="1"/>
  <c r="F1416" i="14"/>
  <c r="G1416" i="14"/>
  <c r="H1416" i="14" s="1"/>
  <c r="I712" i="14"/>
  <c r="I2667" i="14"/>
  <c r="E2667" i="14" s="1"/>
  <c r="F2667" i="14" s="1"/>
  <c r="E2154" i="14"/>
  <c r="F2154" i="14" s="1"/>
  <c r="F1687" i="14"/>
  <c r="G1687" i="14"/>
  <c r="H1687" i="14" s="1"/>
  <c r="I2719" i="14"/>
  <c r="G2719" i="14" s="1"/>
  <c r="H2719" i="14" s="1"/>
  <c r="I2832" i="14"/>
  <c r="E2832" i="14" s="1"/>
  <c r="F2832" i="14" s="1"/>
  <c r="I2696" i="14"/>
  <c r="G2696" i="14" s="1"/>
  <c r="H2696" i="14" s="1"/>
  <c r="I956" i="14"/>
  <c r="I958" i="14"/>
  <c r="F1812" i="14"/>
  <c r="G1812" i="14"/>
  <c r="H1812" i="14" s="1"/>
  <c r="I495" i="14"/>
  <c r="I1156" i="14"/>
  <c r="F2098" i="14"/>
  <c r="G2098" i="14"/>
  <c r="H2098" i="14" s="1"/>
  <c r="G2018" i="14"/>
  <c r="H2018" i="14" s="1"/>
  <c r="F2018" i="14"/>
  <c r="G1546" i="14"/>
  <c r="H1546" i="14" s="1"/>
  <c r="F1546" i="14"/>
  <c r="G1951" i="14"/>
  <c r="H1951" i="14" s="1"/>
  <c r="F1951" i="14"/>
  <c r="G1437" i="14"/>
  <c r="H1437" i="14" s="1"/>
  <c r="F1437" i="14"/>
  <c r="G1395" i="14"/>
  <c r="H1395" i="14" s="1"/>
  <c r="F1395" i="14"/>
  <c r="I382" i="14"/>
  <c r="F55" i="14"/>
  <c r="G55" i="14"/>
  <c r="H55" i="14" s="1"/>
  <c r="G2177" i="14"/>
  <c r="H2177" i="14" s="1"/>
  <c r="F2177" i="14"/>
  <c r="G2216" i="14"/>
  <c r="H2216" i="14" s="1"/>
  <c r="F2216" i="14"/>
  <c r="G2000" i="14"/>
  <c r="H2000" i="14" s="1"/>
  <c r="F2000" i="14"/>
  <c r="G1584" i="14"/>
  <c r="H1584" i="14" s="1"/>
  <c r="F1584" i="14"/>
  <c r="G1709" i="14"/>
  <c r="H1709" i="14" s="1"/>
  <c r="F1709" i="14"/>
  <c r="G1482" i="14"/>
  <c r="H1482" i="14" s="1"/>
  <c r="F1482" i="14"/>
  <c r="E1083" i="14"/>
  <c r="F1083" i="14" s="1"/>
  <c r="I1083" i="14" s="1"/>
  <c r="I2968" i="14"/>
  <c r="I16" i="14" s="1"/>
  <c r="G2193" i="14"/>
  <c r="H2193" i="14" s="1"/>
  <c r="F2193" i="14"/>
  <c r="G2119" i="14"/>
  <c r="H2119" i="14" s="1"/>
  <c r="F2119" i="14"/>
  <c r="F1751" i="14"/>
  <c r="G1751" i="14"/>
  <c r="H1751" i="14" s="1"/>
  <c r="G2192" i="14"/>
  <c r="H2192" i="14" s="1"/>
  <c r="F2192" i="14"/>
  <c r="F1931" i="14"/>
  <c r="G1931" i="14"/>
  <c r="H1931" i="14" s="1"/>
  <c r="F1741" i="14"/>
  <c r="G1741" i="14"/>
  <c r="H1741" i="14" s="1"/>
  <c r="G2080" i="14"/>
  <c r="H2080" i="14" s="1"/>
  <c r="F2080" i="14"/>
  <c r="G2053" i="14"/>
  <c r="H2053" i="14" s="1"/>
  <c r="F2053" i="14"/>
  <c r="F1913" i="14"/>
  <c r="G1913" i="14"/>
  <c r="H1913" i="14" s="1"/>
  <c r="F1778" i="14"/>
  <c r="G1778" i="14"/>
  <c r="H1778" i="14" s="1"/>
  <c r="G1562" i="14"/>
  <c r="H1562" i="14" s="1"/>
  <c r="F1562" i="14"/>
  <c r="G1729" i="14"/>
  <c r="H1729" i="14" s="1"/>
  <c r="F1729" i="14"/>
  <c r="G1664" i="14"/>
  <c r="H1664" i="14" s="1"/>
  <c r="F1664" i="14"/>
  <c r="F1583" i="14"/>
  <c r="G1583" i="14"/>
  <c r="H1583" i="14" s="1"/>
  <c r="F1480" i="14"/>
  <c r="G1480" i="14"/>
  <c r="H1480" i="14" s="1"/>
  <c r="F2134" i="14"/>
  <c r="G2134" i="14"/>
  <c r="H2134" i="14" s="1"/>
  <c r="G1757" i="14"/>
  <c r="H1757" i="14" s="1"/>
  <c r="F1757" i="14"/>
  <c r="G1599" i="14"/>
  <c r="H1599" i="14" s="1"/>
  <c r="F1599" i="14"/>
  <c r="F1518" i="14"/>
  <c r="G1518" i="14"/>
  <c r="H1518" i="14" s="1"/>
  <c r="F1393" i="14"/>
  <c r="G1393" i="14"/>
  <c r="H1393" i="14" s="1"/>
  <c r="G1545" i="14"/>
  <c r="H1545" i="14" s="1"/>
  <c r="F1545" i="14"/>
  <c r="E1197" i="14"/>
  <c r="F1197" i="14" s="1"/>
  <c r="I1197" i="14" s="1"/>
  <c r="I947" i="14"/>
  <c r="E959" i="14"/>
  <c r="F959" i="14" s="1"/>
  <c r="I959" i="14" s="1"/>
  <c r="I586" i="14"/>
  <c r="F34" i="14"/>
  <c r="G34" i="14"/>
  <c r="H34" i="14" s="1"/>
  <c r="I591" i="14"/>
  <c r="I56" i="14"/>
  <c r="F1777" i="14"/>
  <c r="G1777" i="14"/>
  <c r="H1777" i="14" s="1"/>
  <c r="G1832" i="14"/>
  <c r="H1832" i="14" s="1"/>
  <c r="F1832" i="14"/>
  <c r="G1813" i="14"/>
  <c r="H1813" i="14" s="1"/>
  <c r="F1813" i="14"/>
  <c r="E594" i="14"/>
  <c r="F594" i="14" s="1"/>
  <c r="I594" i="14" s="1"/>
  <c r="I2792" i="14"/>
  <c r="I2677" i="14"/>
  <c r="I2711" i="14"/>
  <c r="G2156" i="14"/>
  <c r="H2156" i="14" s="1"/>
  <c r="F2156" i="14"/>
  <c r="F2194" i="14"/>
  <c r="G2194" i="14"/>
  <c r="H2194" i="14" s="1"/>
  <c r="F1874" i="14"/>
  <c r="G1874" i="14"/>
  <c r="H1874" i="14" s="1"/>
  <c r="I2725" i="14"/>
  <c r="I2726" i="14" s="1"/>
  <c r="G2081" i="14"/>
  <c r="H2081" i="14" s="1"/>
  <c r="F2081" i="14"/>
  <c r="G1876" i="14"/>
  <c r="H1876" i="14" s="1"/>
  <c r="F1876" i="14"/>
  <c r="G1561" i="14"/>
  <c r="H1561" i="14" s="1"/>
  <c r="F1561" i="14"/>
  <c r="G2016" i="14"/>
  <c r="H2016" i="14" s="1"/>
  <c r="F2016" i="14"/>
  <c r="G1776" i="14"/>
  <c r="H1776" i="14" s="1"/>
  <c r="F1776" i="14"/>
  <c r="G1646" i="14"/>
  <c r="H1646" i="14" s="1"/>
  <c r="F1646" i="14"/>
  <c r="F1463" i="14"/>
  <c r="G1463" i="14"/>
  <c r="H1463" i="14" s="1"/>
  <c r="E2155" i="14"/>
  <c r="F2135" i="14"/>
  <c r="G2135" i="14"/>
  <c r="H2135" i="14" s="1"/>
  <c r="G1598" i="14"/>
  <c r="H1598" i="14" s="1"/>
  <c r="F1598" i="14"/>
  <c r="G1435" i="14"/>
  <c r="H1435" i="14" s="1"/>
  <c r="F1435" i="14"/>
  <c r="G1377" i="14"/>
  <c r="H1377" i="14" s="1"/>
  <c r="F1377" i="14"/>
  <c r="F1376" i="14"/>
  <c r="G1376" i="14"/>
  <c r="H1376" i="14" s="1"/>
  <c r="I1417" i="14"/>
  <c r="E1190" i="14"/>
  <c r="F1190" i="14" s="1"/>
  <c r="I1190" i="14" s="1"/>
  <c r="I1302" i="14"/>
  <c r="F2167" i="14"/>
  <c r="G2167" i="14"/>
  <c r="H2167" i="14" s="1"/>
  <c r="F1952" i="14"/>
  <c r="G1952" i="14"/>
  <c r="H1952" i="14" s="1"/>
  <c r="G2079" i="14"/>
  <c r="H2079" i="14" s="1"/>
  <c r="F2079" i="14"/>
  <c r="G1647" i="14"/>
  <c r="H1647" i="14" s="1"/>
  <c r="F1647" i="14"/>
  <c r="F1600" i="14"/>
  <c r="G1600" i="14"/>
  <c r="H1600" i="14" s="1"/>
  <c r="F2176" i="14"/>
  <c r="G2176" i="14"/>
  <c r="H2176" i="14" s="1"/>
  <c r="F1999" i="14"/>
  <c r="G1999" i="14"/>
  <c r="H1999" i="14" s="1"/>
  <c r="F1845" i="14"/>
  <c r="G1845" i="14"/>
  <c r="H1845" i="14" s="1"/>
  <c r="G2040" i="14"/>
  <c r="H2040" i="14" s="1"/>
  <c r="F2040" i="14"/>
  <c r="G2001" i="14"/>
  <c r="H2001" i="14" s="1"/>
  <c r="F2001" i="14"/>
  <c r="G1875" i="14"/>
  <c r="H1875" i="14" s="1"/>
  <c r="F1875" i="14"/>
  <c r="G1648" i="14"/>
  <c r="H1648" i="14" s="1"/>
  <c r="F1648" i="14"/>
  <c r="G1756" i="14"/>
  <c r="H1756" i="14" s="1"/>
  <c r="F1756" i="14"/>
  <c r="G1620" i="14"/>
  <c r="H1620" i="14" s="1"/>
  <c r="F1620" i="14"/>
  <c r="G1560" i="14"/>
  <c r="H1560" i="14" s="1"/>
  <c r="F1560" i="14"/>
  <c r="G2133" i="14"/>
  <c r="H2133" i="14" s="1"/>
  <c r="F2133" i="14"/>
  <c r="G1953" i="14"/>
  <c r="H1953" i="14" s="1"/>
  <c r="F1953" i="14"/>
  <c r="G1833" i="14"/>
  <c r="H1833" i="14" s="1"/>
  <c r="F1833" i="14"/>
  <c r="E1619" i="14"/>
  <c r="E1618" i="14"/>
  <c r="G2039" i="14"/>
  <c r="H2039" i="14" s="1"/>
  <c r="F2039" i="14"/>
  <c r="G1710" i="14"/>
  <c r="H1710" i="14" s="1"/>
  <c r="F1710" i="14"/>
  <c r="F1436" i="14"/>
  <c r="G1436" i="14"/>
  <c r="H1436" i="14" s="1"/>
  <c r="G1464" i="14"/>
  <c r="H1464" i="14" s="1"/>
  <c r="F1464" i="14"/>
  <c r="G1519" i="14"/>
  <c r="H1519" i="14" s="1"/>
  <c r="F1519" i="14"/>
  <c r="G1465" i="14"/>
  <c r="H1465" i="14" s="1"/>
  <c r="F1465" i="14"/>
  <c r="E952" i="14"/>
  <c r="F952" i="14" s="1"/>
  <c r="I952" i="14" s="1"/>
  <c r="E966" i="14"/>
  <c r="F966" i="14" s="1"/>
  <c r="I966" i="14" s="1"/>
  <c r="E710" i="14"/>
  <c r="G33" i="14"/>
  <c r="H33" i="14" s="1"/>
  <c r="F33" i="14"/>
  <c r="F69" i="14"/>
  <c r="G69" i="14"/>
  <c r="H69" i="14" s="1"/>
  <c r="F12" i="14"/>
  <c r="I707" i="14"/>
  <c r="I588" i="14"/>
  <c r="E2272" i="14" l="1"/>
  <c r="F2272" i="14" s="1"/>
  <c r="G2272" i="14"/>
  <c r="H2272" i="14" s="1"/>
  <c r="G2800" i="14"/>
  <c r="H2800" i="14" s="1"/>
  <c r="G2801" i="14"/>
  <c r="H2801" i="14" s="1"/>
  <c r="E2800" i="14"/>
  <c r="F2800" i="14" s="1"/>
  <c r="G2606" i="14"/>
  <c r="H2606" i="14" s="1"/>
  <c r="E1401" i="14"/>
  <c r="F1401" i="14" s="1"/>
  <c r="I1669" i="14"/>
  <c r="E1671" i="14"/>
  <c r="G1671" i="14" s="1"/>
  <c r="H1671" i="14" s="1"/>
  <c r="G2818" i="14"/>
  <c r="H2818" i="14" s="1"/>
  <c r="E1489" i="14"/>
  <c r="G1489" i="14" s="1"/>
  <c r="H1489" i="14" s="1"/>
  <c r="E1488" i="14"/>
  <c r="F1488" i="14" s="1"/>
  <c r="E2403" i="14"/>
  <c r="F2403" i="14" s="1"/>
  <c r="G2746" i="14"/>
  <c r="H2746" i="14" s="1"/>
  <c r="E2357" i="14"/>
  <c r="F2357" i="14" s="1"/>
  <c r="G2250" i="14"/>
  <c r="H2250" i="14" s="1"/>
  <c r="G2358" i="14"/>
  <c r="H2358" i="14" s="1"/>
  <c r="E1672" i="14"/>
  <c r="G1672" i="14" s="1"/>
  <c r="H1672" i="14" s="1"/>
  <c r="G1670" i="14"/>
  <c r="H1670" i="14" s="1"/>
  <c r="I1670" i="14" s="1"/>
  <c r="E2547" i="14"/>
  <c r="F2547" i="14" s="1"/>
  <c r="G1487" i="14"/>
  <c r="H1487" i="14" s="1"/>
  <c r="I1487" i="14" s="1"/>
  <c r="E2309" i="14"/>
  <c r="F2309" i="14" s="1"/>
  <c r="E2267" i="14"/>
  <c r="F2267" i="14" s="1"/>
  <c r="G2497" i="14"/>
  <c r="H2497" i="14" s="1"/>
  <c r="I2102" i="14"/>
  <c r="G2332" i="14"/>
  <c r="H2332" i="14" s="1"/>
  <c r="E2785" i="14"/>
  <c r="F2785" i="14" s="1"/>
  <c r="G2796" i="14"/>
  <c r="H2796" i="14" s="1"/>
  <c r="I1599" i="14"/>
  <c r="I1583" i="14"/>
  <c r="G2838" i="14"/>
  <c r="H2838" i="14" s="1"/>
  <c r="E2520" i="14"/>
  <c r="F2520" i="14" s="1"/>
  <c r="E2381" i="14"/>
  <c r="F2381" i="14" s="1"/>
  <c r="E1567" i="14"/>
  <c r="F1567" i="14" s="1"/>
  <c r="E2682" i="14"/>
  <c r="F2682" i="14" s="1"/>
  <c r="F2104" i="14"/>
  <c r="I2104" i="14" s="1"/>
  <c r="E2390" i="14"/>
  <c r="F2390" i="14" s="1"/>
  <c r="E1568" i="14"/>
  <c r="G1568" i="14" s="1"/>
  <c r="H1568" i="14" s="1"/>
  <c r="G2572" i="14"/>
  <c r="H2572" i="14" s="1"/>
  <c r="E2807" i="14"/>
  <c r="F2807" i="14" s="1"/>
  <c r="G2733" i="14"/>
  <c r="H2733" i="14" s="1"/>
  <c r="I1486" i="14"/>
  <c r="G2229" i="14"/>
  <c r="H2229" i="14" s="1"/>
  <c r="E2811" i="14"/>
  <c r="F2811" i="14" s="1"/>
  <c r="E2487" i="14"/>
  <c r="F2487" i="14" s="1"/>
  <c r="G2702" i="14"/>
  <c r="H2702" i="14" s="1"/>
  <c r="G2371" i="14"/>
  <c r="H2371" i="14" s="1"/>
  <c r="G2357" i="14"/>
  <c r="H2357" i="14" s="1"/>
  <c r="E2112" i="14"/>
  <c r="G2112" i="14" s="1"/>
  <c r="H2112" i="14" s="1"/>
  <c r="G2624" i="14"/>
  <c r="H2624" i="14" s="1"/>
  <c r="E2285" i="14"/>
  <c r="F2285" i="14" s="1"/>
  <c r="E2453" i="14"/>
  <c r="F2453" i="14" s="1"/>
  <c r="E2103" i="14"/>
  <c r="F2103" i="14" s="1"/>
  <c r="E2105" i="14"/>
  <c r="G2105" i="14" s="1"/>
  <c r="H2105" i="14" s="1"/>
  <c r="E1400" i="14"/>
  <c r="G1400" i="14" s="1"/>
  <c r="H1400" i="14" s="1"/>
  <c r="I2286" i="14"/>
  <c r="E2286" i="14" s="1"/>
  <c r="F2286" i="14" s="1"/>
  <c r="E1402" i="14"/>
  <c r="F1402" i="14" s="1"/>
  <c r="G2476" i="14"/>
  <c r="H2476" i="14" s="1"/>
  <c r="G2475" i="14"/>
  <c r="H2475" i="14" s="1"/>
  <c r="E2475" i="14"/>
  <c r="F2475" i="14" s="1"/>
  <c r="G2615" i="14"/>
  <c r="H2615" i="14" s="1"/>
  <c r="G2154" i="14"/>
  <c r="H2154" i="14" s="1"/>
  <c r="I2154" i="14" s="1"/>
  <c r="E2637" i="14"/>
  <c r="F2637" i="14" s="1"/>
  <c r="E1569" i="14"/>
  <c r="G2832" i="14"/>
  <c r="H2832" i="14" s="1"/>
  <c r="I2840" i="14"/>
  <c r="E2424" i="14"/>
  <c r="F2424" i="14" s="1"/>
  <c r="G2688" i="14"/>
  <c r="H2688" i="14" s="1"/>
  <c r="G2557" i="14"/>
  <c r="H2557" i="14" s="1"/>
  <c r="I2022" i="14"/>
  <c r="G2506" i="14"/>
  <c r="H2506" i="14" s="1"/>
  <c r="E2719" i="14"/>
  <c r="F2719" i="14" s="1"/>
  <c r="G2757" i="14"/>
  <c r="H2757" i="14" s="1"/>
  <c r="E2465" i="14"/>
  <c r="F2465" i="14" s="1"/>
  <c r="G2302" i="14"/>
  <c r="H2302" i="14" s="1"/>
  <c r="E89" i="14"/>
  <c r="F89" i="14" s="1"/>
  <c r="F91" i="14" s="1"/>
  <c r="F11" i="14" s="1"/>
  <c r="G2434" i="14"/>
  <c r="H2434" i="14" s="1"/>
  <c r="I1777" i="14"/>
  <c r="I1562" i="14"/>
  <c r="I1913" i="14"/>
  <c r="I2080" i="14"/>
  <c r="I1741" i="14"/>
  <c r="E392" i="14"/>
  <c r="F392" i="14" s="1"/>
  <c r="I392" i="14" s="1"/>
  <c r="I1518" i="14"/>
  <c r="E2657" i="14"/>
  <c r="F2657" i="14" s="1"/>
  <c r="E2023" i="14"/>
  <c r="E2025" i="14"/>
  <c r="E2024" i="14"/>
  <c r="I1436" i="14"/>
  <c r="I1620" i="14"/>
  <c r="I1999" i="14"/>
  <c r="F2219" i="14"/>
  <c r="G2667" i="14"/>
  <c r="H2667" i="14" s="1"/>
  <c r="I1464" i="14"/>
  <c r="I1710" i="14"/>
  <c r="E2739" i="14"/>
  <c r="F2739" i="14" s="1"/>
  <c r="I2156" i="14"/>
  <c r="I1952" i="14"/>
  <c r="I1435" i="14"/>
  <c r="E2688" i="14"/>
  <c r="F2688" i="14" s="1"/>
  <c r="E2696" i="14"/>
  <c r="F2696" i="14" s="1"/>
  <c r="E2775" i="14"/>
  <c r="F2775" i="14" s="1"/>
  <c r="I69" i="14"/>
  <c r="I1812" i="14"/>
  <c r="I1416" i="14"/>
  <c r="I1907" i="14"/>
  <c r="G2593" i="14"/>
  <c r="H2593" i="14" s="1"/>
  <c r="E2593" i="14"/>
  <c r="F2593" i="14" s="1"/>
  <c r="I2594" i="14"/>
  <c r="E2689" i="14"/>
  <c r="F2689" i="14" s="1"/>
  <c r="G2689" i="14"/>
  <c r="H2689" i="14" s="1"/>
  <c r="E2582" i="14"/>
  <c r="F2582" i="14" s="1"/>
  <c r="G2582" i="14"/>
  <c r="H2582" i="14" s="1"/>
  <c r="I1757" i="14"/>
  <c r="I1664" i="14"/>
  <c r="I1778" i="14"/>
  <c r="I2192" i="14"/>
  <c r="I2193" i="14"/>
  <c r="I1395" i="14"/>
  <c r="I1951" i="14"/>
  <c r="G2346" i="14"/>
  <c r="H2346" i="14" s="1"/>
  <c r="E2346" i="14"/>
  <c r="F2346" i="14" s="1"/>
  <c r="G2032" i="14"/>
  <c r="H2032" i="14" s="1"/>
  <c r="F2032" i="14"/>
  <c r="I33" i="14"/>
  <c r="I1875" i="14"/>
  <c r="I1845" i="14"/>
  <c r="I2079" i="14"/>
  <c r="I2167" i="14"/>
  <c r="I1377" i="14"/>
  <c r="I1463" i="14"/>
  <c r="I1776" i="14"/>
  <c r="I2081" i="14"/>
  <c r="I2194" i="14"/>
  <c r="I1393" i="14"/>
  <c r="I1584" i="14"/>
  <c r="I2216" i="14"/>
  <c r="I1687" i="14"/>
  <c r="G710" i="14"/>
  <c r="H710" i="14" s="1"/>
  <c r="F710" i="14"/>
  <c r="G2726" i="14"/>
  <c r="H2726" i="14" s="1"/>
  <c r="E2726" i="14"/>
  <c r="F2726" i="14" s="1"/>
  <c r="I2787" i="14"/>
  <c r="I1465" i="14"/>
  <c r="I1647" i="14"/>
  <c r="I1376" i="14"/>
  <c r="G2677" i="14"/>
  <c r="H2677" i="14" s="1"/>
  <c r="E2677" i="14"/>
  <c r="F2677" i="14" s="1"/>
  <c r="I1751" i="14"/>
  <c r="F1860" i="14"/>
  <c r="I1482" i="14"/>
  <c r="I2000" i="14"/>
  <c r="E385" i="14"/>
  <c r="F385" i="14" s="1"/>
  <c r="I385" i="14" s="1"/>
  <c r="I1437" i="14"/>
  <c r="I1546" i="14"/>
  <c r="I2018" i="14"/>
  <c r="G1618" i="14"/>
  <c r="H1618" i="14" s="1"/>
  <c r="F1618" i="14"/>
  <c r="I2176" i="14"/>
  <c r="H2219" i="14"/>
  <c r="I1600" i="14"/>
  <c r="I1874" i="14"/>
  <c r="E1732" i="14"/>
  <c r="E1730" i="14"/>
  <c r="E1731" i="14"/>
  <c r="I2098" i="14"/>
  <c r="I2039" i="14"/>
  <c r="I1833" i="14"/>
  <c r="I1756" i="14"/>
  <c r="I2040" i="14"/>
  <c r="I2135" i="14"/>
  <c r="I1646" i="14"/>
  <c r="I1561" i="14"/>
  <c r="I1813" i="14"/>
  <c r="I1832" i="14"/>
  <c r="I34" i="14"/>
  <c r="I2134" i="14"/>
  <c r="I1729" i="14"/>
  <c r="E1915" i="14"/>
  <c r="E1914" i="14"/>
  <c r="E1916" i="14"/>
  <c r="I2119" i="14"/>
  <c r="F1619" i="14"/>
  <c r="G1619" i="14"/>
  <c r="H1619" i="14" s="1"/>
  <c r="I1560" i="14"/>
  <c r="H91" i="14"/>
  <c r="H11" i="14" s="1"/>
  <c r="I1519" i="14"/>
  <c r="I1953" i="14"/>
  <c r="I2133" i="14"/>
  <c r="I1648" i="14"/>
  <c r="I2001" i="14"/>
  <c r="I1598" i="14"/>
  <c r="G2155" i="14"/>
  <c r="H2155" i="14" s="1"/>
  <c r="F2155" i="14"/>
  <c r="I2016" i="14"/>
  <c r="I1876" i="14"/>
  <c r="G2725" i="14"/>
  <c r="H2725" i="14" s="1"/>
  <c r="E2725" i="14"/>
  <c r="F2725" i="14" s="1"/>
  <c r="E2711" i="14"/>
  <c r="F2711" i="14" s="1"/>
  <c r="G2711" i="14"/>
  <c r="H2711" i="14" s="1"/>
  <c r="G2792" i="14"/>
  <c r="H2792" i="14" s="1"/>
  <c r="E2792" i="14"/>
  <c r="F2792" i="14" s="1"/>
  <c r="I1545" i="14"/>
  <c r="I1480" i="14"/>
  <c r="I2053" i="14"/>
  <c r="I1931" i="14"/>
  <c r="H1860" i="14"/>
  <c r="I1709" i="14"/>
  <c r="I2177" i="14"/>
  <c r="I55" i="14"/>
  <c r="AH368" i="7"/>
  <c r="AA368" i="7"/>
  <c r="AI368" i="7" s="1"/>
  <c r="BB368" i="7" s="1"/>
  <c r="BB370" i="7" s="1"/>
  <c r="BA466" i="7"/>
  <c r="AZ466" i="7"/>
  <c r="BA465" i="7"/>
  <c r="BA464" i="7"/>
  <c r="AQ470" i="7"/>
  <c r="U470" i="7"/>
  <c r="AC474" i="7"/>
  <c r="BB492" i="7" l="1"/>
  <c r="BB539" i="7" s="1"/>
  <c r="C929" i="14"/>
  <c r="F1671" i="14"/>
  <c r="I1671" i="14" s="1"/>
  <c r="G1488" i="14"/>
  <c r="H1488" i="14" s="1"/>
  <c r="I1488" i="14" s="1"/>
  <c r="G1401" i="14"/>
  <c r="H1401" i="14" s="1"/>
  <c r="I1401" i="14" s="1"/>
  <c r="F1489" i="14"/>
  <c r="I1489" i="14" s="1"/>
  <c r="F1400" i="14"/>
  <c r="I1400" i="14" s="1"/>
  <c r="F1672" i="14"/>
  <c r="F1568" i="14"/>
  <c r="I1568" i="14" s="1"/>
  <c r="G1402" i="14"/>
  <c r="H1402" i="14" s="1"/>
  <c r="I1402" i="14" s="1"/>
  <c r="F2112" i="14"/>
  <c r="I2112" i="14" s="1"/>
  <c r="G1567" i="14"/>
  <c r="H1567" i="14" s="1"/>
  <c r="I1567" i="14" s="1"/>
  <c r="F2105" i="14"/>
  <c r="I2105" i="14" s="1"/>
  <c r="G2103" i="14"/>
  <c r="H2103" i="14" s="1"/>
  <c r="I2103" i="14" s="1"/>
  <c r="F2840" i="14"/>
  <c r="G2286" i="14"/>
  <c r="H2286" i="14" s="1"/>
  <c r="H2840" i="14"/>
  <c r="I2704" i="14"/>
  <c r="I2842" i="14" s="1"/>
  <c r="I15" i="14" s="1"/>
  <c r="G1569" i="14"/>
  <c r="H1569" i="14" s="1"/>
  <c r="F1569" i="14"/>
  <c r="G2023" i="14"/>
  <c r="H2023" i="14" s="1"/>
  <c r="F2023" i="14"/>
  <c r="F2024" i="14"/>
  <c r="G2024" i="14"/>
  <c r="H2024" i="14" s="1"/>
  <c r="G2025" i="14"/>
  <c r="H2025" i="14" s="1"/>
  <c r="F2025" i="14"/>
  <c r="G2594" i="14"/>
  <c r="H2594" i="14" s="1"/>
  <c r="E2594" i="14"/>
  <c r="F2594" i="14" s="1"/>
  <c r="F2704" i="14" s="1"/>
  <c r="I91" i="14"/>
  <c r="I11" i="14" s="1"/>
  <c r="I2032" i="14"/>
  <c r="I1672" i="14"/>
  <c r="I2219" i="14"/>
  <c r="G1915" i="14"/>
  <c r="H1915" i="14" s="1"/>
  <c r="F1915" i="14"/>
  <c r="F1731" i="14"/>
  <c r="G1731" i="14"/>
  <c r="H1731" i="14" s="1"/>
  <c r="G1730" i="14"/>
  <c r="H1730" i="14" s="1"/>
  <c r="F1730" i="14"/>
  <c r="I1860" i="14"/>
  <c r="H2787" i="14"/>
  <c r="I2155" i="14"/>
  <c r="F1916" i="14"/>
  <c r="G1916" i="14"/>
  <c r="H1916" i="14" s="1"/>
  <c r="G1732" i="14"/>
  <c r="H1732" i="14" s="1"/>
  <c r="F1732" i="14"/>
  <c r="F2787" i="14"/>
  <c r="I1619" i="14"/>
  <c r="G1914" i="14"/>
  <c r="H1914" i="14" s="1"/>
  <c r="F1914" i="14"/>
  <c r="I1618" i="14"/>
  <c r="I710" i="14"/>
  <c r="U474" i="7"/>
  <c r="AS484" i="7"/>
  <c r="AE416" i="7"/>
  <c r="AD441" i="7"/>
  <c r="AZ441" i="7" s="1"/>
  <c r="AD438" i="7"/>
  <c r="AD435" i="7"/>
  <c r="AD437" i="7" s="1"/>
  <c r="AZ437" i="7" s="1"/>
  <c r="AD432" i="7"/>
  <c r="AD434" i="7" s="1"/>
  <c r="AZ434" i="7" s="1"/>
  <c r="BA429" i="7"/>
  <c r="BA430" i="7"/>
  <c r="BA431" i="7"/>
  <c r="BA432" i="7"/>
  <c r="BA433" i="7"/>
  <c r="BA434" i="7"/>
  <c r="BA435" i="7"/>
  <c r="BA436" i="7"/>
  <c r="BA437" i="7"/>
  <c r="BA438" i="7"/>
  <c r="BA439" i="7"/>
  <c r="BA440" i="7"/>
  <c r="BA441" i="7"/>
  <c r="BA442" i="7"/>
  <c r="BA443" i="7"/>
  <c r="BA444" i="7"/>
  <c r="BA445" i="7"/>
  <c r="BA446" i="7"/>
  <c r="BA447" i="7"/>
  <c r="BA448" i="7"/>
  <c r="BA449" i="7"/>
  <c r="BA450" i="7"/>
  <c r="BA451" i="7"/>
  <c r="BA452" i="7"/>
  <c r="BA453" i="7"/>
  <c r="BA454" i="7"/>
  <c r="AZ447" i="7"/>
  <c r="AZ449" i="7"/>
  <c r="AZ451" i="7"/>
  <c r="AZ452" i="7"/>
  <c r="AZ453" i="7"/>
  <c r="AZ454" i="7"/>
  <c r="AZ455" i="7"/>
  <c r="AZ438" i="7"/>
  <c r="AZ398" i="7"/>
  <c r="AZ399" i="7"/>
  <c r="AZ401" i="7"/>
  <c r="AZ403" i="7"/>
  <c r="AZ404" i="7"/>
  <c r="AZ406" i="7"/>
  <c r="AZ407" i="7"/>
  <c r="U453" i="7"/>
  <c r="AC478" i="7"/>
  <c r="AT441" i="7"/>
  <c r="AT443" i="7" s="1"/>
  <c r="U441" i="7"/>
  <c r="U442" i="7"/>
  <c r="U443" i="7"/>
  <c r="AT435" i="7"/>
  <c r="AT437" i="7" s="1"/>
  <c r="U435" i="7"/>
  <c r="U437" i="7" s="1"/>
  <c r="AT434" i="7"/>
  <c r="AT440" i="7" s="1"/>
  <c r="U434" i="7"/>
  <c r="U440" i="7" s="1"/>
  <c r="U436" i="7"/>
  <c r="AT432" i="7"/>
  <c r="AT438" i="7" s="1"/>
  <c r="U432" i="7"/>
  <c r="U438" i="7" s="1"/>
  <c r="AQ421" i="7"/>
  <c r="U421" i="7"/>
  <c r="AT420" i="7"/>
  <c r="AS460" i="7"/>
  <c r="U400" i="7"/>
  <c r="U448" i="7"/>
  <c r="AT448" i="7"/>
  <c r="AR448" i="7"/>
  <c r="AR460" i="7" s="1"/>
  <c r="AT445" i="7"/>
  <c r="AT446" i="7" s="1"/>
  <c r="AQ445" i="7"/>
  <c r="AQ446" i="7" s="1"/>
  <c r="AE374" i="7"/>
  <c r="AD374" i="7"/>
  <c r="AZ374" i="7" s="1"/>
  <c r="AD443" i="7" l="1"/>
  <c r="AZ443" i="7" s="1"/>
  <c r="C1318" i="14"/>
  <c r="AD440" i="7"/>
  <c r="AZ440" i="7" s="1"/>
  <c r="AZ435" i="7"/>
  <c r="AD442" i="7"/>
  <c r="AZ442" i="7" s="1"/>
  <c r="F1318" i="14"/>
  <c r="H1318" i="14"/>
  <c r="AT442" i="7"/>
  <c r="AD436" i="7"/>
  <c r="AZ436" i="7" s="1"/>
  <c r="AT436" i="7"/>
  <c r="F1632" i="14"/>
  <c r="H1632" i="14"/>
  <c r="H2704" i="14"/>
  <c r="H2842" i="14" s="1"/>
  <c r="H15" i="14" s="1"/>
  <c r="I2024" i="14"/>
  <c r="I1569" i="14"/>
  <c r="I1632" i="14" s="1"/>
  <c r="I2025" i="14"/>
  <c r="I2023" i="14"/>
  <c r="F2842" i="14"/>
  <c r="F15" i="14" s="1"/>
  <c r="F2170" i="14"/>
  <c r="F1744" i="14"/>
  <c r="I1915" i="14"/>
  <c r="I1914" i="14"/>
  <c r="H2170" i="14"/>
  <c r="I1916" i="14"/>
  <c r="I1732" i="14"/>
  <c r="I1730" i="14"/>
  <c r="H1744" i="14"/>
  <c r="I1731" i="14"/>
  <c r="AZ432" i="7"/>
  <c r="AD395" i="7"/>
  <c r="AZ395" i="7" s="1"/>
  <c r="AD394" i="7"/>
  <c r="AZ394" i="7" s="1"/>
  <c r="AD391" i="7"/>
  <c r="AZ391" i="7" s="1"/>
  <c r="AD390" i="7"/>
  <c r="AZ390" i="7" s="1"/>
  <c r="AD387" i="7"/>
  <c r="AD384" i="7"/>
  <c r="AD405" i="7"/>
  <c r="AZ405" i="7" s="1"/>
  <c r="U405" i="7"/>
  <c r="AZ468" i="7"/>
  <c r="BA468" i="7"/>
  <c r="AZ469" i="7"/>
  <c r="BA469" i="7"/>
  <c r="BA470" i="7"/>
  <c r="BA471" i="7"/>
  <c r="AZ472" i="7"/>
  <c r="BA472" i="7"/>
  <c r="AZ473" i="7"/>
  <c r="BA473" i="7"/>
  <c r="AZ474" i="7"/>
  <c r="BA474" i="7"/>
  <c r="AZ475" i="7"/>
  <c r="AZ476" i="7"/>
  <c r="AZ477" i="7"/>
  <c r="AZ478" i="7"/>
  <c r="BA478" i="7"/>
  <c r="AZ479" i="7"/>
  <c r="BA479" i="7"/>
  <c r="AZ480" i="7"/>
  <c r="BA480" i="7"/>
  <c r="AT387" i="7"/>
  <c r="U387" i="7"/>
  <c r="C1323" i="14" l="1"/>
  <c r="H1323" i="14" s="1"/>
  <c r="I1318" i="14"/>
  <c r="F1323" i="14"/>
  <c r="AD392" i="7"/>
  <c r="AZ392" i="7" s="1"/>
  <c r="F2221" i="14"/>
  <c r="F14" i="14" s="1"/>
  <c r="H2221" i="14"/>
  <c r="H14" i="14" s="1"/>
  <c r="I1744" i="14"/>
  <c r="I2170" i="14"/>
  <c r="AT405" i="7"/>
  <c r="AT400" i="7"/>
  <c r="AR400" i="7"/>
  <c r="AT395" i="7"/>
  <c r="AR395" i="7"/>
  <c r="U395" i="7"/>
  <c r="AT394" i="7"/>
  <c r="U394" i="7"/>
  <c r="AT391" i="7"/>
  <c r="AT392" i="7" s="1"/>
  <c r="U391" i="7"/>
  <c r="U392" i="7" s="1"/>
  <c r="AT390" i="7"/>
  <c r="U390" i="7"/>
  <c r="AT384" i="7"/>
  <c r="U384" i="7"/>
  <c r="I1323" i="14" l="1"/>
  <c r="I2221" i="14"/>
  <c r="I14" i="14" s="1"/>
  <c r="AT378" i="7" l="1"/>
  <c r="AT377" i="7"/>
  <c r="AR412" i="7"/>
  <c r="AS412" i="7"/>
  <c r="AE309" i="7"/>
  <c r="AT396" i="7"/>
  <c r="AT397" i="7" s="1"/>
  <c r="AQ396" i="7"/>
  <c r="AQ397" i="7" s="1"/>
  <c r="AD367" i="7"/>
  <c r="AD329" i="7" l="1"/>
  <c r="AD330" i="7" s="1"/>
  <c r="AZ330" i="7" s="1"/>
  <c r="AD326" i="7"/>
  <c r="AZ326" i="7" s="1"/>
  <c r="AD323" i="7"/>
  <c r="AD325" i="7" s="1"/>
  <c r="AZ325" i="7" s="1"/>
  <c r="AZ308" i="7"/>
  <c r="AZ359" i="7"/>
  <c r="AZ360" i="7"/>
  <c r="AZ361" i="7"/>
  <c r="AZ363" i="7"/>
  <c r="AZ364" i="7"/>
  <c r="AZ366" i="7"/>
  <c r="AZ367" i="7"/>
  <c r="BA307" i="7"/>
  <c r="AZ307" i="7"/>
  <c r="BA314" i="7"/>
  <c r="AD331" i="7" l="1"/>
  <c r="AZ331" i="7" s="1"/>
  <c r="AZ329" i="7"/>
  <c r="AZ323" i="7"/>
  <c r="AD324" i="7"/>
  <c r="AZ324" i="7" s="1"/>
  <c r="AT367" i="7"/>
  <c r="U367" i="7"/>
  <c r="AT363" i="7"/>
  <c r="AR363" i="7"/>
  <c r="U363" i="7"/>
  <c r="AT353" i="7"/>
  <c r="U353" i="7"/>
  <c r="U350" i="7"/>
  <c r="U352" i="7" s="1"/>
  <c r="U330" i="7"/>
  <c r="U331" i="7" s="1"/>
  <c r="AS370" i="7"/>
  <c r="V347" i="7"/>
  <c r="V346" i="7"/>
  <c r="V337" i="7"/>
  <c r="V344" i="7" s="1"/>
  <c r="V336" i="7"/>
  <c r="V345" i="7" s="1"/>
  <c r="U334" i="7"/>
  <c r="U335" i="7" s="1"/>
  <c r="AT332" i="7"/>
  <c r="AT333" i="7" s="1"/>
  <c r="AT329" i="7"/>
  <c r="AT330" i="7"/>
  <c r="AT331" i="7" s="1"/>
  <c r="AQ332" i="7"/>
  <c r="AQ333" i="7" s="1"/>
  <c r="U351" i="7" l="1"/>
  <c r="U329" i="7"/>
  <c r="AT326" i="7"/>
  <c r="U326" i="7"/>
  <c r="AT323" i="7"/>
  <c r="AT325" i="7" s="1"/>
  <c r="U323" i="7"/>
  <c r="U325" i="7" s="1"/>
  <c r="AT321" i="7"/>
  <c r="AT320" i="7"/>
  <c r="BA308" i="7"/>
  <c r="BA309" i="7"/>
  <c r="BA310" i="7"/>
  <c r="BA315" i="7"/>
  <c r="BA316" i="7"/>
  <c r="BA317" i="7"/>
  <c r="BA318" i="7"/>
  <c r="BA319" i="7"/>
  <c r="BA320" i="7"/>
  <c r="BA321" i="7"/>
  <c r="BA322" i="7"/>
  <c r="BA323" i="7"/>
  <c r="BA324" i="7"/>
  <c r="BA325" i="7"/>
  <c r="BA326" i="7"/>
  <c r="BA327" i="7"/>
  <c r="BA328" i="7"/>
  <c r="BA329" i="7"/>
  <c r="BA330" i="7"/>
  <c r="BA331" i="7"/>
  <c r="BA332" i="7"/>
  <c r="BA333" i="7"/>
  <c r="BA334" i="7"/>
  <c r="BA335" i="7"/>
  <c r="BA336" i="7"/>
  <c r="BA337" i="7"/>
  <c r="BA338" i="7"/>
  <c r="BA339" i="7"/>
  <c r="BA340" i="7"/>
  <c r="BA341" i="7"/>
  <c r="BA342" i="7"/>
  <c r="BA343" i="7"/>
  <c r="BA344" i="7"/>
  <c r="BA345" i="7"/>
  <c r="BA346" i="7"/>
  <c r="BA347" i="7"/>
  <c r="BA348" i="7"/>
  <c r="BA349" i="7"/>
  <c r="BA350" i="7"/>
  <c r="BA351" i="7"/>
  <c r="BA352" i="7"/>
  <c r="BA353" i="7"/>
  <c r="BA354" i="7"/>
  <c r="BA355" i="7"/>
  <c r="BA356" i="7"/>
  <c r="BA357" i="7"/>
  <c r="BA358" i="7"/>
  <c r="BA359" i="7"/>
  <c r="BA360" i="7"/>
  <c r="BA361" i="7"/>
  <c r="BA362" i="7"/>
  <c r="BA363" i="7"/>
  <c r="BA364" i="7"/>
  <c r="BA365" i="7"/>
  <c r="BA366" i="7"/>
  <c r="BA367" i="7"/>
  <c r="BA368" i="7"/>
  <c r="AQ308" i="7"/>
  <c r="U308" i="7"/>
  <c r="DO468" i="7"/>
  <c r="DM468" i="7"/>
  <c r="DQ473" i="7"/>
  <c r="EA370" i="7"/>
  <c r="EA354" i="7"/>
  <c r="DN468" i="7"/>
  <c r="U324" i="7" l="1"/>
  <c r="AT324" i="7"/>
  <c r="BC472" i="7"/>
  <c r="BC471" i="7"/>
  <c r="BC470" i="7"/>
  <c r="BC469" i="7"/>
  <c r="BC468" i="7"/>
  <c r="BC467" i="7"/>
  <c r="BC466" i="7"/>
  <c r="AW465" i="7"/>
  <c r="BC465" i="7" s="1"/>
  <c r="AW464" i="7"/>
  <c r="BC464" i="7" s="1"/>
  <c r="AV446" i="7"/>
  <c r="BC446" i="7" s="1"/>
  <c r="AV445" i="7"/>
  <c r="BC445" i="7" s="1"/>
  <c r="AU441" i="7"/>
  <c r="BC441" i="7" s="1"/>
  <c r="AU442" i="7"/>
  <c r="BC442" i="7" s="1"/>
  <c r="AU443" i="7"/>
  <c r="BC443" i="7" s="1"/>
  <c r="AU444" i="7"/>
  <c r="BC444" i="7" s="1"/>
  <c r="AU436" i="7"/>
  <c r="BC436" i="7" s="1"/>
  <c r="AU437" i="7"/>
  <c r="AU438" i="7"/>
  <c r="BC438" i="7" s="1"/>
  <c r="AU439" i="7"/>
  <c r="BC439" i="7" s="1"/>
  <c r="AU440" i="7"/>
  <c r="BC440" i="7" s="1"/>
  <c r="AU426" i="7"/>
  <c r="BC426" i="7" s="1"/>
  <c r="AU427" i="7"/>
  <c r="BC427" i="7" s="1"/>
  <c r="AU428" i="7"/>
  <c r="AU429" i="7"/>
  <c r="BC429" i="7" s="1"/>
  <c r="AU430" i="7"/>
  <c r="BC430" i="7" s="1"/>
  <c r="AU431" i="7"/>
  <c r="BC431" i="7" s="1"/>
  <c r="AU432" i="7"/>
  <c r="BC432" i="7" s="1"/>
  <c r="AU433" i="7"/>
  <c r="BC433" i="7" s="1"/>
  <c r="AU434" i="7"/>
  <c r="BC434" i="7" s="1"/>
  <c r="AU435" i="7"/>
  <c r="BC435" i="7" s="1"/>
  <c r="AU425" i="7"/>
  <c r="BC425" i="7" s="1"/>
  <c r="AV423" i="7"/>
  <c r="BC423" i="7" s="1"/>
  <c r="AV424" i="7"/>
  <c r="BC424" i="7" s="1"/>
  <c r="AV422" i="7"/>
  <c r="BC422" i="7" s="1"/>
  <c r="AW421" i="7"/>
  <c r="BC421" i="7" s="1"/>
  <c r="AW419" i="7"/>
  <c r="BC419" i="7" s="1"/>
  <c r="AW420" i="7"/>
  <c r="BC420" i="7" s="1"/>
  <c r="AW418" i="7"/>
  <c r="BC418" i="7" s="1"/>
  <c r="AU417" i="7"/>
  <c r="BC417" i="7" s="1"/>
  <c r="AW416" i="7"/>
  <c r="BC416" i="7" s="1"/>
  <c r="BC453" i="7"/>
  <c r="BC452" i="7"/>
  <c r="BC451" i="7"/>
  <c r="BC450" i="7"/>
  <c r="BC449" i="7"/>
  <c r="BC448" i="7"/>
  <c r="BC447" i="7"/>
  <c r="BC437" i="7"/>
  <c r="BC428" i="7"/>
  <c r="BC415" i="7"/>
  <c r="BC404" i="7"/>
  <c r="BC403" i="7"/>
  <c r="BC402" i="7"/>
  <c r="BC401" i="7"/>
  <c r="BC400" i="7"/>
  <c r="BC399" i="7"/>
  <c r="BC398" i="7"/>
  <c r="BC367" i="7"/>
  <c r="BC366" i="7"/>
  <c r="BC365" i="7"/>
  <c r="BC364" i="7"/>
  <c r="BC363" i="7"/>
  <c r="BC362" i="7"/>
  <c r="BC361" i="7"/>
  <c r="BC360" i="7"/>
  <c r="BC359" i="7"/>
  <c r="BC358" i="7"/>
  <c r="BC357" i="7"/>
  <c r="BC356" i="7"/>
  <c r="BC355" i="7"/>
  <c r="BC354" i="7"/>
  <c r="BC353" i="7"/>
  <c r="BC352" i="7"/>
  <c r="BC351" i="7"/>
  <c r="BC350" i="7"/>
  <c r="BC349" i="7"/>
  <c r="BC348" i="7"/>
  <c r="BC347" i="7"/>
  <c r="BC346" i="7"/>
  <c r="BC345" i="7"/>
  <c r="BC344" i="7"/>
  <c r="BC343" i="7"/>
  <c r="BC342" i="7"/>
  <c r="BC341" i="7"/>
  <c r="BC340" i="7"/>
  <c r="BC339" i="7"/>
  <c r="BC338" i="7"/>
  <c r="BC337" i="7"/>
  <c r="BC336" i="7"/>
  <c r="BC307" i="7"/>
  <c r="AV397" i="7"/>
  <c r="BC397" i="7" s="1"/>
  <c r="AV396" i="7"/>
  <c r="BC396" i="7" s="1"/>
  <c r="AW395" i="7"/>
  <c r="BC395" i="7" s="1"/>
  <c r="AU384" i="7" l="1"/>
  <c r="BC384" i="7" s="1"/>
  <c r="AU385" i="7"/>
  <c r="BC385" i="7" s="1"/>
  <c r="AU386" i="7"/>
  <c r="BC386" i="7" s="1"/>
  <c r="AU387" i="7"/>
  <c r="BC387" i="7" s="1"/>
  <c r="AU388" i="7"/>
  <c r="BC388" i="7" s="1"/>
  <c r="AU389" i="7"/>
  <c r="BC389" i="7" s="1"/>
  <c r="AU390" i="7"/>
  <c r="BC390" i="7" s="1"/>
  <c r="AU391" i="7"/>
  <c r="BC391" i="7" s="1"/>
  <c r="AU392" i="7"/>
  <c r="BC392" i="7" s="1"/>
  <c r="AU393" i="7"/>
  <c r="BC393" i="7" s="1"/>
  <c r="AU394" i="7"/>
  <c r="BC394" i="7" s="1"/>
  <c r="AU383" i="7"/>
  <c r="BC383" i="7" s="1"/>
  <c r="AW374" i="7"/>
  <c r="BC374" i="7" s="1"/>
  <c r="AV381" i="7"/>
  <c r="BC381" i="7" s="1"/>
  <c r="AV382" i="7"/>
  <c r="BC382" i="7" s="1"/>
  <c r="AV380" i="7"/>
  <c r="BC380" i="7" s="1"/>
  <c r="AW377" i="7"/>
  <c r="BC377" i="7" s="1"/>
  <c r="AW378" i="7"/>
  <c r="BC378" i="7" s="1"/>
  <c r="AW379" i="7"/>
  <c r="BC379" i="7" s="1"/>
  <c r="AW376" i="7"/>
  <c r="BC376" i="7" s="1"/>
  <c r="AU375" i="7"/>
  <c r="BC375" i="7" s="1"/>
  <c r="AV333" i="7"/>
  <c r="BC333" i="7" s="1"/>
  <c r="AV334" i="7"/>
  <c r="BC334" i="7" s="1"/>
  <c r="AV335" i="7"/>
  <c r="BC335" i="7" s="1"/>
  <c r="AV332" i="7"/>
  <c r="BC332" i="7" s="1"/>
  <c r="AW329" i="7"/>
  <c r="BC329" i="7" s="1"/>
  <c r="AW330" i="7"/>
  <c r="BC330" i="7" s="1"/>
  <c r="AW331" i="7"/>
  <c r="BC331" i="7" s="1"/>
  <c r="AW321" i="7"/>
  <c r="BC321" i="7" s="1"/>
  <c r="AW322" i="7"/>
  <c r="BC322" i="7" s="1"/>
  <c r="AW323" i="7"/>
  <c r="BC323" i="7" s="1"/>
  <c r="AW324" i="7"/>
  <c r="BC324" i="7" s="1"/>
  <c r="AW325" i="7"/>
  <c r="BC325" i="7" s="1"/>
  <c r="AW326" i="7"/>
  <c r="BC326" i="7" s="1"/>
  <c r="AW327" i="7"/>
  <c r="BC327" i="7" s="1"/>
  <c r="AW328" i="7"/>
  <c r="BC328" i="7" s="1"/>
  <c r="AW320" i="7"/>
  <c r="BC320" i="7" s="1"/>
  <c r="AW319" i="7"/>
  <c r="BC319" i="7" s="1"/>
  <c r="AW315" i="7"/>
  <c r="BC315" i="7" s="1"/>
  <c r="AW316" i="7"/>
  <c r="BC316" i="7" s="1"/>
  <c r="AW317" i="7"/>
  <c r="BC317" i="7" s="1"/>
  <c r="AW318" i="7"/>
  <c r="BC318" i="7" s="1"/>
  <c r="AW314" i="7"/>
  <c r="BC314" i="7" s="1"/>
  <c r="AV312" i="7"/>
  <c r="BC312" i="7" s="1"/>
  <c r="AV313" i="7"/>
  <c r="BC313" i="7" s="1"/>
  <c r="AV311" i="7"/>
  <c r="BC311" i="7" s="1"/>
  <c r="AU310" i="7"/>
  <c r="BC310" i="7" s="1"/>
  <c r="AW309" i="7"/>
  <c r="BC309" i="7" s="1"/>
  <c r="DH452" i="7"/>
  <c r="DL452" i="7"/>
  <c r="DM452" i="7"/>
  <c r="DJ469" i="7"/>
  <c r="DK469" i="7"/>
  <c r="DG467" i="7"/>
  <c r="DI469" i="7"/>
  <c r="L484" i="7"/>
  <c r="DL467" i="7"/>
  <c r="C484" i="7"/>
  <c r="H451" i="7"/>
  <c r="C1277" i="14" l="1"/>
  <c r="C1271" i="14"/>
  <c r="F1271" i="14" s="1"/>
  <c r="F1277" i="14"/>
  <c r="H1277" i="14"/>
  <c r="DL469" i="7"/>
  <c r="H403" i="7"/>
  <c r="H1271" i="14" l="1"/>
  <c r="I1271" i="14" s="1"/>
  <c r="I1277" i="14"/>
  <c r="C361" i="7"/>
  <c r="C944" i="14" l="1"/>
  <c r="H944" i="14"/>
  <c r="F944" i="14"/>
  <c r="D449" i="7"/>
  <c r="C447" i="7"/>
  <c r="D401" i="7"/>
  <c r="C399" i="7"/>
  <c r="D398" i="7"/>
  <c r="C362" i="7"/>
  <c r="D364" i="7"/>
  <c r="F366" i="7"/>
  <c r="D360" i="7"/>
  <c r="T382" i="7"/>
  <c r="T397" i="7"/>
  <c r="T396" i="7"/>
  <c r="T381" i="7"/>
  <c r="T380" i="7"/>
  <c r="S359" i="7"/>
  <c r="C1085" i="14" l="1"/>
  <c r="C1184" i="14"/>
  <c r="F1184" i="14" s="1"/>
  <c r="C937" i="14"/>
  <c r="C1192" i="14"/>
  <c r="H1192" i="14" s="1"/>
  <c r="C954" i="14"/>
  <c r="H954" i="14" s="1"/>
  <c r="C946" i="14"/>
  <c r="C1070" i="14"/>
  <c r="H1070" i="14" s="1"/>
  <c r="C961" i="14"/>
  <c r="C1077" i="14"/>
  <c r="H1077" i="14" s="1"/>
  <c r="I944" i="14"/>
  <c r="F1070" i="14"/>
  <c r="F937" i="14"/>
  <c r="H937" i="14"/>
  <c r="F961" i="14"/>
  <c r="H961" i="14"/>
  <c r="F946" i="14"/>
  <c r="H946" i="14"/>
  <c r="F1085" i="14"/>
  <c r="H1085" i="14"/>
  <c r="D370" i="7"/>
  <c r="T334" i="7"/>
  <c r="T335" i="7"/>
  <c r="T313" i="7"/>
  <c r="T312" i="7"/>
  <c r="T311" i="7"/>
  <c r="T332" i="7"/>
  <c r="T333" i="7"/>
  <c r="W39" i="8"/>
  <c r="X39" i="8"/>
  <c r="C308" i="7"/>
  <c r="AW308" i="7" s="1"/>
  <c r="BC308" i="7" s="1"/>
  <c r="BV7" i="7"/>
  <c r="BV9" i="7"/>
  <c r="BW7" i="7"/>
  <c r="BW9" i="7"/>
  <c r="BV412" i="7"/>
  <c r="BD460" i="7"/>
  <c r="BE460" i="7"/>
  <c r="BF460" i="7"/>
  <c r="BG460" i="7"/>
  <c r="BH460" i="7"/>
  <c r="BI460" i="7"/>
  <c r="BJ460" i="7"/>
  <c r="BK460" i="7"/>
  <c r="BL460" i="7"/>
  <c r="BM460" i="7"/>
  <c r="BN460" i="7"/>
  <c r="BO460" i="7"/>
  <c r="BP460" i="7"/>
  <c r="BQ460" i="7"/>
  <c r="BR460" i="7"/>
  <c r="BS460" i="7"/>
  <c r="BT460" i="7"/>
  <c r="BU460" i="7"/>
  <c r="BV460" i="7"/>
  <c r="BW460" i="7"/>
  <c r="BX460" i="7"/>
  <c r="BY460" i="7"/>
  <c r="BZ460" i="7"/>
  <c r="CA460" i="7"/>
  <c r="CB460" i="7"/>
  <c r="CC460" i="7"/>
  <c r="CD460" i="7"/>
  <c r="CE460" i="7"/>
  <c r="CF460" i="7"/>
  <c r="CG460" i="7"/>
  <c r="CH460" i="7"/>
  <c r="CI460" i="7"/>
  <c r="CJ460" i="7"/>
  <c r="CK460" i="7"/>
  <c r="CL460" i="7"/>
  <c r="CM460" i="7"/>
  <c r="CN460" i="7"/>
  <c r="CO460" i="7"/>
  <c r="CP460" i="7"/>
  <c r="CQ460" i="7"/>
  <c r="CR460" i="7"/>
  <c r="CS460" i="7"/>
  <c r="CT460" i="7"/>
  <c r="CU460" i="7"/>
  <c r="CV460" i="7"/>
  <c r="CW460" i="7"/>
  <c r="CX460" i="7"/>
  <c r="CY460" i="7"/>
  <c r="CZ460" i="7"/>
  <c r="DA460" i="7"/>
  <c r="DB460" i="7"/>
  <c r="DC460" i="7"/>
  <c r="DD460" i="7"/>
  <c r="DE460" i="7"/>
  <c r="DF460" i="7"/>
  <c r="C1263" i="14" s="1"/>
  <c r="DG460" i="7"/>
  <c r="DH460" i="7"/>
  <c r="C1266" i="14" s="1"/>
  <c r="DI460" i="7"/>
  <c r="DJ460" i="7"/>
  <c r="DK460" i="7"/>
  <c r="DL460" i="7"/>
  <c r="DM460" i="7"/>
  <c r="DO460" i="7"/>
  <c r="X98" i="8"/>
  <c r="W98" i="8"/>
  <c r="V98" i="8"/>
  <c r="U98" i="8"/>
  <c r="T98" i="8"/>
  <c r="X97" i="8"/>
  <c r="W97" i="8"/>
  <c r="V97" i="8"/>
  <c r="U97" i="8"/>
  <c r="T97" i="8"/>
  <c r="X96" i="8"/>
  <c r="W96" i="8"/>
  <c r="V96" i="8"/>
  <c r="U96" i="8"/>
  <c r="T96" i="8"/>
  <c r="X95" i="8"/>
  <c r="W95" i="8"/>
  <c r="V95" i="8"/>
  <c r="U95" i="8"/>
  <c r="T95" i="8"/>
  <c r="X94" i="8"/>
  <c r="W94" i="8"/>
  <c r="V94" i="8"/>
  <c r="U94" i="8"/>
  <c r="T94" i="8"/>
  <c r="X92" i="8"/>
  <c r="W92" i="8"/>
  <c r="V92" i="8"/>
  <c r="U92" i="8"/>
  <c r="T92" i="8"/>
  <c r="X91" i="8"/>
  <c r="W91" i="8"/>
  <c r="V91" i="8"/>
  <c r="U91" i="8"/>
  <c r="T91" i="8"/>
  <c r="X90" i="8"/>
  <c r="W90" i="8"/>
  <c r="V90" i="8"/>
  <c r="U90" i="8"/>
  <c r="T90" i="8"/>
  <c r="X89" i="8"/>
  <c r="W89" i="8"/>
  <c r="V89" i="8"/>
  <c r="U89" i="8"/>
  <c r="T89" i="8"/>
  <c r="X88" i="8"/>
  <c r="W88" i="8"/>
  <c r="V88" i="8"/>
  <c r="U88" i="8"/>
  <c r="T88" i="8"/>
  <c r="X60" i="8"/>
  <c r="W60" i="8"/>
  <c r="V60" i="8"/>
  <c r="U60" i="8"/>
  <c r="T60" i="8"/>
  <c r="X59" i="8"/>
  <c r="W59" i="8"/>
  <c r="V59" i="8"/>
  <c r="U59" i="8"/>
  <c r="T59" i="8"/>
  <c r="X58" i="8"/>
  <c r="W58" i="8"/>
  <c r="V58" i="8"/>
  <c r="U58" i="8"/>
  <c r="T58" i="8"/>
  <c r="X57" i="8"/>
  <c r="W57" i="8"/>
  <c r="V57" i="8"/>
  <c r="U57" i="8"/>
  <c r="T57" i="8"/>
  <c r="X56" i="8"/>
  <c r="W56" i="8"/>
  <c r="V56" i="8"/>
  <c r="V61" i="8" s="1"/>
  <c r="U56" i="8"/>
  <c r="T56" i="8"/>
  <c r="X54" i="8"/>
  <c r="W54" i="8"/>
  <c r="V54" i="8"/>
  <c r="U54" i="8"/>
  <c r="T54" i="8"/>
  <c r="X53" i="8"/>
  <c r="W53" i="8"/>
  <c r="V53" i="8"/>
  <c r="U53" i="8"/>
  <c r="T53" i="8"/>
  <c r="X52" i="8"/>
  <c r="W52" i="8"/>
  <c r="V52" i="8"/>
  <c r="U52" i="8"/>
  <c r="T52" i="8"/>
  <c r="X51" i="8"/>
  <c r="W51" i="8"/>
  <c r="V51" i="8"/>
  <c r="U51" i="8"/>
  <c r="T51" i="8"/>
  <c r="X50" i="8"/>
  <c r="W50" i="8"/>
  <c r="V50" i="8"/>
  <c r="U50" i="8"/>
  <c r="T50" i="8"/>
  <c r="T20" i="8"/>
  <c r="X113" i="8"/>
  <c r="W113" i="8"/>
  <c r="U113" i="8"/>
  <c r="T113" i="8"/>
  <c r="X106" i="8"/>
  <c r="W106" i="8"/>
  <c r="V106" i="8"/>
  <c r="U106" i="8"/>
  <c r="T106" i="8"/>
  <c r="V99" i="8"/>
  <c r="X85" i="8"/>
  <c r="W85" i="8"/>
  <c r="V85" i="8"/>
  <c r="U85" i="8"/>
  <c r="T85" i="8"/>
  <c r="X82" i="8"/>
  <c r="W82" i="8"/>
  <c r="U82" i="8"/>
  <c r="T82" i="8"/>
  <c r="X75" i="8"/>
  <c r="W75" i="8"/>
  <c r="U75" i="8"/>
  <c r="T75" i="8"/>
  <c r="X68" i="8"/>
  <c r="W68" i="8"/>
  <c r="V68" i="8"/>
  <c r="U68" i="8"/>
  <c r="T68" i="8"/>
  <c r="X47" i="8"/>
  <c r="W47" i="8"/>
  <c r="V47" i="8"/>
  <c r="U47" i="8"/>
  <c r="T47" i="8"/>
  <c r="X44" i="8"/>
  <c r="W44" i="8"/>
  <c r="U44" i="8"/>
  <c r="T44" i="8"/>
  <c r="AN29" i="8"/>
  <c r="AN28" i="8"/>
  <c r="AN27" i="8"/>
  <c r="AN26" i="8"/>
  <c r="AN25" i="8"/>
  <c r="H1184" i="14" l="1"/>
  <c r="E988" i="14"/>
  <c r="E1219" i="14"/>
  <c r="E1112" i="14"/>
  <c r="C909" i="14"/>
  <c r="F954" i="14"/>
  <c r="F1077" i="14"/>
  <c r="F1192" i="14"/>
  <c r="I1192" i="14" s="1"/>
  <c r="E989" i="14"/>
  <c r="E1220" i="14"/>
  <c r="E1113" i="14"/>
  <c r="E1221" i="14"/>
  <c r="E1114" i="14"/>
  <c r="E990" i="14"/>
  <c r="E987" i="14"/>
  <c r="E1218" i="14"/>
  <c r="E1111" i="14"/>
  <c r="E991" i="14"/>
  <c r="E1222" i="14"/>
  <c r="E1115" i="14"/>
  <c r="C1267" i="14"/>
  <c r="F1267" i="14" s="1"/>
  <c r="I1085" i="14"/>
  <c r="I946" i="14"/>
  <c r="I961" i="14"/>
  <c r="I1184" i="14"/>
  <c r="I954" i="14"/>
  <c r="I1077" i="14"/>
  <c r="I937" i="14"/>
  <c r="H1266" i="14"/>
  <c r="F1266" i="14"/>
  <c r="F909" i="14"/>
  <c r="H909" i="14"/>
  <c r="H1263" i="14"/>
  <c r="F1263" i="14"/>
  <c r="C1264" i="14"/>
  <c r="I1070" i="14"/>
  <c r="T39" i="8"/>
  <c r="H1267" i="14" l="1"/>
  <c r="I1267" i="14" s="1"/>
  <c r="I1263" i="14"/>
  <c r="I909" i="14"/>
  <c r="H1264" i="14"/>
  <c r="F1264" i="14"/>
  <c r="E1268" i="14" s="1"/>
  <c r="F1268" i="14" s="1"/>
  <c r="I1268" i="14" s="1"/>
  <c r="I1266" i="14"/>
  <c r="AA82" i="8"/>
  <c r="AA83" i="8"/>
  <c r="AA84" i="8"/>
  <c r="AA85" i="8"/>
  <c r="AA86" i="8"/>
  <c r="AA87" i="8"/>
  <c r="AA88" i="8"/>
  <c r="AA89" i="8"/>
  <c r="AA90" i="8"/>
  <c r="AA91" i="8"/>
  <c r="AA92" i="8"/>
  <c r="AA93" i="8"/>
  <c r="AA94" i="8"/>
  <c r="AA95" i="8"/>
  <c r="AA96" i="8"/>
  <c r="AA97" i="8"/>
  <c r="AA98" i="8"/>
  <c r="AA99" i="8"/>
  <c r="AA100" i="8"/>
  <c r="AA101" i="8"/>
  <c r="AA102" i="8"/>
  <c r="AA103" i="8"/>
  <c r="AA104" i="8"/>
  <c r="AA105" i="8"/>
  <c r="AA106" i="8"/>
  <c r="AA107" i="8"/>
  <c r="AA108" i="8"/>
  <c r="AA109" i="8"/>
  <c r="AA110" i="8"/>
  <c r="AA111" i="8"/>
  <c r="AA112" i="8"/>
  <c r="AA113" i="8"/>
  <c r="AA114" i="8"/>
  <c r="AA81" i="8"/>
  <c r="AA44" i="8"/>
  <c r="AA45" i="8"/>
  <c r="AA46" i="8"/>
  <c r="AA47" i="8"/>
  <c r="AA48" i="8"/>
  <c r="AA49" i="8"/>
  <c r="AA50" i="8"/>
  <c r="AA51" i="8"/>
  <c r="AA52" i="8"/>
  <c r="AA53" i="8"/>
  <c r="AA54" i="8"/>
  <c r="AA55" i="8"/>
  <c r="AA56" i="8"/>
  <c r="AA57" i="8"/>
  <c r="AA58" i="8"/>
  <c r="AA59" i="8"/>
  <c r="AA60" i="8"/>
  <c r="AA61" i="8"/>
  <c r="AA62" i="8"/>
  <c r="AA63" i="8"/>
  <c r="AA64" i="8"/>
  <c r="AA65" i="8"/>
  <c r="AA66" i="8"/>
  <c r="AA67" i="8"/>
  <c r="AA68" i="8"/>
  <c r="AA69" i="8"/>
  <c r="AA70" i="8"/>
  <c r="AA71" i="8"/>
  <c r="AA72" i="8"/>
  <c r="AA73" i="8"/>
  <c r="AA74" i="8"/>
  <c r="AA75" i="8"/>
  <c r="AA76" i="8"/>
  <c r="AA43" i="8"/>
  <c r="AA9" i="8"/>
  <c r="AA10" i="8"/>
  <c r="AA12" i="8"/>
  <c r="AA13" i="8"/>
  <c r="AA19" i="8"/>
  <c r="AA26" i="8"/>
  <c r="AA27" i="8"/>
  <c r="AA28" i="8"/>
  <c r="AA29" i="8"/>
  <c r="AA30" i="8"/>
  <c r="AA31" i="8"/>
  <c r="AA33" i="8"/>
  <c r="AA34" i="8"/>
  <c r="AA35" i="8"/>
  <c r="AA36" i="8"/>
  <c r="AA38" i="8"/>
  <c r="AA40" i="8"/>
  <c r="AA7" i="8"/>
  <c r="C991" i="14" l="1"/>
  <c r="C972" i="14"/>
  <c r="C1117" i="14"/>
  <c r="C1105" i="14"/>
  <c r="C1200" i="14"/>
  <c r="C1222" i="14"/>
  <c r="C1210" i="14"/>
  <c r="F1210" i="14" s="1"/>
  <c r="I1210" i="14" s="1"/>
  <c r="C990" i="14"/>
  <c r="C1108" i="14"/>
  <c r="F1108" i="14" s="1"/>
  <c r="I1108" i="14" s="1"/>
  <c r="C1100" i="14"/>
  <c r="F1100" i="14" s="1"/>
  <c r="I1100" i="14" s="1"/>
  <c r="C1096" i="14"/>
  <c r="C1230" i="14"/>
  <c r="C1227" i="14"/>
  <c r="C1225" i="14"/>
  <c r="C1217" i="14"/>
  <c r="F1217" i="14" s="1"/>
  <c r="I1217" i="14" s="1"/>
  <c r="C1213" i="14"/>
  <c r="F1213" i="14" s="1"/>
  <c r="I1213" i="14" s="1"/>
  <c r="C1209" i="14"/>
  <c r="F1209" i="14" s="1"/>
  <c r="I1209" i="14" s="1"/>
  <c r="C1205" i="14"/>
  <c r="C1201" i="14"/>
  <c r="C1113" i="14"/>
  <c r="C1101" i="14"/>
  <c r="F1101" i="14" s="1"/>
  <c r="I1101" i="14" s="1"/>
  <c r="C1228" i="14"/>
  <c r="C1218" i="14"/>
  <c r="C1206" i="14"/>
  <c r="C971" i="14"/>
  <c r="C1116" i="14"/>
  <c r="C1112" i="14"/>
  <c r="C1104" i="14"/>
  <c r="F1104" i="14" s="1"/>
  <c r="I1104" i="14" s="1"/>
  <c r="C1221" i="14"/>
  <c r="C969" i="14"/>
  <c r="C998" i="14"/>
  <c r="C993" i="14"/>
  <c r="C989" i="14"/>
  <c r="C975" i="14"/>
  <c r="C1093" i="14"/>
  <c r="C1121" i="14"/>
  <c r="C1119" i="14"/>
  <c r="C1115" i="14"/>
  <c r="C1111" i="14"/>
  <c r="C1107" i="14"/>
  <c r="F1107" i="14" s="1"/>
  <c r="I1107" i="14" s="1"/>
  <c r="C1103" i="14"/>
  <c r="F1103" i="14" s="1"/>
  <c r="I1103" i="14" s="1"/>
  <c r="C1099" i="14"/>
  <c r="C1095" i="14"/>
  <c r="C1229" i="14"/>
  <c r="C1224" i="14"/>
  <c r="C1220" i="14"/>
  <c r="C1216" i="14"/>
  <c r="F1216" i="14" s="1"/>
  <c r="I1216" i="14" s="1"/>
  <c r="C1212" i="14"/>
  <c r="C1208" i="14"/>
  <c r="F1208" i="14" s="1"/>
  <c r="I1208" i="14" s="1"/>
  <c r="C1204" i="14"/>
  <c r="C996" i="14"/>
  <c r="C1122" i="14"/>
  <c r="C1109" i="14"/>
  <c r="F1109" i="14" s="1"/>
  <c r="I1109" i="14" s="1"/>
  <c r="C1097" i="14"/>
  <c r="C1226" i="14"/>
  <c r="C1214" i="14"/>
  <c r="F1214" i="14" s="1"/>
  <c r="I1214" i="14" s="1"/>
  <c r="C1202" i="14"/>
  <c r="C995" i="14"/>
  <c r="C981" i="14"/>
  <c r="C1001" i="14"/>
  <c r="C997" i="14"/>
  <c r="C992" i="14"/>
  <c r="C988" i="14"/>
  <c r="C974" i="14"/>
  <c r="C1123" i="14"/>
  <c r="C1120" i="14"/>
  <c r="C1118" i="14"/>
  <c r="C1114" i="14"/>
  <c r="C1110" i="14"/>
  <c r="F1110" i="14" s="1"/>
  <c r="I1110" i="14" s="1"/>
  <c r="C1106" i="14"/>
  <c r="F1106" i="14" s="1"/>
  <c r="I1106" i="14" s="1"/>
  <c r="C1102" i="14"/>
  <c r="F1102" i="14" s="1"/>
  <c r="I1102" i="14" s="1"/>
  <c r="C1098" i="14"/>
  <c r="C1094" i="14"/>
  <c r="C1223" i="14"/>
  <c r="C1219" i="14"/>
  <c r="C1215" i="14"/>
  <c r="F1215" i="14" s="1"/>
  <c r="I1215" i="14" s="1"/>
  <c r="C1211" i="14"/>
  <c r="F1211" i="14" s="1"/>
  <c r="I1211" i="14" s="1"/>
  <c r="C1207" i="14"/>
  <c r="F1207" i="14" s="1"/>
  <c r="I1207" i="14" s="1"/>
  <c r="C1203" i="14"/>
  <c r="I1264" i="14"/>
  <c r="U39" i="8"/>
  <c r="AA39" i="8" s="1"/>
  <c r="F1223" i="14" l="1"/>
  <c r="H1223" i="14"/>
  <c r="F1098" i="14"/>
  <c r="H1098" i="14"/>
  <c r="I1098" i="14" s="1"/>
  <c r="F1120" i="14"/>
  <c r="H1120" i="14"/>
  <c r="F992" i="14"/>
  <c r="H992" i="14"/>
  <c r="I992" i="14" s="1"/>
  <c r="F995" i="14"/>
  <c r="H995" i="14"/>
  <c r="H1204" i="14"/>
  <c r="F1204" i="14"/>
  <c r="H1115" i="14"/>
  <c r="F1115" i="14"/>
  <c r="H974" i="14"/>
  <c r="F974" i="14"/>
  <c r="C1005" i="14"/>
  <c r="C1002" i="14"/>
  <c r="H1001" i="14"/>
  <c r="I1001" i="14" s="1"/>
  <c r="C1006" i="14"/>
  <c r="H1097" i="14"/>
  <c r="F1097" i="14"/>
  <c r="H1122" i="14"/>
  <c r="F1122" i="14"/>
  <c r="H1220" i="14"/>
  <c r="F1220" i="14"/>
  <c r="H1229" i="14"/>
  <c r="F1229" i="14"/>
  <c r="F1099" i="14"/>
  <c r="H1099" i="14"/>
  <c r="H1121" i="14"/>
  <c r="F1121" i="14"/>
  <c r="H993" i="14"/>
  <c r="F993" i="14"/>
  <c r="F969" i="14"/>
  <c r="H969" i="14"/>
  <c r="I969" i="14" s="1"/>
  <c r="H1116" i="14"/>
  <c r="F1116" i="14"/>
  <c r="F1228" i="14"/>
  <c r="H1228" i="14"/>
  <c r="I1228" i="14" s="1"/>
  <c r="F1225" i="14"/>
  <c r="H1225" i="14"/>
  <c r="C1235" i="14"/>
  <c r="H1230" i="14"/>
  <c r="I1230" i="14" s="1"/>
  <c r="C1231" i="14"/>
  <c r="C1234" i="14"/>
  <c r="F1230" i="14"/>
  <c r="H990" i="14"/>
  <c r="F990" i="14"/>
  <c r="H1105" i="14"/>
  <c r="I1105" i="14" s="1"/>
  <c r="F1105" i="14"/>
  <c r="H1203" i="14"/>
  <c r="F1203" i="14"/>
  <c r="H1118" i="14"/>
  <c r="F1118" i="14"/>
  <c r="F997" i="14"/>
  <c r="H997" i="14"/>
  <c r="H1202" i="14"/>
  <c r="F1202" i="14"/>
  <c r="H1226" i="14"/>
  <c r="F1226" i="14"/>
  <c r="H996" i="14"/>
  <c r="F996" i="14"/>
  <c r="F1224" i="14"/>
  <c r="H1224" i="14"/>
  <c r="H1095" i="14"/>
  <c r="F1095" i="14"/>
  <c r="H1111" i="14"/>
  <c r="F1111" i="14"/>
  <c r="F1119" i="14"/>
  <c r="H1119" i="14"/>
  <c r="F1093" i="14"/>
  <c r="H1093" i="14"/>
  <c r="H989" i="14"/>
  <c r="F989" i="14"/>
  <c r="F998" i="14"/>
  <c r="H998" i="14"/>
  <c r="H1221" i="14"/>
  <c r="F1221" i="14"/>
  <c r="H1112" i="14"/>
  <c r="F1112" i="14"/>
  <c r="F971" i="14"/>
  <c r="H971" i="14"/>
  <c r="H1218" i="14"/>
  <c r="F1218" i="14"/>
  <c r="H1201" i="14"/>
  <c r="F1201" i="14"/>
  <c r="H1227" i="14"/>
  <c r="F1227" i="14"/>
  <c r="F1096" i="14"/>
  <c r="H1096" i="14"/>
  <c r="H1200" i="14"/>
  <c r="F1200" i="14"/>
  <c r="F1117" i="14"/>
  <c r="H1117" i="14"/>
  <c r="H991" i="14"/>
  <c r="F991" i="14"/>
  <c r="H1114" i="14"/>
  <c r="F1114" i="14"/>
  <c r="H1212" i="14"/>
  <c r="F1212" i="14"/>
  <c r="H975" i="14"/>
  <c r="F975" i="14"/>
  <c r="H1206" i="14"/>
  <c r="F1206" i="14"/>
  <c r="H1113" i="14"/>
  <c r="F1113" i="14"/>
  <c r="H1205" i="14"/>
  <c r="F1205" i="14"/>
  <c r="H1222" i="14"/>
  <c r="F1222" i="14"/>
  <c r="F972" i="14"/>
  <c r="H972" i="14"/>
  <c r="H1219" i="14"/>
  <c r="F1219" i="14"/>
  <c r="H1094" i="14"/>
  <c r="F1094" i="14"/>
  <c r="C1128" i="14"/>
  <c r="F1123" i="14"/>
  <c r="C1127" i="14"/>
  <c r="C1124" i="14"/>
  <c r="H1123" i="14"/>
  <c r="H988" i="14"/>
  <c r="F988" i="14"/>
  <c r="F981" i="14"/>
  <c r="H981" i="14"/>
  <c r="C1000" i="14"/>
  <c r="H1000" i="14" s="1"/>
  <c r="I1000" i="14" s="1"/>
  <c r="AA37" i="8"/>
  <c r="I972" i="14" l="1"/>
  <c r="I998" i="14"/>
  <c r="I1093" i="14"/>
  <c r="I1224" i="14"/>
  <c r="I997" i="14"/>
  <c r="I1225" i="14"/>
  <c r="I1099" i="14"/>
  <c r="I995" i="14"/>
  <c r="I1120" i="14"/>
  <c r="I1223" i="14"/>
  <c r="I1117" i="14"/>
  <c r="I1096" i="14"/>
  <c r="I971" i="14"/>
  <c r="I1119" i="14"/>
  <c r="F1124" i="14"/>
  <c r="H1124" i="14"/>
  <c r="I1124" i="14" s="1"/>
  <c r="C1125" i="14"/>
  <c r="C1003" i="14"/>
  <c r="H1002" i="14"/>
  <c r="F1002" i="14"/>
  <c r="H1127" i="14"/>
  <c r="F1127" i="14"/>
  <c r="I1094" i="14"/>
  <c r="I1205" i="14"/>
  <c r="I1206" i="14"/>
  <c r="I1212" i="14"/>
  <c r="I991" i="14"/>
  <c r="I1200" i="14"/>
  <c r="I1227" i="14"/>
  <c r="I1218" i="14"/>
  <c r="I1112" i="14"/>
  <c r="I1111" i="14"/>
  <c r="I1226" i="14"/>
  <c r="I1203" i="14"/>
  <c r="H1231" i="14"/>
  <c r="C1232" i="14"/>
  <c r="F1231" i="14"/>
  <c r="I1116" i="14"/>
  <c r="I993" i="14"/>
  <c r="I1220" i="14"/>
  <c r="I1097" i="14"/>
  <c r="H1005" i="14"/>
  <c r="F1005" i="14"/>
  <c r="I1204" i="14"/>
  <c r="I988" i="14"/>
  <c r="I990" i="14"/>
  <c r="F1006" i="14"/>
  <c r="H1006" i="14"/>
  <c r="I1006" i="14" s="1"/>
  <c r="H1234" i="14"/>
  <c r="F1234" i="14"/>
  <c r="C999" i="14"/>
  <c r="I981" i="14"/>
  <c r="I1123" i="14"/>
  <c r="H1128" i="14"/>
  <c r="F1128" i="14"/>
  <c r="I1128" i="14" s="1"/>
  <c r="I1219" i="14"/>
  <c r="I1222" i="14"/>
  <c r="I1113" i="14"/>
  <c r="I975" i="14"/>
  <c r="I1114" i="14"/>
  <c r="I1201" i="14"/>
  <c r="I1221" i="14"/>
  <c r="I989" i="14"/>
  <c r="I1095" i="14"/>
  <c r="I996" i="14"/>
  <c r="I1202" i="14"/>
  <c r="I1118" i="14"/>
  <c r="H1235" i="14"/>
  <c r="F1235" i="14"/>
  <c r="I1121" i="14"/>
  <c r="I1229" i="14"/>
  <c r="I1122" i="14"/>
  <c r="I974" i="14"/>
  <c r="I1115" i="14"/>
  <c r="V32" i="8"/>
  <c r="V24" i="8"/>
  <c r="V23" i="8"/>
  <c r="V22" i="8"/>
  <c r="V21" i="8"/>
  <c r="V20" i="8"/>
  <c r="V25" i="8" s="1"/>
  <c r="AA25" i="8" s="1"/>
  <c r="V18" i="8"/>
  <c r="V17" i="8"/>
  <c r="V16" i="8"/>
  <c r="V15" i="8"/>
  <c r="V14" i="8"/>
  <c r="V11" i="8"/>
  <c r="DX332" i="7"/>
  <c r="E1248" i="14" s="1"/>
  <c r="DX328" i="7"/>
  <c r="DX327" i="7"/>
  <c r="E1140" i="14" s="1"/>
  <c r="DX326" i="7"/>
  <c r="E1139" i="14" s="1"/>
  <c r="DX324" i="7"/>
  <c r="DX320" i="7"/>
  <c r="E1020" i="14" s="1"/>
  <c r="DX315" i="7"/>
  <c r="E1017" i="14" s="1"/>
  <c r="DX313" i="7"/>
  <c r="E1015" i="14" s="1"/>
  <c r="DX312" i="7"/>
  <c r="E1014" i="14" s="1"/>
  <c r="DX309" i="7"/>
  <c r="E1012" i="14" s="1"/>
  <c r="DR377" i="7"/>
  <c r="DR376" i="7"/>
  <c r="DR375" i="7"/>
  <c r="DR374" i="7"/>
  <c r="DR373" i="7"/>
  <c r="DR372" i="7"/>
  <c r="DR371" i="7"/>
  <c r="DR370" i="7"/>
  <c r="DR369" i="7"/>
  <c r="DR368" i="7"/>
  <c r="DR367" i="7"/>
  <c r="DR366" i="7"/>
  <c r="DR365" i="7"/>
  <c r="DR364" i="7"/>
  <c r="DR363" i="7"/>
  <c r="DR362" i="7"/>
  <c r="DR361" i="7"/>
  <c r="DR360" i="7"/>
  <c r="DR359" i="7"/>
  <c r="DR358" i="7"/>
  <c r="DR357" i="7"/>
  <c r="DR356" i="7"/>
  <c r="DR355" i="7"/>
  <c r="DR354" i="7"/>
  <c r="DR353" i="7"/>
  <c r="DR352" i="7"/>
  <c r="DR351" i="7"/>
  <c r="DR333" i="7"/>
  <c r="DR332" i="7"/>
  <c r="DR331" i="7"/>
  <c r="DR330" i="7"/>
  <c r="DR329" i="7"/>
  <c r="DR328" i="7"/>
  <c r="DR327" i="7"/>
  <c r="DR326" i="7"/>
  <c r="DR325" i="7"/>
  <c r="DR324" i="7"/>
  <c r="DR323" i="7"/>
  <c r="DR322" i="7"/>
  <c r="DR321" i="7"/>
  <c r="DR320" i="7"/>
  <c r="DR319" i="7"/>
  <c r="DR318" i="7"/>
  <c r="DR317" i="7"/>
  <c r="DR316" i="7"/>
  <c r="DR315" i="7"/>
  <c r="DR314" i="7"/>
  <c r="DR313" i="7"/>
  <c r="DR312" i="7"/>
  <c r="DR311" i="7"/>
  <c r="DR310" i="7"/>
  <c r="DR309" i="7"/>
  <c r="DR308" i="7"/>
  <c r="DR307" i="7"/>
  <c r="DU334" i="7"/>
  <c r="DU335" i="7"/>
  <c r="DE302" i="7"/>
  <c r="DE301" i="7"/>
  <c r="DE300" i="7"/>
  <c r="DX377" i="7" s="1"/>
  <c r="DD301" i="7"/>
  <c r="DD300" i="7"/>
  <c r="DX376" i="7" s="1"/>
  <c r="DD302" i="7"/>
  <c r="DC301" i="7"/>
  <c r="DC300" i="7"/>
  <c r="DX375" i="7" s="1"/>
  <c r="DC302" i="7"/>
  <c r="DB302" i="7"/>
  <c r="DB301" i="7"/>
  <c r="DB300" i="7"/>
  <c r="DX374" i="7" s="1"/>
  <c r="E1257" i="14" s="1"/>
  <c r="DA302" i="7"/>
  <c r="AQ379" i="7" s="1"/>
  <c r="DA301" i="7"/>
  <c r="AT379" i="7" s="1"/>
  <c r="DA300" i="7"/>
  <c r="CZ302" i="7"/>
  <c r="CZ301" i="7"/>
  <c r="AT309" i="7" s="1"/>
  <c r="CZ300" i="7"/>
  <c r="DX372" i="7" s="1"/>
  <c r="E1038" i="14" s="1"/>
  <c r="CY302" i="7"/>
  <c r="CY301" i="7"/>
  <c r="CY300" i="7"/>
  <c r="CX302" i="7"/>
  <c r="CX301" i="7"/>
  <c r="CX300" i="7"/>
  <c r="DX370" i="7" s="1"/>
  <c r="E1036" i="14" s="1"/>
  <c r="CW301" i="7"/>
  <c r="CW300" i="7"/>
  <c r="CV301" i="7"/>
  <c r="CV300" i="7"/>
  <c r="DX368" i="7" s="1"/>
  <c r="E1151" i="14" s="1"/>
  <c r="CU301" i="7"/>
  <c r="CU300" i="7"/>
  <c r="DX367" i="7" s="1"/>
  <c r="E1150" i="14" s="1"/>
  <c r="CT301" i="7"/>
  <c r="CT300" i="7"/>
  <c r="DX366" i="7" s="1"/>
  <c r="E1035" i="14" s="1"/>
  <c r="CT302" i="7"/>
  <c r="CS302" i="7"/>
  <c r="CS301" i="7"/>
  <c r="AT328" i="7" s="1"/>
  <c r="CS300" i="7"/>
  <c r="CR302" i="7"/>
  <c r="CR301" i="7"/>
  <c r="CR300" i="7"/>
  <c r="CQ302" i="7"/>
  <c r="CQ300" i="7"/>
  <c r="DX363" i="7" s="1"/>
  <c r="CQ301" i="7"/>
  <c r="CP302" i="7"/>
  <c r="CP301" i="7"/>
  <c r="CP300" i="7"/>
  <c r="DX362" i="7" s="1"/>
  <c r="CO302" i="7"/>
  <c r="CO301" i="7"/>
  <c r="AT313" i="7" s="1"/>
  <c r="CO300" i="7"/>
  <c r="DX361" i="7" s="1"/>
  <c r="E1032" i="14" s="1"/>
  <c r="CN302" i="7"/>
  <c r="CN300" i="7"/>
  <c r="DX360" i="7" s="1"/>
  <c r="E1031" i="14" s="1"/>
  <c r="CM302" i="7"/>
  <c r="CM300" i="7"/>
  <c r="DX359" i="7" s="1"/>
  <c r="E1292" i="14" s="1"/>
  <c r="CM301" i="7"/>
  <c r="CL301" i="7"/>
  <c r="CL300" i="7"/>
  <c r="DX358" i="7" s="1"/>
  <c r="CK301" i="7"/>
  <c r="AT365" i="7" s="1"/>
  <c r="CK300" i="7"/>
  <c r="DX357" i="7" s="1"/>
  <c r="E1030" i="14" s="1"/>
  <c r="CK302" i="7"/>
  <c r="CJ302" i="7"/>
  <c r="CJ300" i="7"/>
  <c r="CI302" i="7"/>
  <c r="AQ418" i="7" s="1"/>
  <c r="CI300" i="7"/>
  <c r="CI301" i="7"/>
  <c r="CH302" i="7"/>
  <c r="CH301" i="7"/>
  <c r="CH300" i="7"/>
  <c r="DX354" i="7" s="1"/>
  <c r="E1028" i="14" s="1"/>
  <c r="CG301" i="7"/>
  <c r="CG300" i="7"/>
  <c r="CG302" i="7"/>
  <c r="CF301" i="7"/>
  <c r="CF300" i="7"/>
  <c r="CE300" i="7"/>
  <c r="CE302" i="7"/>
  <c r="AQ348" i="7" s="1"/>
  <c r="CE301" i="7"/>
  <c r="CD302" i="7"/>
  <c r="CD300" i="7"/>
  <c r="DX333" i="7" s="1"/>
  <c r="E1025" i="14" s="1"/>
  <c r="CB302" i="7"/>
  <c r="CB300" i="7"/>
  <c r="CA301" i="7"/>
  <c r="CA302" i="7"/>
  <c r="CA300" i="7"/>
  <c r="BZ300" i="7"/>
  <c r="CC302" i="7"/>
  <c r="BY302" i="7"/>
  <c r="BX302" i="7"/>
  <c r="BW302" i="7"/>
  <c r="BQ302" i="7"/>
  <c r="BL302" i="7"/>
  <c r="BJ302" i="7"/>
  <c r="AQ350" i="7" s="1"/>
  <c r="BI302" i="7"/>
  <c r="AQ353" i="7" s="1"/>
  <c r="BF302" i="7"/>
  <c r="I1005" i="14" l="1"/>
  <c r="C1250" i="14"/>
  <c r="H1250" i="14" s="1"/>
  <c r="AQ417" i="7"/>
  <c r="AT416" i="7"/>
  <c r="E1259" i="14"/>
  <c r="C1244" i="14"/>
  <c r="H1244" i="14" s="1"/>
  <c r="C1245" i="14"/>
  <c r="H1245" i="14" s="1"/>
  <c r="C1248" i="14"/>
  <c r="H1248" i="14" s="1"/>
  <c r="C1251" i="14"/>
  <c r="H1251" i="14" s="1"/>
  <c r="C1256" i="14"/>
  <c r="H1256" i="14" s="1"/>
  <c r="C1260" i="14"/>
  <c r="H1260" i="14" s="1"/>
  <c r="H1232" i="14"/>
  <c r="F1232" i="14"/>
  <c r="C1233" i="14"/>
  <c r="C1126" i="14"/>
  <c r="H1125" i="14"/>
  <c r="F1125" i="14"/>
  <c r="C1240" i="14"/>
  <c r="H1240" i="14" s="1"/>
  <c r="E1258" i="14"/>
  <c r="C1241" i="14"/>
  <c r="H1241" i="14" s="1"/>
  <c r="C1253" i="14"/>
  <c r="H1253" i="14" s="1"/>
  <c r="C1254" i="14"/>
  <c r="H1254" i="14" s="1"/>
  <c r="C1257" i="14"/>
  <c r="H1257" i="14" s="1"/>
  <c r="I1234" i="14"/>
  <c r="I1231" i="14"/>
  <c r="I1127" i="14"/>
  <c r="I1002" i="14"/>
  <c r="C1239" i="14"/>
  <c r="C1243" i="14"/>
  <c r="H1243" i="14" s="1"/>
  <c r="C1247" i="14"/>
  <c r="H1247" i="14" s="1"/>
  <c r="C1259" i="14"/>
  <c r="H1259" i="14" s="1"/>
  <c r="C1242" i="14"/>
  <c r="H1242" i="14" s="1"/>
  <c r="C1246" i="14"/>
  <c r="H1246" i="14" s="1"/>
  <c r="C1252" i="14"/>
  <c r="H1252" i="14" s="1"/>
  <c r="C1255" i="14"/>
  <c r="H1255" i="14" s="1"/>
  <c r="C1258" i="14"/>
  <c r="H1258" i="14" s="1"/>
  <c r="C987" i="14"/>
  <c r="I1235" i="14"/>
  <c r="F999" i="14"/>
  <c r="H999" i="14"/>
  <c r="I999" i="14" s="1"/>
  <c r="C1004" i="14"/>
  <c r="H1003" i="14"/>
  <c r="F1003" i="14"/>
  <c r="F1258" i="14"/>
  <c r="E1254" i="14"/>
  <c r="E1148" i="14"/>
  <c r="AR349" i="7"/>
  <c r="AR351" i="7"/>
  <c r="AR352" i="7" s="1"/>
  <c r="AR350" i="7"/>
  <c r="DX371" i="7"/>
  <c r="E1037" i="14" s="1"/>
  <c r="AD355" i="7"/>
  <c r="AD314" i="7"/>
  <c r="AD317" i="7"/>
  <c r="AZ317" i="7" s="1"/>
  <c r="U355" i="7"/>
  <c r="U356" i="7" s="1"/>
  <c r="U319" i="7"/>
  <c r="U314" i="7"/>
  <c r="U318" i="7"/>
  <c r="U317" i="7"/>
  <c r="U316" i="7"/>
  <c r="U357" i="7"/>
  <c r="U315" i="7"/>
  <c r="DX356" i="7"/>
  <c r="E1029" i="14" s="1"/>
  <c r="AD322" i="7"/>
  <c r="AZ322" i="7" s="1"/>
  <c r="U322" i="7"/>
  <c r="AT355" i="7"/>
  <c r="AT356" i="7" s="1"/>
  <c r="AT354" i="7"/>
  <c r="AT357" i="7"/>
  <c r="AT317" i="7"/>
  <c r="AT316" i="7"/>
  <c r="AT318" i="7"/>
  <c r="AT314" i="7"/>
  <c r="AT319" i="7"/>
  <c r="AT315" i="7"/>
  <c r="AQ352" i="7"/>
  <c r="AQ351" i="7"/>
  <c r="DX330" i="7"/>
  <c r="AD433" i="7"/>
  <c r="AZ433" i="7" s="1"/>
  <c r="U426" i="7"/>
  <c r="U429" i="7" s="1"/>
  <c r="AD425" i="7"/>
  <c r="AD439" i="7"/>
  <c r="AZ439" i="7" s="1"/>
  <c r="AD426" i="7"/>
  <c r="AD429" i="7" s="1"/>
  <c r="AZ429" i="7" s="1"/>
  <c r="U433" i="7"/>
  <c r="U439" i="7" s="1"/>
  <c r="AD393" i="7"/>
  <c r="AZ393" i="7" s="1"/>
  <c r="AD388" i="7"/>
  <c r="AD383" i="7"/>
  <c r="AD386" i="7"/>
  <c r="U386" i="7"/>
  <c r="U388" i="7" s="1"/>
  <c r="U383" i="7"/>
  <c r="U393" i="7"/>
  <c r="AQ432" i="7"/>
  <c r="AQ438" i="7" s="1"/>
  <c r="AQ433" i="7"/>
  <c r="AQ439" i="7" s="1"/>
  <c r="AQ434" i="7"/>
  <c r="AQ440" i="7" s="1"/>
  <c r="AQ390" i="7"/>
  <c r="AQ383" i="7"/>
  <c r="AQ395" i="7"/>
  <c r="AQ384" i="7"/>
  <c r="DX353" i="7"/>
  <c r="AD444" i="7"/>
  <c r="AZ444" i="7" s="1"/>
  <c r="U374" i="7"/>
  <c r="AT422" i="7"/>
  <c r="AT423" i="7"/>
  <c r="AT381" i="7"/>
  <c r="AT380" i="7"/>
  <c r="E1245" i="14"/>
  <c r="F1245" i="14" s="1"/>
  <c r="I1245" i="14" s="1"/>
  <c r="E1141" i="14"/>
  <c r="AQ330" i="7"/>
  <c r="AQ331" i="7" s="1"/>
  <c r="AQ329" i="7"/>
  <c r="AQ326" i="7"/>
  <c r="AQ328" i="7"/>
  <c r="AT433" i="7"/>
  <c r="AT439" i="7" s="1"/>
  <c r="AT426" i="7"/>
  <c r="AT429" i="7" s="1"/>
  <c r="AT393" i="7"/>
  <c r="AT383" i="7"/>
  <c r="AT386" i="7"/>
  <c r="AT388" i="7" s="1"/>
  <c r="DX352" i="7"/>
  <c r="E1250" i="14" s="1"/>
  <c r="U425" i="7"/>
  <c r="AC455" i="7"/>
  <c r="BA455" i="7" s="1"/>
  <c r="U428" i="7"/>
  <c r="U431" i="7" s="1"/>
  <c r="U427" i="7"/>
  <c r="U430" i="7" s="1"/>
  <c r="AD427" i="7"/>
  <c r="AD430" i="7" s="1"/>
  <c r="AZ430" i="7" s="1"/>
  <c r="U444" i="7"/>
  <c r="AT418" i="7"/>
  <c r="AT376" i="7"/>
  <c r="DX364" i="7"/>
  <c r="E1033" i="14" s="1"/>
  <c r="AD349" i="7"/>
  <c r="AD334" i="7"/>
  <c r="AD350" i="7"/>
  <c r="V350" i="7"/>
  <c r="V351" i="7"/>
  <c r="V352" i="7" s="1"/>
  <c r="V349" i="7"/>
  <c r="AQ416" i="7"/>
  <c r="DX373" i="7"/>
  <c r="E1152" i="14" s="1"/>
  <c r="U379" i="7"/>
  <c r="E1153" i="14"/>
  <c r="E1260" i="14"/>
  <c r="F1260" i="14" s="1"/>
  <c r="I1260" i="14" s="1"/>
  <c r="I1258" i="14"/>
  <c r="E1244" i="14"/>
  <c r="E1137" i="14"/>
  <c r="E1024" i="14"/>
  <c r="F1248" i="14"/>
  <c r="I1248" i="14" s="1"/>
  <c r="AQ391" i="7"/>
  <c r="AQ392" i="7" s="1"/>
  <c r="AQ393" i="7"/>
  <c r="AQ394" i="7"/>
  <c r="E1255" i="14"/>
  <c r="F1255" i="14" s="1"/>
  <c r="I1255" i="14" s="1"/>
  <c r="E1149" i="14"/>
  <c r="AQ323" i="7"/>
  <c r="AQ322" i="7"/>
  <c r="DX351" i="7"/>
  <c r="E1027" i="14" s="1"/>
  <c r="AC475" i="7"/>
  <c r="AD336" i="7"/>
  <c r="AD346" i="7"/>
  <c r="U336" i="7"/>
  <c r="U348" i="7"/>
  <c r="DX365" i="7"/>
  <c r="E1034" i="14" s="1"/>
  <c r="AD328" i="7"/>
  <c r="AZ328" i="7" s="1"/>
  <c r="U328" i="7"/>
  <c r="AQ355" i="7"/>
  <c r="AQ356" i="7" s="1"/>
  <c r="AQ336" i="7"/>
  <c r="AQ317" i="7"/>
  <c r="AQ315" i="7"/>
  <c r="AQ314" i="7"/>
  <c r="AQ357" i="7"/>
  <c r="AQ318" i="7"/>
  <c r="AQ319" i="7"/>
  <c r="AQ316" i="7"/>
  <c r="AQ441" i="7"/>
  <c r="AQ435" i="7"/>
  <c r="AT417" i="7"/>
  <c r="AT419" i="7"/>
  <c r="AT375" i="7"/>
  <c r="AT374" i="7"/>
  <c r="E1253" i="14"/>
  <c r="E1147" i="14"/>
  <c r="AQ387" i="7"/>
  <c r="AQ386" i="7"/>
  <c r="AQ388" i="7" s="1"/>
  <c r="DX329" i="7"/>
  <c r="E1142" i="14" s="1"/>
  <c r="AD375" i="7"/>
  <c r="U375" i="7"/>
  <c r="DX331" i="7"/>
  <c r="E1247" i="14" s="1"/>
  <c r="F1247" i="14" s="1"/>
  <c r="I1247" i="14" s="1"/>
  <c r="U417" i="7"/>
  <c r="AD417" i="7"/>
  <c r="AT336" i="7"/>
  <c r="AT348" i="7"/>
  <c r="AT444" i="7"/>
  <c r="AT425" i="7"/>
  <c r="AT428" i="7"/>
  <c r="AT431" i="7" s="1"/>
  <c r="AT427" i="7"/>
  <c r="AT430" i="7" s="1"/>
  <c r="DX355" i="7"/>
  <c r="U418" i="7"/>
  <c r="AT450" i="7"/>
  <c r="AT402" i="7"/>
  <c r="AT424" i="7"/>
  <c r="AT382" i="7"/>
  <c r="AT350" i="7"/>
  <c r="AT351" i="7"/>
  <c r="AT352" i="7" s="1"/>
  <c r="AT349" i="7"/>
  <c r="DX369" i="7"/>
  <c r="E1256" i="14" s="1"/>
  <c r="F1256" i="14" s="1"/>
  <c r="I1256" i="14" s="1"/>
  <c r="U416" i="7"/>
  <c r="H1239" i="14"/>
  <c r="BV302" i="7"/>
  <c r="BV300" i="7"/>
  <c r="DX325" i="7" s="1"/>
  <c r="E1138" i="14" s="1"/>
  <c r="BU300" i="7"/>
  <c r="BU302" i="7"/>
  <c r="BT300" i="7"/>
  <c r="BS300" i="7"/>
  <c r="BS302" i="7"/>
  <c r="BR302" i="7"/>
  <c r="BR300" i="7"/>
  <c r="BP302" i="7"/>
  <c r="BP300" i="7"/>
  <c r="BO302" i="7"/>
  <c r="AQ365" i="7" s="1"/>
  <c r="BO300" i="7"/>
  <c r="BN302" i="7"/>
  <c r="BN300" i="7"/>
  <c r="BN301" i="7"/>
  <c r="BM302" i="7"/>
  <c r="AQ327" i="7" s="1"/>
  <c r="BM300" i="7"/>
  <c r="BK300" i="7"/>
  <c r="BK302" i="7"/>
  <c r="AQ310" i="7" s="1"/>
  <c r="BH300" i="7"/>
  <c r="BH302" i="7"/>
  <c r="BG300" i="7"/>
  <c r="BG302" i="7"/>
  <c r="BE300" i="7"/>
  <c r="BE302" i="7"/>
  <c r="BD302" i="7"/>
  <c r="BD300" i="7"/>
  <c r="F1244" i="14" l="1"/>
  <c r="I1244" i="14" s="1"/>
  <c r="F1254" i="14"/>
  <c r="I1254" i="14" s="1"/>
  <c r="F1250" i="14"/>
  <c r="I1250" i="14" s="1"/>
  <c r="H1126" i="14"/>
  <c r="F1126" i="14"/>
  <c r="E1129" i="14" s="1"/>
  <c r="F1129" i="14" s="1"/>
  <c r="I1129" i="14" s="1"/>
  <c r="F1257" i="14"/>
  <c r="I1257" i="14" s="1"/>
  <c r="H1233" i="14"/>
  <c r="F1233" i="14"/>
  <c r="E1236" i="14" s="1"/>
  <c r="F1236" i="14" s="1"/>
  <c r="I1236" i="14" s="1"/>
  <c r="H987" i="14"/>
  <c r="F987" i="14"/>
  <c r="I1003" i="14"/>
  <c r="F1253" i="14"/>
  <c r="I1253" i="14" s="1"/>
  <c r="AT460" i="7"/>
  <c r="F1004" i="14"/>
  <c r="H1004" i="14"/>
  <c r="I1125" i="14"/>
  <c r="I1232" i="14"/>
  <c r="F1259" i="14"/>
  <c r="I1259" i="14" s="1"/>
  <c r="AQ376" i="7"/>
  <c r="AQ442" i="7"/>
  <c r="AQ443" i="7"/>
  <c r="C1315" i="14"/>
  <c r="BA475" i="7"/>
  <c r="E1251" i="14"/>
  <c r="F1251" i="14" s="1"/>
  <c r="I1251" i="14" s="1"/>
  <c r="E1145" i="14"/>
  <c r="U389" i="7"/>
  <c r="U385" i="7"/>
  <c r="E1143" i="14"/>
  <c r="E1246" i="14"/>
  <c r="F1246" i="14" s="1"/>
  <c r="I1246" i="14" s="1"/>
  <c r="DX308" i="7"/>
  <c r="E1011" i="14" s="1"/>
  <c r="AD358" i="7"/>
  <c r="AZ358" i="7" s="1"/>
  <c r="DX318" i="7"/>
  <c r="E1019" i="14" s="1"/>
  <c r="AD365" i="7"/>
  <c r="AZ365" i="7" s="1"/>
  <c r="U364" i="7"/>
  <c r="U345" i="7"/>
  <c r="U347" i="7"/>
  <c r="U342" i="7"/>
  <c r="U344" i="7"/>
  <c r="U346" i="7"/>
  <c r="U340" i="7"/>
  <c r="U339" i="7"/>
  <c r="U343" i="7"/>
  <c r="U338" i="7"/>
  <c r="U337" i="7"/>
  <c r="U341" i="7"/>
  <c r="AZ349" i="7"/>
  <c r="AD353" i="7"/>
  <c r="AZ353" i="7" s="1"/>
  <c r="AT385" i="7"/>
  <c r="AT412" i="7" s="1"/>
  <c r="AT389" i="7"/>
  <c r="AD428" i="7"/>
  <c r="AZ428" i="7" s="1"/>
  <c r="AD431" i="7"/>
  <c r="AZ431" i="7" s="1"/>
  <c r="AD356" i="7"/>
  <c r="AZ356" i="7" s="1"/>
  <c r="AZ355" i="7"/>
  <c r="DX321" i="7"/>
  <c r="U446" i="7"/>
  <c r="AD381" i="7"/>
  <c r="AG381" i="7" s="1"/>
  <c r="AD423" i="7"/>
  <c r="AG423" i="7" s="1"/>
  <c r="U445" i="7"/>
  <c r="AD380" i="7"/>
  <c r="AG380" i="7" s="1"/>
  <c r="AD422" i="7"/>
  <c r="AG422" i="7" s="1"/>
  <c r="U423" i="7"/>
  <c r="AD445" i="7"/>
  <c r="AD396" i="7"/>
  <c r="U422" i="7"/>
  <c r="U396" i="7"/>
  <c r="U397" i="7"/>
  <c r="U381" i="7"/>
  <c r="U380" i="7"/>
  <c r="AD332" i="7"/>
  <c r="AD312" i="7"/>
  <c r="AG312" i="7" s="1"/>
  <c r="AD311" i="7"/>
  <c r="AG311" i="7" s="1"/>
  <c r="U332" i="7"/>
  <c r="U333" i="7"/>
  <c r="U312" i="7"/>
  <c r="U311" i="7"/>
  <c r="DX323" i="7"/>
  <c r="AD420" i="7"/>
  <c r="U420" i="7"/>
  <c r="AD421" i="7"/>
  <c r="AD378" i="7"/>
  <c r="AD379" i="7"/>
  <c r="AZ379" i="7" s="1"/>
  <c r="U378" i="7"/>
  <c r="AD321" i="7"/>
  <c r="AZ321" i="7" s="1"/>
  <c r="U321" i="7"/>
  <c r="DX307" i="7"/>
  <c r="E1010" i="14" s="1"/>
  <c r="AC476" i="7"/>
  <c r="AD309" i="7"/>
  <c r="AZ309" i="7" s="1"/>
  <c r="U309" i="7"/>
  <c r="AQ354" i="7"/>
  <c r="AR348" i="7"/>
  <c r="AR370" i="7" s="1"/>
  <c r="AQ320" i="7"/>
  <c r="AT465" i="7"/>
  <c r="AT471" i="7"/>
  <c r="AT464" i="7"/>
  <c r="AT470" i="7"/>
  <c r="AQ422" i="7"/>
  <c r="AQ423" i="7"/>
  <c r="AQ381" i="7"/>
  <c r="AQ380" i="7"/>
  <c r="AQ311" i="7"/>
  <c r="AQ312" i="7"/>
  <c r="AZ346" i="7"/>
  <c r="AD347" i="7"/>
  <c r="AZ347" i="7" s="1"/>
  <c r="DX316" i="7"/>
  <c r="E1018" i="14" s="1"/>
  <c r="AD327" i="7"/>
  <c r="AZ327" i="7" s="1"/>
  <c r="U327" i="7"/>
  <c r="AQ471" i="7"/>
  <c r="AQ465" i="7"/>
  <c r="AQ464" i="7"/>
  <c r="AR470" i="7"/>
  <c r="AR484" i="7" s="1"/>
  <c r="DX322" i="7"/>
  <c r="AD382" i="7"/>
  <c r="AG382" i="7" s="1"/>
  <c r="AD424" i="7"/>
  <c r="AG424" i="7" s="1"/>
  <c r="U424" i="7"/>
  <c r="U382" i="7"/>
  <c r="AD313" i="7"/>
  <c r="AG313" i="7" s="1"/>
  <c r="U313" i="7"/>
  <c r="E1252" i="14"/>
  <c r="F1252" i="14" s="1"/>
  <c r="I1252" i="14" s="1"/>
  <c r="E1146" i="14"/>
  <c r="AQ344" i="7"/>
  <c r="AQ345" i="7"/>
  <c r="AQ341" i="7"/>
  <c r="AQ337" i="7"/>
  <c r="AQ342" i="7"/>
  <c r="AQ347" i="7"/>
  <c r="AQ343" i="7"/>
  <c r="AQ346" i="7"/>
  <c r="AQ340" i="7"/>
  <c r="AQ338" i="7"/>
  <c r="AQ339" i="7"/>
  <c r="AG334" i="7"/>
  <c r="AD335" i="7"/>
  <c r="AZ334" i="7"/>
  <c r="DX311" i="7"/>
  <c r="AD416" i="7"/>
  <c r="AZ416" i="7" s="1"/>
  <c r="U419" i="7"/>
  <c r="AD419" i="7"/>
  <c r="AD418" i="7"/>
  <c r="AD377" i="7"/>
  <c r="AD376" i="7"/>
  <c r="U377" i="7"/>
  <c r="U376" i="7"/>
  <c r="AQ448" i="7"/>
  <c r="AQ400" i="7"/>
  <c r="AQ363" i="7"/>
  <c r="AQ309" i="7"/>
  <c r="DX310" i="7"/>
  <c r="E1013" i="14" s="1"/>
  <c r="AD348" i="7"/>
  <c r="AZ348" i="7" s="1"/>
  <c r="AD354" i="7"/>
  <c r="AZ354" i="7" s="1"/>
  <c r="AD320" i="7"/>
  <c r="AZ320" i="7" s="1"/>
  <c r="V348" i="7"/>
  <c r="U354" i="7"/>
  <c r="U320" i="7"/>
  <c r="DX314" i="7"/>
  <c r="E1016" i="14" s="1"/>
  <c r="AD310" i="7"/>
  <c r="AZ310" i="7" s="1"/>
  <c r="U310" i="7"/>
  <c r="DX317" i="7"/>
  <c r="E1290" i="14" s="1"/>
  <c r="AD465" i="7"/>
  <c r="AZ465" i="7" s="1"/>
  <c r="AD464" i="7"/>
  <c r="AZ464" i="7" s="1"/>
  <c r="U465" i="7"/>
  <c r="W464" i="7"/>
  <c r="AC477" i="7"/>
  <c r="DX319" i="7"/>
  <c r="U450" i="7"/>
  <c r="AD450" i="7"/>
  <c r="AZ450" i="7" s="1"/>
  <c r="AD402" i="7"/>
  <c r="AZ402" i="7" s="1"/>
  <c r="U402" i="7"/>
  <c r="AQ424" i="7"/>
  <c r="AQ382" i="7"/>
  <c r="AQ313" i="7"/>
  <c r="AD470" i="7"/>
  <c r="AZ470" i="7" s="1"/>
  <c r="U471" i="7"/>
  <c r="AD471" i="7"/>
  <c r="AZ471" i="7" s="1"/>
  <c r="V470" i="7"/>
  <c r="V484" i="7" s="1"/>
  <c r="V448" i="7"/>
  <c r="AD448" i="7"/>
  <c r="AZ448" i="7" s="1"/>
  <c r="AD400" i="7"/>
  <c r="AZ400" i="7" s="1"/>
  <c r="V400" i="7"/>
  <c r="AD362" i="7"/>
  <c r="AZ362" i="7" s="1"/>
  <c r="V363" i="7"/>
  <c r="AT344" i="7"/>
  <c r="AT347" i="7"/>
  <c r="AT342" i="7"/>
  <c r="AT337" i="7"/>
  <c r="AT346" i="7"/>
  <c r="AT341" i="7"/>
  <c r="AT345" i="7"/>
  <c r="AT339" i="7"/>
  <c r="AT343" i="7"/>
  <c r="AT338" i="7"/>
  <c r="AT340" i="7"/>
  <c r="AQ436" i="7"/>
  <c r="AQ437" i="7"/>
  <c r="AD343" i="7"/>
  <c r="AZ343" i="7" s="1"/>
  <c r="AD341" i="7"/>
  <c r="AZ341" i="7" s="1"/>
  <c r="AD340" i="7"/>
  <c r="AZ340" i="7" s="1"/>
  <c r="AZ336" i="7"/>
  <c r="AD345" i="7"/>
  <c r="AZ345" i="7" s="1"/>
  <c r="AD337" i="7"/>
  <c r="AZ337" i="7" s="1"/>
  <c r="AD344" i="7"/>
  <c r="AZ344" i="7" s="1"/>
  <c r="AD342" i="7"/>
  <c r="AZ342" i="7" s="1"/>
  <c r="AD339" i="7"/>
  <c r="AZ339" i="7" s="1"/>
  <c r="AD338" i="7"/>
  <c r="AZ338" i="7" s="1"/>
  <c r="AQ325" i="7"/>
  <c r="AQ324" i="7"/>
  <c r="AD351" i="7"/>
  <c r="AZ351" i="7" s="1"/>
  <c r="AD352" i="7"/>
  <c r="AZ352" i="7" s="1"/>
  <c r="AZ350" i="7"/>
  <c r="AQ389" i="7"/>
  <c r="AQ385" i="7"/>
  <c r="AD389" i="7"/>
  <c r="AZ389" i="7" s="1"/>
  <c r="AD385" i="7"/>
  <c r="AD315" i="7"/>
  <c r="AZ315" i="7" s="1"/>
  <c r="AD319" i="7"/>
  <c r="AZ319" i="7" s="1"/>
  <c r="AD318" i="7"/>
  <c r="AZ318" i="7" s="1"/>
  <c r="AD357" i="7"/>
  <c r="AZ357" i="7" s="1"/>
  <c r="AD316" i="7"/>
  <c r="AZ316" i="7" s="1"/>
  <c r="AZ314" i="7"/>
  <c r="CZ484" i="7"/>
  <c r="DS372" i="7" s="1"/>
  <c r="DA484" i="7"/>
  <c r="DS373" i="7" s="1"/>
  <c r="DB484" i="7"/>
  <c r="DS374" i="7" s="1"/>
  <c r="DC484" i="7"/>
  <c r="DS375" i="7" s="1"/>
  <c r="DD484" i="7"/>
  <c r="DS376" i="7" s="1"/>
  <c r="DE484" i="7"/>
  <c r="DS377" i="7" s="1"/>
  <c r="CZ412" i="7"/>
  <c r="DQ372" i="7" s="1"/>
  <c r="DA412" i="7"/>
  <c r="DQ373" i="7" s="1"/>
  <c r="DB412" i="7"/>
  <c r="DQ374" i="7" s="1"/>
  <c r="DC412" i="7"/>
  <c r="DQ375" i="7" s="1"/>
  <c r="DD412" i="7"/>
  <c r="DQ376" i="7" s="1"/>
  <c r="DE412" i="7"/>
  <c r="DQ377" i="7" s="1"/>
  <c r="CZ370" i="7"/>
  <c r="DP372" i="7" s="1"/>
  <c r="DA370" i="7"/>
  <c r="DP373" i="7" s="1"/>
  <c r="DB370" i="7"/>
  <c r="DP374" i="7" s="1"/>
  <c r="DC370" i="7"/>
  <c r="DP375" i="7" s="1"/>
  <c r="DD370" i="7"/>
  <c r="DP376" i="7" s="1"/>
  <c r="DE370" i="7"/>
  <c r="DP377" i="7" s="1"/>
  <c r="E484" i="7"/>
  <c r="F484" i="7"/>
  <c r="G484" i="7"/>
  <c r="H484" i="7"/>
  <c r="I484" i="7"/>
  <c r="J484" i="7"/>
  <c r="K484" i="7"/>
  <c r="M484" i="7"/>
  <c r="N484" i="7"/>
  <c r="O484" i="7"/>
  <c r="P484" i="7"/>
  <c r="Q484" i="7"/>
  <c r="R484" i="7"/>
  <c r="S484" i="7"/>
  <c r="T484" i="7"/>
  <c r="W484" i="7"/>
  <c r="X484" i="7"/>
  <c r="Y484" i="7"/>
  <c r="Z484" i="7"/>
  <c r="AA484" i="7"/>
  <c r="AB484" i="7"/>
  <c r="AE484" i="7"/>
  <c r="AF484" i="7"/>
  <c r="AG484" i="7"/>
  <c r="AH484" i="7"/>
  <c r="AI484" i="7"/>
  <c r="AJ484" i="7"/>
  <c r="AK484" i="7"/>
  <c r="AL484" i="7"/>
  <c r="AM484" i="7"/>
  <c r="AN484" i="7"/>
  <c r="AO484" i="7"/>
  <c r="AP484" i="7"/>
  <c r="AU484" i="7"/>
  <c r="AV484" i="7"/>
  <c r="AW484" i="7"/>
  <c r="AX484" i="7"/>
  <c r="AY484" i="7"/>
  <c r="BC484" i="7"/>
  <c r="BD484" i="7"/>
  <c r="DS307" i="7" s="1"/>
  <c r="BE484" i="7"/>
  <c r="DS308" i="7" s="1"/>
  <c r="BF484" i="7"/>
  <c r="DS309" i="7" s="1"/>
  <c r="BG484" i="7"/>
  <c r="DS310" i="7" s="1"/>
  <c r="BH484" i="7"/>
  <c r="DS311" i="7" s="1"/>
  <c r="BI484" i="7"/>
  <c r="DS312" i="7" s="1"/>
  <c r="BJ484" i="7"/>
  <c r="DS313" i="7" s="1"/>
  <c r="BK484" i="7"/>
  <c r="DS314" i="7" s="1"/>
  <c r="BL484" i="7"/>
  <c r="DS315" i="7" s="1"/>
  <c r="BM484" i="7"/>
  <c r="DS316" i="7" s="1"/>
  <c r="BN484" i="7"/>
  <c r="DS317" i="7" s="1"/>
  <c r="BO484" i="7"/>
  <c r="DS318" i="7" s="1"/>
  <c r="BP484" i="7"/>
  <c r="DS319" i="7" s="1"/>
  <c r="BQ484" i="7"/>
  <c r="DS320" i="7" s="1"/>
  <c r="BR484" i="7"/>
  <c r="DS321" i="7" s="1"/>
  <c r="BS484" i="7"/>
  <c r="DS322" i="7" s="1"/>
  <c r="BT484" i="7"/>
  <c r="DS323" i="7" s="1"/>
  <c r="BU484" i="7"/>
  <c r="BV484" i="7"/>
  <c r="DS325" i="7" s="1"/>
  <c r="BW484" i="7"/>
  <c r="DS326" i="7" s="1"/>
  <c r="BX484" i="7"/>
  <c r="DS327" i="7" s="1"/>
  <c r="BY484" i="7"/>
  <c r="DS328" i="7" s="1"/>
  <c r="BZ484" i="7"/>
  <c r="DS329" i="7" s="1"/>
  <c r="CA484" i="7"/>
  <c r="DS330" i="7" s="1"/>
  <c r="CB484" i="7"/>
  <c r="DS331" i="7" s="1"/>
  <c r="CC484" i="7"/>
  <c r="DS332" i="7" s="1"/>
  <c r="CD484" i="7"/>
  <c r="DS333" i="7" s="1"/>
  <c r="CE484" i="7"/>
  <c r="DS351" i="7" s="1"/>
  <c r="CF484" i="7"/>
  <c r="DS352" i="7" s="1"/>
  <c r="CG484" i="7"/>
  <c r="DS353" i="7" s="1"/>
  <c r="CH484" i="7"/>
  <c r="DS354" i="7" s="1"/>
  <c r="CI484" i="7"/>
  <c r="DS355" i="7" s="1"/>
  <c r="CJ484" i="7"/>
  <c r="DS356" i="7" s="1"/>
  <c r="CK484" i="7"/>
  <c r="DS357" i="7" s="1"/>
  <c r="CL484" i="7"/>
  <c r="DS358" i="7" s="1"/>
  <c r="CM484" i="7"/>
  <c r="DS359" i="7" s="1"/>
  <c r="CN484" i="7"/>
  <c r="DS360" i="7" s="1"/>
  <c r="CO484" i="7"/>
  <c r="DS361" i="7" s="1"/>
  <c r="CP484" i="7"/>
  <c r="DS362" i="7" s="1"/>
  <c r="CQ484" i="7"/>
  <c r="DS363" i="7" s="1"/>
  <c r="CR484" i="7"/>
  <c r="DS364" i="7" s="1"/>
  <c r="CS484" i="7"/>
  <c r="DS365" i="7" s="1"/>
  <c r="CT484" i="7"/>
  <c r="DS366" i="7" s="1"/>
  <c r="CU484" i="7"/>
  <c r="DS367" i="7" s="1"/>
  <c r="CV484" i="7"/>
  <c r="DS368" i="7" s="1"/>
  <c r="CW484" i="7"/>
  <c r="DS369" i="7" s="1"/>
  <c r="CX484" i="7"/>
  <c r="DS370" i="7" s="1"/>
  <c r="CY484" i="7"/>
  <c r="DS371" i="7" s="1"/>
  <c r="DF484" i="7"/>
  <c r="C1305" i="14" s="1"/>
  <c r="DG484" i="7"/>
  <c r="C1308" i="14" s="1"/>
  <c r="DH484" i="7"/>
  <c r="DI484" i="7"/>
  <c r="C1309" i="14" s="1"/>
  <c r="DJ484" i="7"/>
  <c r="C1310" i="14" s="1"/>
  <c r="DK484" i="7"/>
  <c r="C1311" i="14" s="1"/>
  <c r="DL484" i="7"/>
  <c r="DM484" i="7"/>
  <c r="C1297" i="14" s="1"/>
  <c r="DO484" i="7"/>
  <c r="D484" i="7"/>
  <c r="D460" i="7"/>
  <c r="E460" i="7"/>
  <c r="F460" i="7"/>
  <c r="G460" i="7"/>
  <c r="H460" i="7"/>
  <c r="I460" i="7"/>
  <c r="J460" i="7"/>
  <c r="K460" i="7"/>
  <c r="L460" i="7"/>
  <c r="M460" i="7"/>
  <c r="N460" i="7"/>
  <c r="O460" i="7"/>
  <c r="P460" i="7"/>
  <c r="Q460" i="7"/>
  <c r="R460" i="7"/>
  <c r="S460" i="7"/>
  <c r="W460" i="7"/>
  <c r="X460" i="7"/>
  <c r="Y460" i="7"/>
  <c r="Z460" i="7"/>
  <c r="AA460" i="7"/>
  <c r="AB460" i="7"/>
  <c r="AE460" i="7"/>
  <c r="AF460" i="7"/>
  <c r="AH460" i="7"/>
  <c r="AI460" i="7"/>
  <c r="AJ460" i="7"/>
  <c r="AK460" i="7"/>
  <c r="AL460" i="7"/>
  <c r="AM460" i="7"/>
  <c r="AN460" i="7"/>
  <c r="AO460" i="7"/>
  <c r="AP460" i="7"/>
  <c r="AV460" i="7"/>
  <c r="AW460" i="7"/>
  <c r="AX460" i="7"/>
  <c r="AY460" i="7"/>
  <c r="C460" i="7"/>
  <c r="D412" i="7"/>
  <c r="E412" i="7"/>
  <c r="F412" i="7"/>
  <c r="G412" i="7"/>
  <c r="H412" i="7"/>
  <c r="I412" i="7"/>
  <c r="J412" i="7"/>
  <c r="K412" i="7"/>
  <c r="L412" i="7"/>
  <c r="M412" i="7"/>
  <c r="N412" i="7"/>
  <c r="O412" i="7"/>
  <c r="P412" i="7"/>
  <c r="Q412" i="7"/>
  <c r="R412" i="7"/>
  <c r="S412" i="7"/>
  <c r="W412" i="7"/>
  <c r="X412" i="7"/>
  <c r="Y412" i="7"/>
  <c r="Z412" i="7"/>
  <c r="AA412" i="7"/>
  <c r="AB412" i="7"/>
  <c r="AE412" i="7"/>
  <c r="AF412" i="7"/>
  <c r="AH412" i="7"/>
  <c r="AI412" i="7"/>
  <c r="AJ412" i="7"/>
  <c r="AK412" i="7"/>
  <c r="AL412" i="7"/>
  <c r="AM412" i="7"/>
  <c r="AN412" i="7"/>
  <c r="AO412" i="7"/>
  <c r="AP412" i="7"/>
  <c r="AW412" i="7"/>
  <c r="AX412" i="7"/>
  <c r="AY412" i="7"/>
  <c r="BD412" i="7"/>
  <c r="DQ307" i="7" s="1"/>
  <c r="BE412" i="7"/>
  <c r="DQ308" i="7" s="1"/>
  <c r="BF412" i="7"/>
  <c r="DQ309" i="7" s="1"/>
  <c r="BG412" i="7"/>
  <c r="DQ310" i="7" s="1"/>
  <c r="BH412" i="7"/>
  <c r="DQ311" i="7" s="1"/>
  <c r="BI412" i="7"/>
  <c r="DQ312" i="7" s="1"/>
  <c r="BJ412" i="7"/>
  <c r="DQ313" i="7" s="1"/>
  <c r="BK412" i="7"/>
  <c r="DQ314" i="7" s="1"/>
  <c r="BL412" i="7"/>
  <c r="DQ315" i="7" s="1"/>
  <c r="BM412" i="7"/>
  <c r="DQ316" i="7" s="1"/>
  <c r="BN412" i="7"/>
  <c r="DQ317" i="7" s="1"/>
  <c r="BO412" i="7"/>
  <c r="DQ318" i="7" s="1"/>
  <c r="BP412" i="7"/>
  <c r="DQ319" i="7" s="1"/>
  <c r="BQ412" i="7"/>
  <c r="DQ320" i="7" s="1"/>
  <c r="BR412" i="7"/>
  <c r="DQ321" i="7" s="1"/>
  <c r="BS412" i="7"/>
  <c r="DQ322" i="7" s="1"/>
  <c r="BT412" i="7"/>
  <c r="DQ323" i="7" s="1"/>
  <c r="BU412" i="7"/>
  <c r="DQ324" i="7" s="1"/>
  <c r="DQ325" i="7"/>
  <c r="BW412" i="7"/>
  <c r="DQ326" i="7" s="1"/>
  <c r="BX412" i="7"/>
  <c r="DQ327" i="7" s="1"/>
  <c r="BY412" i="7"/>
  <c r="DQ328" i="7" s="1"/>
  <c r="BZ412" i="7"/>
  <c r="DQ329" i="7" s="1"/>
  <c r="CA412" i="7"/>
  <c r="DQ330" i="7" s="1"/>
  <c r="CB412" i="7"/>
  <c r="DQ331" i="7" s="1"/>
  <c r="CC412" i="7"/>
  <c r="DQ332" i="7" s="1"/>
  <c r="CD412" i="7"/>
  <c r="DQ333" i="7" s="1"/>
  <c r="CE412" i="7"/>
  <c r="DQ351" i="7" s="1"/>
  <c r="CF412" i="7"/>
  <c r="DQ352" i="7" s="1"/>
  <c r="CG412" i="7"/>
  <c r="DQ353" i="7" s="1"/>
  <c r="CH412" i="7"/>
  <c r="DQ354" i="7" s="1"/>
  <c r="CI412" i="7"/>
  <c r="DQ355" i="7" s="1"/>
  <c r="CJ412" i="7"/>
  <c r="DQ356" i="7" s="1"/>
  <c r="CK412" i="7"/>
  <c r="DQ357" i="7" s="1"/>
  <c r="CL412" i="7"/>
  <c r="DQ358" i="7" s="1"/>
  <c r="CM412" i="7"/>
  <c r="DQ359" i="7" s="1"/>
  <c r="CN412" i="7"/>
  <c r="DQ360" i="7" s="1"/>
  <c r="CO412" i="7"/>
  <c r="DQ361" i="7" s="1"/>
  <c r="CP412" i="7"/>
  <c r="DQ362" i="7" s="1"/>
  <c r="CQ412" i="7"/>
  <c r="DQ363" i="7" s="1"/>
  <c r="CR412" i="7"/>
  <c r="DQ364" i="7" s="1"/>
  <c r="CS412" i="7"/>
  <c r="DQ365" i="7" s="1"/>
  <c r="CT412" i="7"/>
  <c r="DQ366" i="7" s="1"/>
  <c r="CU412" i="7"/>
  <c r="DQ367" i="7" s="1"/>
  <c r="CV412" i="7"/>
  <c r="DQ368" i="7" s="1"/>
  <c r="CW412" i="7"/>
  <c r="DQ369" i="7" s="1"/>
  <c r="CX412" i="7"/>
  <c r="DQ370" i="7" s="1"/>
  <c r="CY412" i="7"/>
  <c r="DQ371" i="7" s="1"/>
  <c r="DF412" i="7"/>
  <c r="DG412" i="7"/>
  <c r="DH412" i="7"/>
  <c r="DI412" i="7"/>
  <c r="DJ412" i="7"/>
  <c r="DK412" i="7"/>
  <c r="DL412" i="7"/>
  <c r="DM412" i="7"/>
  <c r="DO412" i="7"/>
  <c r="C412" i="7"/>
  <c r="E370" i="7"/>
  <c r="F370" i="7"/>
  <c r="H370" i="7"/>
  <c r="I370" i="7"/>
  <c r="J370" i="7"/>
  <c r="K370" i="7"/>
  <c r="L370" i="7"/>
  <c r="M370" i="7"/>
  <c r="N370" i="7"/>
  <c r="O370" i="7"/>
  <c r="P370" i="7"/>
  <c r="Q370" i="7"/>
  <c r="R370" i="7"/>
  <c r="S370" i="7"/>
  <c r="W370" i="7"/>
  <c r="X370" i="7"/>
  <c r="Y370" i="7"/>
  <c r="Z370" i="7"/>
  <c r="AA370" i="7"/>
  <c r="AB370" i="7"/>
  <c r="AE370" i="7"/>
  <c r="AF370" i="7"/>
  <c r="AH370" i="7"/>
  <c r="AI370" i="7"/>
  <c r="AJ370" i="7"/>
  <c r="AK370" i="7"/>
  <c r="AL370" i="7"/>
  <c r="AM370" i="7"/>
  <c r="AN370" i="7"/>
  <c r="AO370" i="7"/>
  <c r="AP370" i="7"/>
  <c r="AX370" i="7"/>
  <c r="AY370" i="7"/>
  <c r="BD370" i="7"/>
  <c r="BE370" i="7"/>
  <c r="DP308" i="7" s="1"/>
  <c r="BF370" i="7"/>
  <c r="DP309" i="7" s="1"/>
  <c r="BG370" i="7"/>
  <c r="BH370" i="7"/>
  <c r="BI370" i="7"/>
  <c r="DP312" i="7" s="1"/>
  <c r="BJ370" i="7"/>
  <c r="DP313" i="7" s="1"/>
  <c r="BK370" i="7"/>
  <c r="BL370" i="7"/>
  <c r="BM370" i="7"/>
  <c r="DP316" i="7" s="1"/>
  <c r="BN370" i="7"/>
  <c r="DP317" i="7" s="1"/>
  <c r="BO370" i="7"/>
  <c r="BP370" i="7"/>
  <c r="BQ370" i="7"/>
  <c r="DP320" i="7" s="1"/>
  <c r="BR370" i="7"/>
  <c r="DP321" i="7" s="1"/>
  <c r="BS370" i="7"/>
  <c r="BT370" i="7"/>
  <c r="BU370" i="7"/>
  <c r="DP324" i="7" s="1"/>
  <c r="BV370" i="7"/>
  <c r="DP325" i="7" s="1"/>
  <c r="BW370" i="7"/>
  <c r="BX370" i="7"/>
  <c r="BY370" i="7"/>
  <c r="DP328" i="7" s="1"/>
  <c r="BZ370" i="7"/>
  <c r="DP329" i="7" s="1"/>
  <c r="CA370" i="7"/>
  <c r="CB370" i="7"/>
  <c r="CC370" i="7"/>
  <c r="DP332" i="7" s="1"/>
  <c r="CD370" i="7"/>
  <c r="DP333" i="7" s="1"/>
  <c r="CE370" i="7"/>
  <c r="CF370" i="7"/>
  <c r="CG370" i="7"/>
  <c r="DP353" i="7" s="1"/>
  <c r="CH370" i="7"/>
  <c r="DP354" i="7" s="1"/>
  <c r="CI370" i="7"/>
  <c r="CJ370" i="7"/>
  <c r="CK370" i="7"/>
  <c r="DP357" i="7" s="1"/>
  <c r="CL370" i="7"/>
  <c r="DP358" i="7" s="1"/>
  <c r="CM370" i="7"/>
  <c r="CN370" i="7"/>
  <c r="CO370" i="7"/>
  <c r="DP361" i="7" s="1"/>
  <c r="CP370" i="7"/>
  <c r="DP362" i="7" s="1"/>
  <c r="CQ370" i="7"/>
  <c r="CR370" i="7"/>
  <c r="CS370" i="7"/>
  <c r="DP365" i="7" s="1"/>
  <c r="CT370" i="7"/>
  <c r="DP366" i="7" s="1"/>
  <c r="CU370" i="7"/>
  <c r="CV370" i="7"/>
  <c r="CW370" i="7"/>
  <c r="DP369" i="7" s="1"/>
  <c r="CX370" i="7"/>
  <c r="DP370" i="7" s="1"/>
  <c r="CY370" i="7"/>
  <c r="DF370" i="7"/>
  <c r="DG370" i="7"/>
  <c r="DH370" i="7"/>
  <c r="DI370" i="7"/>
  <c r="DJ370" i="7"/>
  <c r="DK370" i="7"/>
  <c r="DL370" i="7"/>
  <c r="DM370" i="7"/>
  <c r="DN370" i="7"/>
  <c r="DO370" i="7"/>
  <c r="C370" i="7"/>
  <c r="I1233" i="14" l="1"/>
  <c r="I1004" i="14"/>
  <c r="C1276" i="14"/>
  <c r="C1034" i="14"/>
  <c r="H1034" i="14" s="1"/>
  <c r="C1032" i="14"/>
  <c r="H1032" i="14" s="1"/>
  <c r="C1030" i="14"/>
  <c r="H1030" i="14" s="1"/>
  <c r="C1024" i="14"/>
  <c r="H1024" i="14" s="1"/>
  <c r="C1020" i="14"/>
  <c r="H1020" i="14" s="1"/>
  <c r="C1018" i="14"/>
  <c r="C1014" i="14"/>
  <c r="H1014" i="14" s="1"/>
  <c r="C1011" i="14"/>
  <c r="C925" i="14"/>
  <c r="C919" i="14"/>
  <c r="C913" i="14"/>
  <c r="F913" i="14" s="1"/>
  <c r="C1151" i="14"/>
  <c r="C1140" i="14"/>
  <c r="H1140" i="14" s="1"/>
  <c r="C1136" i="14"/>
  <c r="H1136" i="14" s="1"/>
  <c r="C1133" i="14"/>
  <c r="H1133" i="14" s="1"/>
  <c r="C1132" i="14"/>
  <c r="C1045" i="14"/>
  <c r="C1043" i="14"/>
  <c r="F1043" i="14" s="1"/>
  <c r="C1180" i="14"/>
  <c r="H1180" i="14" s="1"/>
  <c r="C1299" i="14"/>
  <c r="C1283" i="14"/>
  <c r="F1283" i="14" s="1"/>
  <c r="I1126" i="14"/>
  <c r="C1036" i="14"/>
  <c r="C911" i="14"/>
  <c r="H911" i="14" s="1"/>
  <c r="C1150" i="14"/>
  <c r="F1150" i="14" s="1"/>
  <c r="C1149" i="14"/>
  <c r="H1149" i="14" s="1"/>
  <c r="C1146" i="14"/>
  <c r="H1146" i="14" s="1"/>
  <c r="C1143" i="14"/>
  <c r="H1143" i="14" s="1"/>
  <c r="C1139" i="14"/>
  <c r="H1139" i="14" s="1"/>
  <c r="C1135" i="14"/>
  <c r="H1135" i="14" s="1"/>
  <c r="C1160" i="14"/>
  <c r="C1179" i="14"/>
  <c r="H1179" i="14" s="1"/>
  <c r="C1162" i="14"/>
  <c r="F1162" i="14" s="1"/>
  <c r="C1292" i="14"/>
  <c r="H1292" i="14" s="1"/>
  <c r="C1284" i="14"/>
  <c r="C1272" i="14"/>
  <c r="H1272" i="14" s="1"/>
  <c r="C923" i="14"/>
  <c r="F923" i="14" s="1"/>
  <c r="C910" i="14"/>
  <c r="C914" i="14" s="1"/>
  <c r="C1148" i="14"/>
  <c r="H1148" i="14" s="1"/>
  <c r="C1147" i="14"/>
  <c r="H1147" i="14" s="1"/>
  <c r="C1142" i="14"/>
  <c r="H1142" i="14" s="1"/>
  <c r="C1138" i="14"/>
  <c r="H1138" i="14" s="1"/>
  <c r="C1134" i="14"/>
  <c r="H1134" i="14" s="1"/>
  <c r="C1054" i="14"/>
  <c r="F1054" i="14" s="1"/>
  <c r="C1163" i="14"/>
  <c r="F1163" i="14" s="1"/>
  <c r="C1161" i="14"/>
  <c r="F1161" i="14" s="1"/>
  <c r="C1290" i="14"/>
  <c r="C1038" i="14"/>
  <c r="H1038" i="14" s="1"/>
  <c r="I987" i="14"/>
  <c r="C908" i="14"/>
  <c r="C1035" i="14"/>
  <c r="C1028" i="14"/>
  <c r="H1028" i="14" s="1"/>
  <c r="C1025" i="14"/>
  <c r="F1025" i="14" s="1"/>
  <c r="C1021" i="14"/>
  <c r="H1021" i="14" s="1"/>
  <c r="C1015" i="14"/>
  <c r="H1015" i="14" s="1"/>
  <c r="C1012" i="14"/>
  <c r="H1012" i="14" s="1"/>
  <c r="C926" i="14"/>
  <c r="F926" i="14" s="1"/>
  <c r="C1042" i="14"/>
  <c r="C1145" i="14"/>
  <c r="H1145" i="14" s="1"/>
  <c r="C1141" i="14"/>
  <c r="H1141" i="14" s="1"/>
  <c r="C1137" i="14"/>
  <c r="H1137" i="14" s="1"/>
  <c r="C1061" i="14"/>
  <c r="C1044" i="14"/>
  <c r="C1046" i="14" s="1"/>
  <c r="C1153" i="14"/>
  <c r="H1153" i="14" s="1"/>
  <c r="C1152" i="14"/>
  <c r="H1152" i="14" s="1"/>
  <c r="C1320" i="14"/>
  <c r="F1320" i="14" s="1"/>
  <c r="F1311" i="14"/>
  <c r="H1311" i="14"/>
  <c r="I1311" i="14" s="1"/>
  <c r="F1308" i="14"/>
  <c r="H1308" i="14"/>
  <c r="E1240" i="14"/>
  <c r="F1240" i="14" s="1"/>
  <c r="I1240" i="14" s="1"/>
  <c r="E1133" i="14"/>
  <c r="E1136" i="14"/>
  <c r="F1136" i="14" s="1"/>
  <c r="I1136" i="14" s="1"/>
  <c r="E1023" i="14"/>
  <c r="E1243" i="14"/>
  <c r="F1243" i="14" s="1"/>
  <c r="I1243" i="14" s="1"/>
  <c r="H1150" i="14"/>
  <c r="F1139" i="14"/>
  <c r="F1160" i="14"/>
  <c r="H1160" i="14"/>
  <c r="F1299" i="14"/>
  <c r="H1299" i="14"/>
  <c r="F1310" i="14"/>
  <c r="H1310" i="14"/>
  <c r="C1306" i="14"/>
  <c r="F1305" i="14"/>
  <c r="H1305" i="14"/>
  <c r="F1024" i="14"/>
  <c r="I1024" i="14" s="1"/>
  <c r="BA477" i="7"/>
  <c r="C1317" i="14"/>
  <c r="E1132" i="14"/>
  <c r="F1132" i="14" s="1"/>
  <c r="E1239" i="14"/>
  <c r="F1239" i="14" s="1"/>
  <c r="F1146" i="14"/>
  <c r="I1146" i="14" s="1"/>
  <c r="E1135" i="14"/>
  <c r="E1022" i="14"/>
  <c r="E1242" i="14"/>
  <c r="F1242" i="14" s="1"/>
  <c r="I1242" i="14" s="1"/>
  <c r="AG396" i="7"/>
  <c r="AD397" i="7"/>
  <c r="AG397" i="7" s="1"/>
  <c r="H1320" i="14"/>
  <c r="F1147" i="14"/>
  <c r="I1147" i="14" s="1"/>
  <c r="H1151" i="14"/>
  <c r="F1151" i="14"/>
  <c r="F1297" i="14"/>
  <c r="H1297" i="14"/>
  <c r="F1309" i="14"/>
  <c r="H1309" i="14"/>
  <c r="AT484" i="7"/>
  <c r="BA476" i="7"/>
  <c r="C1316" i="14"/>
  <c r="AG445" i="7"/>
  <c r="AD446" i="7"/>
  <c r="AG446" i="7" s="1"/>
  <c r="E1134" i="14"/>
  <c r="F1134" i="14" s="1"/>
  <c r="I1134" i="14" s="1"/>
  <c r="E1021" i="14"/>
  <c r="F1021" i="14" s="1"/>
  <c r="I1021" i="14" s="1"/>
  <c r="E1241" i="14"/>
  <c r="F1241" i="14" s="1"/>
  <c r="I1241" i="14" s="1"/>
  <c r="F1315" i="14"/>
  <c r="H1315" i="14"/>
  <c r="F1032" i="14"/>
  <c r="H908" i="14"/>
  <c r="F908" i="14"/>
  <c r="H1036" i="14"/>
  <c r="F1036" i="14"/>
  <c r="H1035" i="14"/>
  <c r="F1035" i="14"/>
  <c r="F1028" i="14"/>
  <c r="H1025" i="14"/>
  <c r="H1042" i="14"/>
  <c r="F1042" i="14"/>
  <c r="F1038" i="14"/>
  <c r="AG335" i="7"/>
  <c r="AZ335" i="7"/>
  <c r="AQ484" i="7"/>
  <c r="AG332" i="7"/>
  <c r="AD333" i="7"/>
  <c r="AZ332" i="7"/>
  <c r="F1148" i="14"/>
  <c r="I1148" i="14" s="1"/>
  <c r="F1141" i="14"/>
  <c r="I1141" i="14" s="1"/>
  <c r="H1283" i="14"/>
  <c r="H923" i="14"/>
  <c r="F910" i="14"/>
  <c r="H1162" i="14"/>
  <c r="F1284" i="14"/>
  <c r="H1284" i="14"/>
  <c r="F1276" i="14"/>
  <c r="H1276" i="14"/>
  <c r="F1179" i="14"/>
  <c r="F1015" i="14"/>
  <c r="F1012" i="14"/>
  <c r="H926" i="14"/>
  <c r="H1061" i="14"/>
  <c r="F1061" i="14"/>
  <c r="F1044" i="14"/>
  <c r="H1044" i="14"/>
  <c r="H1290" i="14"/>
  <c r="F1290" i="14"/>
  <c r="F911" i="14"/>
  <c r="H1018" i="14"/>
  <c r="F1018" i="14"/>
  <c r="F1011" i="14"/>
  <c r="H1011" i="14"/>
  <c r="F925" i="14"/>
  <c r="H925" i="14"/>
  <c r="F919" i="14"/>
  <c r="H919" i="14"/>
  <c r="H1132" i="14"/>
  <c r="H1045" i="14"/>
  <c r="F1045" i="14"/>
  <c r="H1043" i="14"/>
  <c r="F1180" i="14"/>
  <c r="O492" i="7"/>
  <c r="K492" i="7"/>
  <c r="AS492" i="7"/>
  <c r="AN492" i="7"/>
  <c r="AJ492" i="7"/>
  <c r="DU376" i="7"/>
  <c r="DU372" i="7"/>
  <c r="DO492" i="7"/>
  <c r="W492" i="7"/>
  <c r="AE492" i="7"/>
  <c r="Y492" i="7"/>
  <c r="DH492" i="7"/>
  <c r="DL492" i="7"/>
  <c r="DK492" i="7"/>
  <c r="DG492" i="7"/>
  <c r="E492" i="7"/>
  <c r="DU377" i="7"/>
  <c r="DU373" i="7"/>
  <c r="S492" i="7"/>
  <c r="AM492" i="7"/>
  <c r="AI492" i="7"/>
  <c r="AB492" i="7"/>
  <c r="X492" i="7"/>
  <c r="DC492" i="7"/>
  <c r="DC539" i="7" s="1"/>
  <c r="DJ492" i="7"/>
  <c r="DF492" i="7"/>
  <c r="CV492" i="7"/>
  <c r="DP368" i="7"/>
  <c r="DU368" i="7" s="1"/>
  <c r="CR492" i="7"/>
  <c r="DP364" i="7"/>
  <c r="CN492" i="7"/>
  <c r="DP360" i="7"/>
  <c r="CJ492" i="7"/>
  <c r="DP356" i="7"/>
  <c r="CF492" i="7"/>
  <c r="DP352" i="7"/>
  <c r="DU352" i="7" s="1"/>
  <c r="CB492" i="7"/>
  <c r="DP331" i="7"/>
  <c r="BX492" i="7"/>
  <c r="DS324" i="7"/>
  <c r="DU324" i="7" s="1"/>
  <c r="DP327" i="7"/>
  <c r="DU327" i="7" s="1"/>
  <c r="BT492" i="7"/>
  <c r="DP323" i="7"/>
  <c r="BP492" i="7"/>
  <c r="DP319" i="7"/>
  <c r="DU319" i="7" s="1"/>
  <c r="BL492" i="7"/>
  <c r="DP315" i="7"/>
  <c r="BH492" i="7"/>
  <c r="DP311" i="7"/>
  <c r="DU311" i="7" s="1"/>
  <c r="BD492" i="7"/>
  <c r="DP307" i="7"/>
  <c r="AR492" i="7"/>
  <c r="Q492" i="7"/>
  <c r="M492" i="7"/>
  <c r="I492" i="7"/>
  <c r="D492" i="7"/>
  <c r="DU370" i="7"/>
  <c r="DU366" i="7"/>
  <c r="DU362" i="7"/>
  <c r="DU358" i="7"/>
  <c r="DU354" i="7"/>
  <c r="DU333" i="7"/>
  <c r="DU329" i="7"/>
  <c r="DU325" i="7"/>
  <c r="DU321" i="7"/>
  <c r="DU317" i="7"/>
  <c r="DU313" i="7"/>
  <c r="DU309" i="7"/>
  <c r="AP492" i="7"/>
  <c r="AL492" i="7"/>
  <c r="AH492" i="7"/>
  <c r="AA492" i="7"/>
  <c r="DB492" i="7"/>
  <c r="DB539" i="7" s="1"/>
  <c r="DM492" i="7"/>
  <c r="CY492" i="7"/>
  <c r="DP371" i="7"/>
  <c r="CQ492" i="7"/>
  <c r="DP363" i="7"/>
  <c r="DU363" i="7" s="1"/>
  <c r="CI492" i="7"/>
  <c r="DP355" i="7"/>
  <c r="DU355" i="7" s="1"/>
  <c r="CA492" i="7"/>
  <c r="DP330" i="7"/>
  <c r="DU330" i="7" s="1"/>
  <c r="BS492" i="7"/>
  <c r="DP322" i="7"/>
  <c r="BK492" i="7"/>
  <c r="DP314" i="7"/>
  <c r="BG492" i="7"/>
  <c r="DP310" i="7"/>
  <c r="P492" i="7"/>
  <c r="L492" i="7"/>
  <c r="DU369" i="7"/>
  <c r="DU365" i="7"/>
  <c r="DU361" i="7"/>
  <c r="DU357" i="7"/>
  <c r="DU353" i="7"/>
  <c r="DU332" i="7"/>
  <c r="DU328" i="7"/>
  <c r="DU320" i="7"/>
  <c r="DU316" i="7"/>
  <c r="DU312" i="7"/>
  <c r="DU308" i="7"/>
  <c r="DU375" i="7"/>
  <c r="DE492" i="7"/>
  <c r="DE539" i="7" s="1"/>
  <c r="DA492" i="7"/>
  <c r="DA539" i="7" s="1"/>
  <c r="DI492" i="7"/>
  <c r="CU492" i="7"/>
  <c r="DP367" i="7"/>
  <c r="DU367" i="7" s="1"/>
  <c r="CM492" i="7"/>
  <c r="DP359" i="7"/>
  <c r="DU359" i="7" s="1"/>
  <c r="CE492" i="7"/>
  <c r="DP351" i="7"/>
  <c r="BW492" i="7"/>
  <c r="DP326" i="7"/>
  <c r="DU326" i="7" s="1"/>
  <c r="BO492" i="7"/>
  <c r="DP318" i="7"/>
  <c r="AY492" i="7"/>
  <c r="H492" i="7"/>
  <c r="AX492" i="7"/>
  <c r="AO492" i="7"/>
  <c r="AK492" i="7"/>
  <c r="AF492" i="7"/>
  <c r="Z492" i="7"/>
  <c r="DU364" i="7"/>
  <c r="R492" i="7"/>
  <c r="N492" i="7"/>
  <c r="J492" i="7"/>
  <c r="DU374" i="7"/>
  <c r="DD492" i="7"/>
  <c r="DD539" i="7" s="1"/>
  <c r="CZ492" i="7"/>
  <c r="CZ539" i="7" s="1"/>
  <c r="F492" i="7"/>
  <c r="DU331" i="7"/>
  <c r="CX492" i="7"/>
  <c r="CT492" i="7"/>
  <c r="CP492" i="7"/>
  <c r="CL492" i="7"/>
  <c r="CH492" i="7"/>
  <c r="CD492" i="7"/>
  <c r="BZ492" i="7"/>
  <c r="BV492" i="7"/>
  <c r="BR492" i="7"/>
  <c r="BN492" i="7"/>
  <c r="BJ492" i="7"/>
  <c r="BF492" i="7"/>
  <c r="CW492" i="7"/>
  <c r="CS492" i="7"/>
  <c r="CO492" i="7"/>
  <c r="CK492" i="7"/>
  <c r="CG492" i="7"/>
  <c r="CC492" i="7"/>
  <c r="BY492" i="7"/>
  <c r="BU492" i="7"/>
  <c r="BQ492" i="7"/>
  <c r="BM492" i="7"/>
  <c r="BI492" i="7"/>
  <c r="BE492" i="7"/>
  <c r="H1161" i="14" l="1"/>
  <c r="F1133" i="14"/>
  <c r="H913" i="14"/>
  <c r="F1014" i="14"/>
  <c r="I1014" i="14" s="1"/>
  <c r="H1163" i="14"/>
  <c r="C1164" i="14"/>
  <c r="F1142" i="14"/>
  <c r="I1142" i="14" s="1"/>
  <c r="F1137" i="14"/>
  <c r="I1137" i="14" s="1"/>
  <c r="F1292" i="14"/>
  <c r="F1149" i="14"/>
  <c r="I1149" i="14" s="1"/>
  <c r="F1153" i="14"/>
  <c r="I1153" i="14" s="1"/>
  <c r="C1022" i="14"/>
  <c r="H1022" i="14" s="1"/>
  <c r="C1037" i="14"/>
  <c r="F1037" i="14" s="1"/>
  <c r="C1322" i="14"/>
  <c r="F1322" i="14" s="1"/>
  <c r="C1019" i="14"/>
  <c r="F1019" i="14" s="1"/>
  <c r="C1027" i="14"/>
  <c r="C1010" i="14"/>
  <c r="H1010" i="14" s="1"/>
  <c r="C1023" i="14"/>
  <c r="H1023" i="14" s="1"/>
  <c r="C1321" i="14"/>
  <c r="C1016" i="14"/>
  <c r="C1029" i="14"/>
  <c r="H1029" i="14" s="1"/>
  <c r="C1033" i="14"/>
  <c r="H1033" i="14" s="1"/>
  <c r="F1272" i="14"/>
  <c r="I1272" i="14" s="1"/>
  <c r="H1054" i="14"/>
  <c r="H910" i="14"/>
  <c r="F1138" i="14"/>
  <c r="I1138" i="14" s="1"/>
  <c r="F1140" i="14"/>
  <c r="I1140" i="14" s="1"/>
  <c r="F1030" i="14"/>
  <c r="F1135" i="14"/>
  <c r="I1135" i="14" s="1"/>
  <c r="F1020" i="14"/>
  <c r="I1020" i="14" s="1"/>
  <c r="C1013" i="14"/>
  <c r="C1031" i="14"/>
  <c r="H1031" i="14" s="1"/>
  <c r="C1017" i="14"/>
  <c r="F1017" i="14" s="1"/>
  <c r="F1145" i="14"/>
  <c r="I1145" i="14" s="1"/>
  <c r="F1152" i="14"/>
  <c r="I1152" i="14" s="1"/>
  <c r="F1034" i="14"/>
  <c r="I1034" i="14" s="1"/>
  <c r="F1143" i="14"/>
  <c r="I1143" i="14" s="1"/>
  <c r="I1310" i="14"/>
  <c r="I1160" i="14"/>
  <c r="I1180" i="14"/>
  <c r="I1012" i="14"/>
  <c r="I1179" i="14"/>
  <c r="I1299" i="14"/>
  <c r="I1308" i="14"/>
  <c r="I1276" i="14"/>
  <c r="I923" i="14"/>
  <c r="I1139" i="14"/>
  <c r="I1320" i="14"/>
  <c r="I1133" i="14"/>
  <c r="I919" i="14"/>
  <c r="I1011" i="14"/>
  <c r="I1018" i="14"/>
  <c r="I1042" i="14"/>
  <c r="I1032" i="14"/>
  <c r="I1309" i="14"/>
  <c r="I1030" i="14"/>
  <c r="I1163" i="14"/>
  <c r="I1162" i="14"/>
  <c r="I1044" i="14"/>
  <c r="I1038" i="14"/>
  <c r="I1025" i="14"/>
  <c r="I1315" i="14"/>
  <c r="H1037" i="14"/>
  <c r="F1317" i="14"/>
  <c r="H1317" i="14"/>
  <c r="I1028" i="14"/>
  <c r="I1036" i="14"/>
  <c r="AG460" i="7"/>
  <c r="I1151" i="14"/>
  <c r="F1022" i="14"/>
  <c r="I1022" i="14" s="1"/>
  <c r="E1261" i="14"/>
  <c r="F1261" i="14" s="1"/>
  <c r="I1261" i="14" s="1"/>
  <c r="I1239" i="14"/>
  <c r="F1306" i="14"/>
  <c r="E1312" i="14" s="1"/>
  <c r="F1312" i="14" s="1"/>
  <c r="I1312" i="14" s="1"/>
  <c r="H1306" i="14"/>
  <c r="AG333" i="7"/>
  <c r="AZ333" i="7"/>
  <c r="H1027" i="14"/>
  <c r="F1027" i="14"/>
  <c r="F1033" i="14"/>
  <c r="C1278" i="14"/>
  <c r="F1316" i="14"/>
  <c r="H1316" i="14"/>
  <c r="I911" i="14"/>
  <c r="I1035" i="14"/>
  <c r="I908" i="14"/>
  <c r="F1321" i="14"/>
  <c r="H1321" i="14"/>
  <c r="I1292" i="14"/>
  <c r="I1297" i="14"/>
  <c r="I1305" i="14"/>
  <c r="I1150" i="14"/>
  <c r="I1054" i="14"/>
  <c r="I1290" i="14"/>
  <c r="E1293" i="14"/>
  <c r="F1293" i="14" s="1"/>
  <c r="I1293" i="14" s="1"/>
  <c r="I1061" i="14"/>
  <c r="H1019" i="14"/>
  <c r="H1017" i="14"/>
  <c r="I1045" i="14"/>
  <c r="F929" i="14"/>
  <c r="H929" i="14"/>
  <c r="H1164" i="14"/>
  <c r="F1164" i="14"/>
  <c r="H1013" i="14"/>
  <c r="F1013" i="14"/>
  <c r="H1016" i="14"/>
  <c r="F1016" i="14"/>
  <c r="I1043" i="14"/>
  <c r="I1132" i="14"/>
  <c r="I913" i="14"/>
  <c r="I925" i="14"/>
  <c r="I1161" i="14"/>
  <c r="H1046" i="14"/>
  <c r="F1046" i="14"/>
  <c r="I926" i="14"/>
  <c r="I1015" i="14"/>
  <c r="I1284" i="14"/>
  <c r="H914" i="14"/>
  <c r="F914" i="14"/>
  <c r="I1283" i="14"/>
  <c r="I910" i="14"/>
  <c r="DU318" i="7"/>
  <c r="DU351" i="7"/>
  <c r="DU307" i="7"/>
  <c r="DU315" i="7"/>
  <c r="DU323" i="7"/>
  <c r="DU314" i="7"/>
  <c r="DU356" i="7"/>
  <c r="DU310" i="7"/>
  <c r="DU322" i="7"/>
  <c r="DU371" i="7"/>
  <c r="DU360" i="7"/>
  <c r="F1023" i="14" l="1"/>
  <c r="I1023" i="14" s="1"/>
  <c r="F1010" i="14"/>
  <c r="F1029" i="14"/>
  <c r="I1029" i="14" s="1"/>
  <c r="H1322" i="14"/>
  <c r="I1322" i="14" s="1"/>
  <c r="F1031" i="14"/>
  <c r="E1154" i="14"/>
  <c r="F1154" i="14" s="1"/>
  <c r="I1154" i="14" s="1"/>
  <c r="C1173" i="14"/>
  <c r="H1173" i="14" s="1"/>
  <c r="I1317" i="14"/>
  <c r="I1306" i="14"/>
  <c r="I1321" i="14"/>
  <c r="I1316" i="14"/>
  <c r="I1033" i="14"/>
  <c r="I1027" i="14"/>
  <c r="I1016" i="14"/>
  <c r="F1278" i="14"/>
  <c r="H1278" i="14"/>
  <c r="I1037" i="14"/>
  <c r="I1164" i="14"/>
  <c r="I929" i="14"/>
  <c r="I1010" i="14"/>
  <c r="I914" i="14"/>
  <c r="I1046" i="14"/>
  <c r="I1013" i="14"/>
  <c r="I1017" i="14"/>
  <c r="I1019" i="14"/>
  <c r="BC511" i="7"/>
  <c r="BC510" i="7"/>
  <c r="BC507" i="7"/>
  <c r="AW508" i="7"/>
  <c r="BC508" i="7" s="1"/>
  <c r="C509" i="7"/>
  <c r="AW509" i="7" s="1"/>
  <c r="BC509" i="7" s="1"/>
  <c r="H507" i="7"/>
  <c r="CF501" i="7"/>
  <c r="DX515" i="7" s="1"/>
  <c r="E1353" i="14" s="1"/>
  <c r="CF502" i="7"/>
  <c r="AT508" i="7" s="1"/>
  <c r="CF503" i="7"/>
  <c r="CE502" i="7"/>
  <c r="AT509" i="7" s="1"/>
  <c r="CE501" i="7"/>
  <c r="U509" i="7" s="1"/>
  <c r="BH503" i="7"/>
  <c r="BH501" i="7"/>
  <c r="DX511" i="7" s="1"/>
  <c r="E1350" i="14" s="1"/>
  <c r="BG503" i="7"/>
  <c r="BG501" i="7"/>
  <c r="DX510" i="7" s="1"/>
  <c r="E1349" i="14" s="1"/>
  <c r="BF503" i="7"/>
  <c r="BF501" i="7"/>
  <c r="AC509" i="7" s="1"/>
  <c r="BA509" i="7" s="1"/>
  <c r="E1039" i="14" l="1"/>
  <c r="F1039" i="14" s="1"/>
  <c r="I1039" i="14" s="1"/>
  <c r="I1031" i="14"/>
  <c r="F1173" i="14"/>
  <c r="I1278" i="14"/>
  <c r="I1173" i="14"/>
  <c r="AQ508" i="7"/>
  <c r="DX514" i="7"/>
  <c r="E1352" i="14" s="1"/>
  <c r="U508" i="7"/>
  <c r="AD508" i="7" s="1"/>
  <c r="AZ508" i="7" s="1"/>
  <c r="AC508" i="7"/>
  <c r="BA508" i="7" s="1"/>
  <c r="BA516" i="7" s="1"/>
  <c r="AD509" i="7"/>
  <c r="AZ509" i="7" s="1"/>
  <c r="DX509" i="7"/>
  <c r="E1348" i="14" s="1"/>
  <c r="D516" i="7"/>
  <c r="E516" i="7"/>
  <c r="F516" i="7"/>
  <c r="G516" i="7"/>
  <c r="H516" i="7"/>
  <c r="I516" i="7"/>
  <c r="J516" i="7"/>
  <c r="K516" i="7"/>
  <c r="L516" i="7"/>
  <c r="M516" i="7"/>
  <c r="N516" i="7"/>
  <c r="O516" i="7"/>
  <c r="P516" i="7"/>
  <c r="Q516" i="7"/>
  <c r="R516" i="7"/>
  <c r="S516" i="7"/>
  <c r="V516" i="7"/>
  <c r="W516" i="7"/>
  <c r="X516" i="7"/>
  <c r="Y516" i="7"/>
  <c r="Z516" i="7"/>
  <c r="AA516" i="7"/>
  <c r="AB516" i="7"/>
  <c r="AE516" i="7"/>
  <c r="AF516" i="7"/>
  <c r="AG516" i="7"/>
  <c r="AH516" i="7"/>
  <c r="AI516" i="7"/>
  <c r="AJ516" i="7"/>
  <c r="AK516" i="7"/>
  <c r="AL516" i="7"/>
  <c r="AM516" i="7"/>
  <c r="AN516" i="7"/>
  <c r="AO516" i="7"/>
  <c r="AP516" i="7"/>
  <c r="AR516" i="7"/>
  <c r="AS516" i="7"/>
  <c r="AT516" i="7"/>
  <c r="AU516" i="7"/>
  <c r="AV516" i="7"/>
  <c r="AW516" i="7"/>
  <c r="AX516" i="7"/>
  <c r="AY516" i="7"/>
  <c r="BC516" i="7"/>
  <c r="BD516" i="7"/>
  <c r="BE516" i="7"/>
  <c r="BF516" i="7"/>
  <c r="BG516" i="7"/>
  <c r="BH516" i="7"/>
  <c r="BI516" i="7"/>
  <c r="BJ516" i="7"/>
  <c r="BK516" i="7"/>
  <c r="BL516" i="7"/>
  <c r="BM516" i="7"/>
  <c r="BN516" i="7"/>
  <c r="BO516" i="7"/>
  <c r="BP516" i="7"/>
  <c r="BQ516" i="7"/>
  <c r="BR516" i="7"/>
  <c r="BS516" i="7"/>
  <c r="BT516" i="7"/>
  <c r="BU516" i="7"/>
  <c r="BV516" i="7"/>
  <c r="BW516" i="7"/>
  <c r="BX516" i="7"/>
  <c r="BY516" i="7"/>
  <c r="BZ516" i="7"/>
  <c r="CA516" i="7"/>
  <c r="CB516" i="7"/>
  <c r="CC516" i="7"/>
  <c r="CD516" i="7"/>
  <c r="CE516" i="7"/>
  <c r="CF516" i="7"/>
  <c r="CG516" i="7"/>
  <c r="CH516" i="7"/>
  <c r="CI516" i="7"/>
  <c r="CJ516" i="7"/>
  <c r="CK516" i="7"/>
  <c r="CL516" i="7"/>
  <c r="CM516" i="7"/>
  <c r="CN516" i="7"/>
  <c r="CO516" i="7"/>
  <c r="CP516" i="7"/>
  <c r="CQ516" i="7"/>
  <c r="CR516" i="7"/>
  <c r="CS516" i="7"/>
  <c r="CT516" i="7"/>
  <c r="CU516" i="7"/>
  <c r="CV516" i="7"/>
  <c r="CW516" i="7"/>
  <c r="CX516" i="7"/>
  <c r="CY516" i="7"/>
  <c r="DF516" i="7"/>
  <c r="DG516" i="7"/>
  <c r="DH516" i="7"/>
  <c r="DI516" i="7"/>
  <c r="DJ516" i="7"/>
  <c r="DK516" i="7"/>
  <c r="DL516" i="7"/>
  <c r="DM516" i="7"/>
  <c r="DN516" i="7"/>
  <c r="DO516" i="7"/>
  <c r="C516" i="7"/>
  <c r="D531" i="7"/>
  <c r="E531" i="7"/>
  <c r="F531" i="7"/>
  <c r="G531" i="7"/>
  <c r="H531" i="7"/>
  <c r="I531" i="7"/>
  <c r="J531" i="7"/>
  <c r="K531" i="7"/>
  <c r="L531" i="7"/>
  <c r="M531" i="7"/>
  <c r="N531" i="7"/>
  <c r="O531" i="7"/>
  <c r="P531" i="7"/>
  <c r="Q531" i="7"/>
  <c r="R531" i="7"/>
  <c r="S531" i="7"/>
  <c r="U531" i="7"/>
  <c r="V531" i="7"/>
  <c r="W531" i="7"/>
  <c r="X531" i="7"/>
  <c r="Y531" i="7"/>
  <c r="Z531" i="7"/>
  <c r="AA531" i="7"/>
  <c r="AB531" i="7"/>
  <c r="AD531" i="7"/>
  <c r="AE531" i="7"/>
  <c r="AF531" i="7"/>
  <c r="AG531" i="7"/>
  <c r="AH531" i="7"/>
  <c r="AI531" i="7"/>
  <c r="AJ531" i="7"/>
  <c r="AK531" i="7"/>
  <c r="AL531" i="7"/>
  <c r="AM531" i="7"/>
  <c r="AN531" i="7"/>
  <c r="AO531" i="7"/>
  <c r="AP531" i="7"/>
  <c r="AQ531" i="7"/>
  <c r="AR531" i="7"/>
  <c r="AS531" i="7"/>
  <c r="AT531" i="7"/>
  <c r="AU531" i="7"/>
  <c r="AV531" i="7"/>
  <c r="AW531" i="7"/>
  <c r="AX531" i="7"/>
  <c r="AY531" i="7"/>
  <c r="AZ531" i="7"/>
  <c r="BC531" i="7"/>
  <c r="BD531" i="7"/>
  <c r="BE531" i="7"/>
  <c r="BF531" i="7"/>
  <c r="BG531" i="7"/>
  <c r="BH531" i="7"/>
  <c r="BI531" i="7"/>
  <c r="BJ531" i="7"/>
  <c r="BK531" i="7"/>
  <c r="BL531" i="7"/>
  <c r="BM531" i="7"/>
  <c r="BN531" i="7"/>
  <c r="BO531" i="7"/>
  <c r="BP531" i="7"/>
  <c r="BQ531" i="7"/>
  <c r="BR531" i="7"/>
  <c r="BS531" i="7"/>
  <c r="BT531" i="7"/>
  <c r="BU531" i="7"/>
  <c r="BV531" i="7"/>
  <c r="BW531" i="7"/>
  <c r="BX531" i="7"/>
  <c r="BY531" i="7"/>
  <c r="BZ531" i="7"/>
  <c r="CA531" i="7"/>
  <c r="CB531" i="7"/>
  <c r="CC531" i="7"/>
  <c r="CD531" i="7"/>
  <c r="CE531" i="7"/>
  <c r="CF531" i="7"/>
  <c r="CG531" i="7"/>
  <c r="CH531" i="7"/>
  <c r="CI531" i="7"/>
  <c r="CJ531" i="7"/>
  <c r="CK531" i="7"/>
  <c r="CL531" i="7"/>
  <c r="CM531" i="7"/>
  <c r="CN531" i="7"/>
  <c r="CO531" i="7"/>
  <c r="CP531" i="7"/>
  <c r="CQ531" i="7"/>
  <c r="CR531" i="7"/>
  <c r="CS531" i="7"/>
  <c r="CT531" i="7"/>
  <c r="CU531" i="7"/>
  <c r="CV531" i="7"/>
  <c r="CW531" i="7"/>
  <c r="CX531" i="7"/>
  <c r="CY531" i="7"/>
  <c r="DG531" i="7"/>
  <c r="DH531" i="7"/>
  <c r="DI531" i="7"/>
  <c r="DJ531" i="7"/>
  <c r="DK531" i="7"/>
  <c r="DL531" i="7"/>
  <c r="DM531" i="7"/>
  <c r="C531" i="7"/>
  <c r="C534" i="7" s="1"/>
  <c r="D534" i="7" l="1"/>
  <c r="C1334" i="14"/>
  <c r="F1334" i="14" s="1"/>
  <c r="C1348" i="14"/>
  <c r="C1344" i="14"/>
  <c r="H1344" i="14" s="1"/>
  <c r="C1350" i="14"/>
  <c r="C1353" i="14"/>
  <c r="H1353" i="14" s="1"/>
  <c r="C1335" i="14"/>
  <c r="H1335" i="14" s="1"/>
  <c r="C1357" i="14"/>
  <c r="H1357" i="14" s="1"/>
  <c r="C1352" i="14"/>
  <c r="H1352" i="14" s="1"/>
  <c r="C1349" i="14"/>
  <c r="F1357" i="14"/>
  <c r="H1334" i="14"/>
  <c r="DH534" i="7"/>
  <c r="AJ534" i="7"/>
  <c r="H1350" i="14"/>
  <c r="F1350" i="14"/>
  <c r="H1349" i="14"/>
  <c r="F1349" i="14"/>
  <c r="L534" i="7"/>
  <c r="H1348" i="14"/>
  <c r="F1348" i="14"/>
  <c r="CL534" i="7"/>
  <c r="BV534" i="7"/>
  <c r="M534" i="7"/>
  <c r="AK534" i="7"/>
  <c r="AV534" i="7"/>
  <c r="AR534" i="7"/>
  <c r="CX534" i="7"/>
  <c r="CT534" i="7"/>
  <c r="CP534" i="7"/>
  <c r="CH534" i="7"/>
  <c r="CD534" i="7"/>
  <c r="BZ534" i="7"/>
  <c r="BR534" i="7"/>
  <c r="BN534" i="7"/>
  <c r="BJ534" i="7"/>
  <c r="BF534" i="7"/>
  <c r="P534" i="7"/>
  <c r="AZ516" i="7"/>
  <c r="AS534" i="7"/>
  <c r="AG534" i="7"/>
  <c r="DL534" i="7"/>
  <c r="Y534" i="7"/>
  <c r="AO534" i="7"/>
  <c r="DK534" i="7"/>
  <c r="DG534" i="7"/>
  <c r="CW534" i="7"/>
  <c r="CS534" i="7"/>
  <c r="CO534" i="7"/>
  <c r="CK534" i="7"/>
  <c r="CG534" i="7"/>
  <c r="CC534" i="7"/>
  <c r="BY534" i="7"/>
  <c r="BU534" i="7"/>
  <c r="BQ534" i="7"/>
  <c r="BM534" i="7"/>
  <c r="BI534" i="7"/>
  <c r="BE534" i="7"/>
  <c r="AB534" i="7"/>
  <c r="X534" i="7"/>
  <c r="AN534" i="7"/>
  <c r="AF534" i="7"/>
  <c r="AD516" i="7"/>
  <c r="Q534" i="7"/>
  <c r="I534" i="7"/>
  <c r="E534" i="7"/>
  <c r="AW534" i="7"/>
  <c r="AC516" i="7"/>
  <c r="U516" i="7"/>
  <c r="DP510" i="7"/>
  <c r="DP509" i="7"/>
  <c r="DP514" i="7"/>
  <c r="DP515" i="7"/>
  <c r="DP511" i="7"/>
  <c r="H534" i="7"/>
  <c r="DJ534" i="7"/>
  <c r="CV534" i="7"/>
  <c r="CR534" i="7"/>
  <c r="CN534" i="7"/>
  <c r="CJ534" i="7"/>
  <c r="CF534" i="7"/>
  <c r="CB534" i="7"/>
  <c r="BX534" i="7"/>
  <c r="BT534" i="7"/>
  <c r="BP534" i="7"/>
  <c r="BL534" i="7"/>
  <c r="BH534" i="7"/>
  <c r="BD534" i="7"/>
  <c r="AY534" i="7"/>
  <c r="AU534" i="7"/>
  <c r="AM534" i="7"/>
  <c r="AI534" i="7"/>
  <c r="AE534" i="7"/>
  <c r="AA534" i="7"/>
  <c r="W534" i="7"/>
  <c r="S534" i="7"/>
  <c r="O534" i="7"/>
  <c r="K534" i="7"/>
  <c r="G534" i="7"/>
  <c r="DM534" i="7"/>
  <c r="DI534" i="7"/>
  <c r="CY534" i="7"/>
  <c r="CU534" i="7"/>
  <c r="CQ534" i="7"/>
  <c r="CM534" i="7"/>
  <c r="CI534" i="7"/>
  <c r="CE534" i="7"/>
  <c r="CA534" i="7"/>
  <c r="BW534" i="7"/>
  <c r="BS534" i="7"/>
  <c r="BO534" i="7"/>
  <c r="BK534" i="7"/>
  <c r="BG534" i="7"/>
  <c r="BC534" i="7"/>
  <c r="AX534" i="7"/>
  <c r="AT534" i="7"/>
  <c r="AP534" i="7"/>
  <c r="AL534" i="7"/>
  <c r="AH534" i="7"/>
  <c r="Z534" i="7"/>
  <c r="V534" i="7"/>
  <c r="R534" i="7"/>
  <c r="N534" i="7"/>
  <c r="J534" i="7"/>
  <c r="F534" i="7"/>
  <c r="F1335" i="14" l="1"/>
  <c r="F1344" i="14"/>
  <c r="C1345" i="14"/>
  <c r="F1345" i="14" s="1"/>
  <c r="C1341" i="14"/>
  <c r="F1341" i="14" s="1"/>
  <c r="C1342" i="14"/>
  <c r="F1342" i="14" s="1"/>
  <c r="F1353" i="14"/>
  <c r="I1353" i="14" s="1"/>
  <c r="C1338" i="14"/>
  <c r="H1338" i="14" s="1"/>
  <c r="F1352" i="14"/>
  <c r="I1352" i="14" s="1"/>
  <c r="I1344" i="14"/>
  <c r="I1349" i="14"/>
  <c r="I1334" i="14"/>
  <c r="I1357" i="14"/>
  <c r="I1350" i="14"/>
  <c r="I1348" i="14"/>
  <c r="I1335" i="14"/>
  <c r="F1338" i="14"/>
  <c r="H1341" i="14"/>
  <c r="AZ534" i="7"/>
  <c r="AD534" i="7"/>
  <c r="U534" i="7"/>
  <c r="I1341" i="14" l="1"/>
  <c r="H1345" i="14"/>
  <c r="I1345" i="14" s="1"/>
  <c r="E1354" i="14"/>
  <c r="F1354" i="14" s="1"/>
  <c r="I1354" i="14" s="1"/>
  <c r="H1342" i="14"/>
  <c r="I1342" i="14" s="1"/>
  <c r="I1338" i="14"/>
  <c r="DR286" i="7"/>
  <c r="DQ286" i="7"/>
  <c r="DH282" i="7"/>
  <c r="DO284" i="7"/>
  <c r="DM280" i="7"/>
  <c r="DO285" i="7"/>
  <c r="DN283" i="7"/>
  <c r="C882" i="14" s="1"/>
  <c r="DF280" i="7"/>
  <c r="AE278" i="7"/>
  <c r="AT271" i="7"/>
  <c r="AT270" i="7"/>
  <c r="AC271" i="7"/>
  <c r="AC270" i="7"/>
  <c r="AC269" i="7"/>
  <c r="AB255" i="7"/>
  <c r="AB289" i="7"/>
  <c r="AB271" i="7"/>
  <c r="AB270" i="7"/>
  <c r="AB269" i="7"/>
  <c r="V271" i="7"/>
  <c r="V270" i="7"/>
  <c r="V269" i="7"/>
  <c r="F271" i="7"/>
  <c r="C894" i="14" l="1"/>
  <c r="C891" i="14"/>
  <c r="F891" i="14" s="1"/>
  <c r="C897" i="14"/>
  <c r="F897" i="14" s="1"/>
  <c r="E898" i="14" s="1"/>
  <c r="F898" i="14" s="1"/>
  <c r="I898" i="14" s="1"/>
  <c r="H897" i="14"/>
  <c r="F894" i="14"/>
  <c r="E895" i="14" s="1"/>
  <c r="F895" i="14" s="1"/>
  <c r="I895" i="14" s="1"/>
  <c r="H894" i="14"/>
  <c r="DL280" i="7"/>
  <c r="C885" i="14"/>
  <c r="H882" i="14"/>
  <c r="F882" i="14"/>
  <c r="E883" i="14" s="1"/>
  <c r="F883" i="14" s="1"/>
  <c r="I883" i="14" s="1"/>
  <c r="AB275" i="7"/>
  <c r="H891" i="14" l="1"/>
  <c r="C847" i="14"/>
  <c r="F847" i="14" s="1"/>
  <c r="I894" i="14"/>
  <c r="I891" i="14"/>
  <c r="F885" i="14"/>
  <c r="H885" i="14"/>
  <c r="I882" i="14"/>
  <c r="I897" i="14"/>
  <c r="AB292" i="7"/>
  <c r="AB539" i="7" s="1"/>
  <c r="H847" i="14" l="1"/>
  <c r="I885" i="14"/>
  <c r="I847" i="14"/>
  <c r="H279" i="7"/>
  <c r="U260" i="7"/>
  <c r="BC267" i="7"/>
  <c r="AW265" i="7"/>
  <c r="BC265" i="7" s="1"/>
  <c r="AW266" i="7"/>
  <c r="BC266" i="7" s="1"/>
  <c r="AW264" i="7"/>
  <c r="BC264" i="7" s="1"/>
  <c r="AU263" i="7"/>
  <c r="BC263" i="7" s="1"/>
  <c r="AU261" i="7"/>
  <c r="BC261" i="7" s="1"/>
  <c r="AW262" i="7"/>
  <c r="BC262" i="7" s="1"/>
  <c r="AW260" i="7"/>
  <c r="AW259" i="7"/>
  <c r="BC259" i="7" s="1"/>
  <c r="AE260" i="7"/>
  <c r="AE259" i="7"/>
  <c r="AE275" i="7" s="1"/>
  <c r="AF275" i="7"/>
  <c r="AE246" i="7"/>
  <c r="F269" i="7"/>
  <c r="F275" i="7" s="1"/>
  <c r="C268" i="7"/>
  <c r="C267" i="7"/>
  <c r="D275" i="7"/>
  <c r="E275" i="7"/>
  <c r="G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T275" i="7"/>
  <c r="V275" i="7"/>
  <c r="W275" i="7"/>
  <c r="X275" i="7"/>
  <c r="Y275" i="7"/>
  <c r="Z275" i="7"/>
  <c r="AA275" i="7"/>
  <c r="AG275" i="7"/>
  <c r="AH275" i="7"/>
  <c r="AI275" i="7"/>
  <c r="AJ275" i="7"/>
  <c r="AK275" i="7"/>
  <c r="AL275" i="7"/>
  <c r="AM275" i="7"/>
  <c r="AN275" i="7"/>
  <c r="AO275" i="7"/>
  <c r="AP275" i="7"/>
  <c r="AR275" i="7"/>
  <c r="AS275" i="7"/>
  <c r="AV275" i="7"/>
  <c r="AX275" i="7"/>
  <c r="AY275" i="7"/>
  <c r="BD275" i="7"/>
  <c r="BE275" i="7"/>
  <c r="BF275" i="7"/>
  <c r="BG275" i="7"/>
  <c r="BH275" i="7"/>
  <c r="BI275" i="7"/>
  <c r="BJ275" i="7"/>
  <c r="BK275" i="7"/>
  <c r="BL275" i="7"/>
  <c r="BM275" i="7"/>
  <c r="BN275" i="7"/>
  <c r="BO275" i="7"/>
  <c r="BP275" i="7"/>
  <c r="BQ275" i="7"/>
  <c r="BR275" i="7"/>
  <c r="BS275" i="7"/>
  <c r="BT275" i="7"/>
  <c r="BU275" i="7"/>
  <c r="BV275" i="7"/>
  <c r="BW275" i="7"/>
  <c r="BX275" i="7"/>
  <c r="BY275" i="7"/>
  <c r="BZ275" i="7"/>
  <c r="CA275" i="7"/>
  <c r="CB275" i="7"/>
  <c r="CC275" i="7"/>
  <c r="CD275" i="7"/>
  <c r="CE275" i="7"/>
  <c r="CF275" i="7"/>
  <c r="CG275" i="7"/>
  <c r="CH275" i="7"/>
  <c r="CI275" i="7"/>
  <c r="CJ275" i="7"/>
  <c r="CK275" i="7"/>
  <c r="CL275" i="7"/>
  <c r="CM275" i="7"/>
  <c r="CN275" i="7"/>
  <c r="CO275" i="7"/>
  <c r="CP275" i="7"/>
  <c r="CQ275" i="7"/>
  <c r="CR275" i="7"/>
  <c r="CS275" i="7"/>
  <c r="CT275" i="7"/>
  <c r="CU275" i="7"/>
  <c r="CV275" i="7"/>
  <c r="CW275" i="7"/>
  <c r="CX275" i="7"/>
  <c r="CY275" i="7"/>
  <c r="DF275" i="7"/>
  <c r="DG275" i="7"/>
  <c r="DH275" i="7"/>
  <c r="DI275" i="7"/>
  <c r="DJ275" i="7"/>
  <c r="DK275" i="7"/>
  <c r="DL275" i="7"/>
  <c r="DM275" i="7"/>
  <c r="DN275" i="7"/>
  <c r="DO275" i="7"/>
  <c r="C255" i="7"/>
  <c r="BC249" i="7"/>
  <c r="BC250" i="7"/>
  <c r="DU257" i="7"/>
  <c r="DU258" i="7"/>
  <c r="DU259" i="7"/>
  <c r="AT248" i="7"/>
  <c r="AW247" i="7"/>
  <c r="BC247" i="7" s="1"/>
  <c r="AW248" i="7"/>
  <c r="BC248" i="7" s="1"/>
  <c r="AT247" i="7"/>
  <c r="CJ241" i="7"/>
  <c r="CJ240" i="7"/>
  <c r="CJ239" i="7"/>
  <c r="DX267" i="7" s="1"/>
  <c r="E834" i="14" s="1"/>
  <c r="CI241" i="7"/>
  <c r="CI239" i="7"/>
  <c r="DX266" i="7" s="1"/>
  <c r="CI240" i="7"/>
  <c r="CH241" i="7"/>
  <c r="CH240" i="7"/>
  <c r="CH239" i="7"/>
  <c r="DX265" i="7" s="1"/>
  <c r="CF239" i="7"/>
  <c r="DX264" i="7" s="1"/>
  <c r="CF240" i="7"/>
  <c r="CF241" i="7"/>
  <c r="CE241" i="7"/>
  <c r="AQ264" i="7" s="1"/>
  <c r="CE240" i="7"/>
  <c r="AT261" i="7" s="1"/>
  <c r="CE239" i="7"/>
  <c r="DX263" i="7" s="1"/>
  <c r="BL241" i="7"/>
  <c r="BL239" i="7"/>
  <c r="DX256" i="7" s="1"/>
  <c r="BK241" i="7"/>
  <c r="AR248" i="7" s="1"/>
  <c r="BK239" i="7"/>
  <c r="V248" i="7" s="1"/>
  <c r="AD248" i="7" s="1"/>
  <c r="AZ248" i="7" s="1"/>
  <c r="BI241" i="7"/>
  <c r="AR247" i="7" s="1"/>
  <c r="BI239" i="7"/>
  <c r="DX254" i="7" s="1"/>
  <c r="E831" i="14" s="1"/>
  <c r="BH241" i="7"/>
  <c r="BH239" i="7"/>
  <c r="DX253" i="7" s="1"/>
  <c r="BG241" i="7"/>
  <c r="BG239" i="7"/>
  <c r="DX252" i="7" s="1"/>
  <c r="BF241" i="7"/>
  <c r="BF239" i="7"/>
  <c r="E866" i="14" l="1"/>
  <c r="C852" i="14"/>
  <c r="F852" i="14" s="1"/>
  <c r="E863" i="14"/>
  <c r="E869" i="14"/>
  <c r="C842" i="14"/>
  <c r="F842" i="14" s="1"/>
  <c r="E864" i="14"/>
  <c r="E867" i="14"/>
  <c r="E868" i="14"/>
  <c r="C846" i="14"/>
  <c r="H842" i="14"/>
  <c r="AQ265" i="7"/>
  <c r="H846" i="14"/>
  <c r="F846" i="14"/>
  <c r="AT265" i="7"/>
  <c r="AT263" i="7"/>
  <c r="AT255" i="7"/>
  <c r="C275" i="7"/>
  <c r="AD260" i="7"/>
  <c r="AZ260" i="7" s="1"/>
  <c r="AT266" i="7"/>
  <c r="BA259" i="7"/>
  <c r="AQ262" i="7"/>
  <c r="U265" i="7"/>
  <c r="AD265" i="7" s="1"/>
  <c r="AZ265" i="7" s="1"/>
  <c r="U266" i="7"/>
  <c r="AD266" i="7" s="1"/>
  <c r="AZ266" i="7" s="1"/>
  <c r="AQ261" i="7"/>
  <c r="AQ263" i="7"/>
  <c r="U264" i="7"/>
  <c r="AD264" i="7" s="1"/>
  <c r="AZ264" i="7" s="1"/>
  <c r="DX251" i="7"/>
  <c r="U262" i="7"/>
  <c r="AD262" i="7" s="1"/>
  <c r="AZ262" i="7" s="1"/>
  <c r="AC260" i="7"/>
  <c r="BA260" i="7" s="1"/>
  <c r="AT262" i="7"/>
  <c r="AT264" i="7"/>
  <c r="AW275" i="7"/>
  <c r="U261" i="7"/>
  <c r="AD261" i="7" s="1"/>
  <c r="AZ261" i="7" s="1"/>
  <c r="BC260" i="7"/>
  <c r="AQ266" i="7"/>
  <c r="V247" i="7"/>
  <c r="AD247" i="7" s="1"/>
  <c r="AZ247" i="7" s="1"/>
  <c r="DX255" i="7"/>
  <c r="E832" i="14" s="1"/>
  <c r="AC247" i="7"/>
  <c r="BA247" i="7" s="1"/>
  <c r="U263" i="7"/>
  <c r="AD263" i="7" s="1"/>
  <c r="AZ263" i="7" s="1"/>
  <c r="AC248" i="7"/>
  <c r="BA248" i="7" s="1"/>
  <c r="BA246" i="7"/>
  <c r="CC289" i="7"/>
  <c r="CD289" i="7"/>
  <c r="CE289" i="7"/>
  <c r="DR263" i="7" s="1"/>
  <c r="CF289" i="7"/>
  <c r="DR264" i="7" s="1"/>
  <c r="CG289" i="7"/>
  <c r="CH289" i="7"/>
  <c r="DR265" i="7" s="1"/>
  <c r="CI289" i="7"/>
  <c r="DR266" i="7" s="1"/>
  <c r="CJ289" i="7"/>
  <c r="DR267" i="7" s="1"/>
  <c r="CK289" i="7"/>
  <c r="CL289" i="7"/>
  <c r="CM289" i="7"/>
  <c r="CN289" i="7"/>
  <c r="CO289" i="7"/>
  <c r="CP289" i="7"/>
  <c r="CQ289" i="7"/>
  <c r="CR289" i="7"/>
  <c r="Z289" i="7"/>
  <c r="AA289" i="7"/>
  <c r="DQ263" i="7"/>
  <c r="DQ264" i="7"/>
  <c r="DQ265" i="7"/>
  <c r="DQ266" i="7"/>
  <c r="DQ267" i="7"/>
  <c r="CC255" i="7"/>
  <c r="CD255" i="7"/>
  <c r="CE255" i="7"/>
  <c r="DP263" i="7" s="1"/>
  <c r="CF255" i="7"/>
  <c r="DP264" i="7" s="1"/>
  <c r="CG255" i="7"/>
  <c r="CH255" i="7"/>
  <c r="DP265" i="7" s="1"/>
  <c r="CI255" i="7"/>
  <c r="DP266" i="7" s="1"/>
  <c r="CJ255" i="7"/>
  <c r="CK255" i="7"/>
  <c r="CL255" i="7"/>
  <c r="CM255" i="7"/>
  <c r="CN255" i="7"/>
  <c r="CO255" i="7"/>
  <c r="CP255" i="7"/>
  <c r="CQ255" i="7"/>
  <c r="CR255" i="7"/>
  <c r="CS255" i="7"/>
  <c r="CT255" i="7"/>
  <c r="Z255" i="7"/>
  <c r="AA255" i="7"/>
  <c r="H246" i="7"/>
  <c r="H852" i="14" l="1"/>
  <c r="C858" i="14"/>
  <c r="H858" i="14" s="1"/>
  <c r="E862" i="14"/>
  <c r="C866" i="14"/>
  <c r="H866" i="14" s="1"/>
  <c r="C869" i="14"/>
  <c r="H869" i="14" s="1"/>
  <c r="C868" i="14"/>
  <c r="H868" i="14" s="1"/>
  <c r="C867" i="14"/>
  <c r="H867" i="14" s="1"/>
  <c r="C841" i="14"/>
  <c r="I842" i="14"/>
  <c r="I852" i="14"/>
  <c r="F868" i="14"/>
  <c r="I868" i="14" s="1"/>
  <c r="F866" i="14"/>
  <c r="I866" i="14" s="1"/>
  <c r="H841" i="14"/>
  <c r="F841" i="14"/>
  <c r="I846" i="14"/>
  <c r="AQ275" i="7"/>
  <c r="AT275" i="7"/>
  <c r="CC292" i="7"/>
  <c r="CP292" i="7"/>
  <c r="CD292" i="7"/>
  <c r="CL292" i="7"/>
  <c r="DU265" i="7"/>
  <c r="CG292" i="7"/>
  <c r="CR292" i="7"/>
  <c r="CN292" i="7"/>
  <c r="DU264" i="7"/>
  <c r="CQ292" i="7"/>
  <c r="CM292" i="7"/>
  <c r="DU263" i="7"/>
  <c r="AW246" i="7"/>
  <c r="BC246" i="7" s="1"/>
  <c r="H255" i="7"/>
  <c r="CO292" i="7"/>
  <c r="CK292" i="7"/>
  <c r="AA292" i="7"/>
  <c r="DU266" i="7"/>
  <c r="CJ292" i="7"/>
  <c r="DP267" i="7"/>
  <c r="CF292" i="7"/>
  <c r="Z292" i="7"/>
  <c r="CI292" i="7"/>
  <c r="CE292" i="7"/>
  <c r="CH292" i="7"/>
  <c r="F858" i="14" l="1"/>
  <c r="C834" i="14"/>
  <c r="H834" i="14" s="1"/>
  <c r="F869" i="14"/>
  <c r="I869" i="14" s="1"/>
  <c r="C814" i="14"/>
  <c r="F867" i="14"/>
  <c r="I867" i="14" s="1"/>
  <c r="I841" i="14"/>
  <c r="H814" i="14"/>
  <c r="F814" i="14"/>
  <c r="I814" i="14" s="1"/>
  <c r="I858" i="14"/>
  <c r="C848" i="14"/>
  <c r="DU267" i="7"/>
  <c r="H213" i="7"/>
  <c r="AS209" i="7"/>
  <c r="DX198" i="7"/>
  <c r="E792" i="14" s="1"/>
  <c r="DN221" i="7"/>
  <c r="DF214" i="7" s="1"/>
  <c r="DK219" i="7"/>
  <c r="DH216" i="7"/>
  <c r="DJ218" i="7"/>
  <c r="AC202" i="7"/>
  <c r="BA202" i="7" s="1"/>
  <c r="BA199" i="7"/>
  <c r="BA200" i="7"/>
  <c r="BA201" i="7"/>
  <c r="V199" i="7"/>
  <c r="AA214" i="7"/>
  <c r="AW192" i="7"/>
  <c r="AW193" i="7"/>
  <c r="BC193" i="7" s="1"/>
  <c r="AW194" i="7"/>
  <c r="BC194" i="7" s="1"/>
  <c r="AW195" i="7"/>
  <c r="BC195" i="7" s="1"/>
  <c r="AW196" i="7"/>
  <c r="BC196" i="7" s="1"/>
  <c r="AW191" i="7"/>
  <c r="BC221" i="7"/>
  <c r="BC220" i="7"/>
  <c r="BC219" i="7"/>
  <c r="BC218" i="7"/>
  <c r="BC217" i="7"/>
  <c r="BC216" i="7"/>
  <c r="BC215" i="7"/>
  <c r="BC214" i="7"/>
  <c r="BC213" i="7"/>
  <c r="BC201" i="7"/>
  <c r="BC192" i="7"/>
  <c r="BC191" i="7"/>
  <c r="AT194" i="7"/>
  <c r="F834" i="14" l="1"/>
  <c r="I834" i="14"/>
  <c r="H848" i="14"/>
  <c r="F848" i="14"/>
  <c r="H145" i="7"/>
  <c r="L25" i="8"/>
  <c r="K25" i="8"/>
  <c r="L24" i="8"/>
  <c r="K24" i="8"/>
  <c r="L21" i="8"/>
  <c r="K21" i="8"/>
  <c r="L19" i="8"/>
  <c r="K19" i="8"/>
  <c r="L11" i="8"/>
  <c r="L12" i="8"/>
  <c r="L13" i="8"/>
  <c r="L14" i="8"/>
  <c r="L15" i="8"/>
  <c r="K15" i="8"/>
  <c r="K14" i="8"/>
  <c r="K13" i="8"/>
  <c r="K12" i="8"/>
  <c r="K11" i="8"/>
  <c r="L9" i="8"/>
  <c r="K9" i="8"/>
  <c r="P16" i="8"/>
  <c r="N17" i="8"/>
  <c r="M17" i="8"/>
  <c r="DU193" i="7"/>
  <c r="DU194" i="7"/>
  <c r="CC209" i="7"/>
  <c r="CD209" i="7"/>
  <c r="CE209" i="7"/>
  <c r="DR195" i="7" s="1"/>
  <c r="CF209" i="7"/>
  <c r="DR196" i="7" s="1"/>
  <c r="CG209" i="7"/>
  <c r="CH209" i="7"/>
  <c r="DR197" i="7" s="1"/>
  <c r="CI209" i="7"/>
  <c r="CJ209" i="7"/>
  <c r="CK209" i="7"/>
  <c r="CL209" i="7"/>
  <c r="CM209" i="7"/>
  <c r="CN209" i="7"/>
  <c r="CO209" i="7"/>
  <c r="CP209" i="7"/>
  <c r="CQ209" i="7"/>
  <c r="CR209" i="7"/>
  <c r="CC224" i="7"/>
  <c r="CD224" i="7"/>
  <c r="CE224" i="7"/>
  <c r="CF224" i="7"/>
  <c r="CG224" i="7"/>
  <c r="CH224" i="7"/>
  <c r="CI224" i="7"/>
  <c r="CJ224" i="7"/>
  <c r="DS198" i="7" s="1"/>
  <c r="CK224" i="7"/>
  <c r="CL224" i="7"/>
  <c r="DS199" i="7" s="1"/>
  <c r="CM224" i="7"/>
  <c r="CN224" i="7"/>
  <c r="CO224" i="7"/>
  <c r="CP224" i="7"/>
  <c r="CQ224" i="7"/>
  <c r="CR224" i="7"/>
  <c r="DQ162" i="7"/>
  <c r="CL184" i="7"/>
  <c r="AQ213" i="7" s="1"/>
  <c r="CL183" i="7"/>
  <c r="AT213" i="7" s="1"/>
  <c r="CL182" i="7"/>
  <c r="U213" i="7" s="1"/>
  <c r="CJ184" i="7"/>
  <c r="CJ183" i="7"/>
  <c r="CJ182" i="7"/>
  <c r="CH184" i="7"/>
  <c r="CH183" i="7"/>
  <c r="CH182" i="7"/>
  <c r="DX197" i="7" s="1"/>
  <c r="E775" i="14" s="1"/>
  <c r="BH184" i="7"/>
  <c r="BH182" i="7"/>
  <c r="BG184" i="7"/>
  <c r="BG182" i="7"/>
  <c r="BF184" i="7"/>
  <c r="BF182" i="7"/>
  <c r="AA209" i="7"/>
  <c r="AA224" i="7"/>
  <c r="W201" i="7"/>
  <c r="C198" i="7"/>
  <c r="AW198" i="7" s="1"/>
  <c r="BC198" i="7" s="1"/>
  <c r="O15" i="8" l="1"/>
  <c r="C751" i="14"/>
  <c r="F751" i="14" s="1"/>
  <c r="I751" i="14" s="1"/>
  <c r="C774" i="14"/>
  <c r="E752" i="14"/>
  <c r="C783" i="14"/>
  <c r="H783" i="14" s="1"/>
  <c r="C793" i="14"/>
  <c r="H793" i="14" s="1"/>
  <c r="C775" i="14"/>
  <c r="H775" i="14" s="1"/>
  <c r="H774" i="14"/>
  <c r="DU195" i="7"/>
  <c r="C773" i="14"/>
  <c r="DU198" i="7"/>
  <c r="C792" i="14"/>
  <c r="F775" i="14"/>
  <c r="I848" i="14"/>
  <c r="DX199" i="7"/>
  <c r="E793" i="14" s="1"/>
  <c r="DU197" i="7"/>
  <c r="DU199" i="7"/>
  <c r="DU196" i="7"/>
  <c r="DI217" i="7"/>
  <c r="DP182" i="7"/>
  <c r="DQ182" i="7" s="1"/>
  <c r="DX192" i="7"/>
  <c r="E771" i="14" s="1"/>
  <c r="AT199" i="7"/>
  <c r="AT200" i="7"/>
  <c r="DX191" i="7"/>
  <c r="E770" i="14" s="1"/>
  <c r="AQ194" i="7"/>
  <c r="DX190" i="7"/>
  <c r="E769" i="14" s="1"/>
  <c r="U194" i="7"/>
  <c r="AG200" i="7"/>
  <c r="AD199" i="7"/>
  <c r="AG199" i="7"/>
  <c r="AD200" i="7"/>
  <c r="U199" i="7"/>
  <c r="U200" i="7"/>
  <c r="AD213" i="7"/>
  <c r="AZ213" i="7" s="1"/>
  <c r="AC213" i="7"/>
  <c r="BA213" i="7" s="1"/>
  <c r="AA227" i="7"/>
  <c r="AA539" i="7" s="1"/>
  <c r="O17" i="8"/>
  <c r="O16" i="8"/>
  <c r="O13" i="8"/>
  <c r="O14" i="8"/>
  <c r="O12" i="8"/>
  <c r="F783" i="14" l="1"/>
  <c r="C753" i="14"/>
  <c r="F793" i="14"/>
  <c r="I793" i="14" s="1"/>
  <c r="C748" i="14"/>
  <c r="F748" i="14" s="1"/>
  <c r="I748" i="14" s="1"/>
  <c r="C750" i="14"/>
  <c r="F750" i="14" s="1"/>
  <c r="I750" i="14" s="1"/>
  <c r="C749" i="14"/>
  <c r="F749" i="14" s="1"/>
  <c r="I749" i="14" s="1"/>
  <c r="C752" i="14"/>
  <c r="H752" i="14" s="1"/>
  <c r="I783" i="14"/>
  <c r="I775" i="14"/>
  <c r="H792" i="14"/>
  <c r="F792" i="14"/>
  <c r="H773" i="14"/>
  <c r="C190" i="7"/>
  <c r="E794" i="14" l="1"/>
  <c r="F794" i="14" s="1"/>
  <c r="I794" i="14" s="1"/>
  <c r="F752" i="14"/>
  <c r="F753" i="14"/>
  <c r="H753" i="14"/>
  <c r="I752" i="14"/>
  <c r="I792" i="14"/>
  <c r="Z224" i="7"/>
  <c r="Z209" i="7"/>
  <c r="I753" i="14" l="1"/>
  <c r="Z227" i="7"/>
  <c r="AC133" i="7"/>
  <c r="AC131" i="7"/>
  <c r="AC129" i="7"/>
  <c r="AT106" i="7"/>
  <c r="AR104" i="7"/>
  <c r="V104" i="7"/>
  <c r="AT97" i="7"/>
  <c r="AT143" i="7"/>
  <c r="AT139" i="7"/>
  <c r="AT138" i="7"/>
  <c r="AT89" i="7"/>
  <c r="AT88" i="7"/>
  <c r="AR16" i="7"/>
  <c r="U16" i="7"/>
  <c r="AR71" i="7"/>
  <c r="V71" i="7"/>
  <c r="AT30" i="7"/>
  <c r="AR23" i="7" l="1"/>
  <c r="AQ20" i="7"/>
  <c r="Z18" i="7" l="1"/>
  <c r="U143" i="7"/>
  <c r="Z66" i="7" l="1"/>
  <c r="Z165" i="7"/>
  <c r="Z153" i="7"/>
  <c r="Z99" i="7"/>
  <c r="C360" i="14" l="1"/>
  <c r="H360" i="14"/>
  <c r="F360" i="14"/>
  <c r="Z173" i="7"/>
  <c r="Z539" i="7" s="1"/>
  <c r="I360" i="14" l="1"/>
  <c r="DO161" i="7"/>
  <c r="DM161" i="7"/>
  <c r="DN159" i="7"/>
  <c r="DF161" i="7"/>
  <c r="DL161" i="7" s="1"/>
  <c r="AT160" i="7"/>
  <c r="D144" i="7"/>
  <c r="BC146" i="7"/>
  <c r="BC145" i="7"/>
  <c r="BC144" i="7"/>
  <c r="AW142" i="7"/>
  <c r="BC142" i="7" s="1"/>
  <c r="AW143" i="7" l="1"/>
  <c r="BC143" i="7" s="1"/>
  <c r="AD143" i="7"/>
  <c r="AZ143" i="7" s="1"/>
  <c r="AC143" i="7"/>
  <c r="BA143" i="7" s="1"/>
  <c r="E141" i="7"/>
  <c r="E140" i="7"/>
  <c r="E139" i="7"/>
  <c r="E138" i="7"/>
  <c r="E137" i="7"/>
  <c r="E136" i="7"/>
  <c r="D103" i="7"/>
  <c r="AW103" i="7" s="1"/>
  <c r="BC103" i="7" s="1"/>
  <c r="AW43" i="7"/>
  <c r="AW93" i="7"/>
  <c r="C96" i="7"/>
  <c r="D95" i="7"/>
  <c r="H92" i="7"/>
  <c r="E91" i="7"/>
  <c r="E90" i="7"/>
  <c r="E89" i="7"/>
  <c r="E88" i="7"/>
  <c r="E87" i="7"/>
  <c r="E86" i="7"/>
  <c r="C106" i="7"/>
  <c r="C16" i="7"/>
  <c r="C73" i="7"/>
  <c r="C72" i="7"/>
  <c r="AW72" i="7" s="1"/>
  <c r="BC92" i="7"/>
  <c r="BC94" i="7"/>
  <c r="BC95" i="7"/>
  <c r="BC96" i="7"/>
  <c r="BC98" i="7"/>
  <c r="AW97" i="7"/>
  <c r="BC97" i="7" s="1"/>
  <c r="D70" i="7"/>
  <c r="AW70" i="7" s="1"/>
  <c r="BC70" i="7" s="1"/>
  <c r="DN94" i="7" l="1"/>
  <c r="F38" i="7" l="1"/>
  <c r="F42" i="7"/>
  <c r="F37" i="7"/>
  <c r="F36" i="7"/>
  <c r="H35" i="7"/>
  <c r="C34" i="7"/>
  <c r="D33" i="7"/>
  <c r="C112" i="8"/>
  <c r="H112" i="8" s="1"/>
  <c r="F111" i="8"/>
  <c r="E111" i="8"/>
  <c r="D111" i="8"/>
  <c r="C111" i="8"/>
  <c r="F109" i="8"/>
  <c r="E109" i="8"/>
  <c r="D109" i="8"/>
  <c r="C109" i="8"/>
  <c r="H108" i="8"/>
  <c r="H107" i="8"/>
  <c r="F106" i="8"/>
  <c r="E106" i="8"/>
  <c r="D106" i="8"/>
  <c r="C106" i="8"/>
  <c r="H105" i="8"/>
  <c r="H104" i="8"/>
  <c r="H103" i="8"/>
  <c r="H102" i="8"/>
  <c r="H101" i="8"/>
  <c r="H100" i="8"/>
  <c r="H99" i="8"/>
  <c r="G98" i="8"/>
  <c r="F98" i="8"/>
  <c r="E98" i="8"/>
  <c r="D98" i="8"/>
  <c r="C98" i="8"/>
  <c r="G97" i="8"/>
  <c r="F97" i="8"/>
  <c r="F110" i="8" s="1"/>
  <c r="E97" i="8"/>
  <c r="E110" i="8" s="1"/>
  <c r="D97" i="8"/>
  <c r="D110" i="8" s="1"/>
  <c r="C97" i="8"/>
  <c r="G96" i="8"/>
  <c r="F96" i="8"/>
  <c r="E96" i="8"/>
  <c r="D96" i="8"/>
  <c r="C96" i="8"/>
  <c r="G95" i="8"/>
  <c r="F95" i="8"/>
  <c r="E95" i="8"/>
  <c r="D95" i="8"/>
  <c r="C95" i="8"/>
  <c r="G94" i="8"/>
  <c r="F94" i="8"/>
  <c r="E94" i="8"/>
  <c r="D94" i="8"/>
  <c r="C94" i="8"/>
  <c r="H93" i="8"/>
  <c r="G92" i="8"/>
  <c r="F92" i="8"/>
  <c r="E92" i="8"/>
  <c r="D92" i="8"/>
  <c r="C92" i="8"/>
  <c r="G91" i="8"/>
  <c r="F91" i="8"/>
  <c r="E91" i="8"/>
  <c r="D91" i="8"/>
  <c r="C91" i="8"/>
  <c r="G90" i="8"/>
  <c r="F90" i="8"/>
  <c r="E90" i="8"/>
  <c r="D90" i="8"/>
  <c r="C90" i="8"/>
  <c r="G89" i="8"/>
  <c r="F89" i="8"/>
  <c r="E89" i="8"/>
  <c r="D89" i="8"/>
  <c r="C89" i="8"/>
  <c r="G88" i="8"/>
  <c r="F88" i="8"/>
  <c r="E88" i="8"/>
  <c r="D88" i="8"/>
  <c r="C88" i="8"/>
  <c r="H87" i="8"/>
  <c r="H86" i="8"/>
  <c r="G85" i="8"/>
  <c r="F85" i="8"/>
  <c r="E85" i="8"/>
  <c r="D85" i="8"/>
  <c r="C85" i="8"/>
  <c r="G84" i="8"/>
  <c r="G106" i="8" s="1"/>
  <c r="H83" i="8"/>
  <c r="F82" i="8"/>
  <c r="E82" i="8"/>
  <c r="D82" i="8"/>
  <c r="C82" i="8"/>
  <c r="H81" i="8"/>
  <c r="C74" i="8"/>
  <c r="H74" i="8" s="1"/>
  <c r="F73" i="8"/>
  <c r="E73" i="8"/>
  <c r="D73" i="8"/>
  <c r="C73" i="8"/>
  <c r="F71" i="8"/>
  <c r="E71" i="8"/>
  <c r="D71" i="8"/>
  <c r="C71" i="8"/>
  <c r="H70" i="8"/>
  <c r="H69" i="8"/>
  <c r="F68" i="8"/>
  <c r="E68" i="8"/>
  <c r="D68" i="8"/>
  <c r="C68" i="8"/>
  <c r="H67" i="8"/>
  <c r="H66" i="8"/>
  <c r="H65" i="8"/>
  <c r="H64" i="8"/>
  <c r="H63" i="8"/>
  <c r="H62" i="8"/>
  <c r="H61" i="8"/>
  <c r="G60" i="8"/>
  <c r="F60" i="8"/>
  <c r="E60" i="8"/>
  <c r="D60" i="8"/>
  <c r="C60" i="8"/>
  <c r="G59" i="8"/>
  <c r="F59" i="8"/>
  <c r="F72" i="8" s="1"/>
  <c r="E59" i="8"/>
  <c r="E72" i="8" s="1"/>
  <c r="D59" i="8"/>
  <c r="D72" i="8" s="1"/>
  <c r="C59" i="8"/>
  <c r="G58" i="8"/>
  <c r="F58" i="8"/>
  <c r="E58" i="8"/>
  <c r="D58" i="8"/>
  <c r="C58" i="8"/>
  <c r="G57" i="8"/>
  <c r="F57" i="8"/>
  <c r="E57" i="8"/>
  <c r="D57" i="8"/>
  <c r="C57" i="8"/>
  <c r="G56" i="8"/>
  <c r="F56" i="8"/>
  <c r="E56" i="8"/>
  <c r="D56" i="8"/>
  <c r="C56" i="8"/>
  <c r="H55" i="8"/>
  <c r="G54" i="8"/>
  <c r="F54" i="8"/>
  <c r="E54" i="8"/>
  <c r="D54" i="8"/>
  <c r="C54" i="8"/>
  <c r="G53" i="8"/>
  <c r="F53" i="8"/>
  <c r="E53" i="8"/>
  <c r="D53" i="8"/>
  <c r="C53" i="8"/>
  <c r="G52" i="8"/>
  <c r="F52" i="8"/>
  <c r="E52" i="8"/>
  <c r="D52" i="8"/>
  <c r="C52" i="8"/>
  <c r="G51" i="8"/>
  <c r="F51" i="8"/>
  <c r="E51" i="8"/>
  <c r="D51" i="8"/>
  <c r="C51" i="8"/>
  <c r="G50" i="8"/>
  <c r="F50" i="8"/>
  <c r="E50" i="8"/>
  <c r="D50" i="8"/>
  <c r="C50" i="8"/>
  <c r="H49" i="8"/>
  <c r="H48" i="8"/>
  <c r="G47" i="8"/>
  <c r="F47" i="8"/>
  <c r="E47" i="8"/>
  <c r="D47" i="8"/>
  <c r="C47" i="8"/>
  <c r="G46" i="8"/>
  <c r="G68" i="8" s="1"/>
  <c r="H45" i="8"/>
  <c r="F44" i="8"/>
  <c r="E44" i="8"/>
  <c r="D44" i="8"/>
  <c r="C44" i="8"/>
  <c r="H43" i="8"/>
  <c r="F37" i="8"/>
  <c r="D37" i="8"/>
  <c r="C37" i="8"/>
  <c r="O66" i="8"/>
  <c r="O67" i="8"/>
  <c r="C505" i="14" l="1"/>
  <c r="C521" i="14"/>
  <c r="H521" i="14" s="1"/>
  <c r="C526" i="14"/>
  <c r="C603" i="14"/>
  <c r="C615" i="14"/>
  <c r="H615" i="14" s="1"/>
  <c r="C619" i="14"/>
  <c r="H619" i="14" s="1"/>
  <c r="C624" i="14"/>
  <c r="C502" i="14"/>
  <c r="C506" i="14"/>
  <c r="C518" i="14"/>
  <c r="H518" i="14" s="1"/>
  <c r="C522" i="14"/>
  <c r="H522" i="14" s="1"/>
  <c r="C527" i="14"/>
  <c r="C616" i="14"/>
  <c r="H616" i="14" s="1"/>
  <c r="C620" i="14"/>
  <c r="C627" i="14"/>
  <c r="C500" i="14"/>
  <c r="C599" i="14"/>
  <c r="C519" i="14"/>
  <c r="H519" i="14" s="1"/>
  <c r="C523" i="14"/>
  <c r="C530" i="14"/>
  <c r="C609" i="14"/>
  <c r="C617" i="14"/>
  <c r="H617" i="14" s="1"/>
  <c r="C621" i="14"/>
  <c r="C512" i="14"/>
  <c r="C520" i="14"/>
  <c r="H520" i="14" s="1"/>
  <c r="C524" i="14"/>
  <c r="C597" i="14"/>
  <c r="C602" i="14"/>
  <c r="C618" i="14"/>
  <c r="H618" i="14" s="1"/>
  <c r="C623" i="14"/>
  <c r="C387" i="14"/>
  <c r="H387" i="14" s="1"/>
  <c r="F387" i="14"/>
  <c r="H71" i="8"/>
  <c r="H73" i="8"/>
  <c r="H88" i="8"/>
  <c r="H89" i="8"/>
  <c r="H92" i="8"/>
  <c r="H97" i="8"/>
  <c r="H85" i="8"/>
  <c r="H94" i="8"/>
  <c r="H98" i="8"/>
  <c r="H90" i="8"/>
  <c r="H91" i="8"/>
  <c r="H95" i="8"/>
  <c r="H50" i="8"/>
  <c r="H68" i="8"/>
  <c r="H96" i="8"/>
  <c r="H109" i="8"/>
  <c r="H111" i="8"/>
  <c r="H52" i="8"/>
  <c r="H54" i="8"/>
  <c r="H59" i="8"/>
  <c r="H44" i="8"/>
  <c r="AW42" i="7"/>
  <c r="H82" i="8"/>
  <c r="H56" i="8"/>
  <c r="H60" i="8"/>
  <c r="H53" i="8"/>
  <c r="H57" i="8"/>
  <c r="H47" i="8"/>
  <c r="H51" i="8"/>
  <c r="H58" i="8"/>
  <c r="H106" i="8"/>
  <c r="C110" i="8"/>
  <c r="H110" i="8" s="1"/>
  <c r="H84" i="8"/>
  <c r="C72" i="8"/>
  <c r="H72" i="8" s="1"/>
  <c r="H46" i="8"/>
  <c r="AD29" i="8"/>
  <c r="AD28" i="8"/>
  <c r="AD27" i="8"/>
  <c r="AD26" i="8"/>
  <c r="AD25" i="8"/>
  <c r="O72" i="8"/>
  <c r="O65" i="8"/>
  <c r="O64" i="8"/>
  <c r="O63" i="8"/>
  <c r="O62" i="8"/>
  <c r="O61" i="8"/>
  <c r="L54" i="8"/>
  <c r="M54" i="8"/>
  <c r="N54" i="8"/>
  <c r="K54" i="8"/>
  <c r="N60" i="8"/>
  <c r="M60" i="8"/>
  <c r="L60" i="8"/>
  <c r="K60" i="8"/>
  <c r="L59" i="8"/>
  <c r="K59" i="8"/>
  <c r="L58" i="8"/>
  <c r="K58" i="8"/>
  <c r="L57" i="8"/>
  <c r="K57" i="8"/>
  <c r="L56" i="8"/>
  <c r="K56" i="8"/>
  <c r="O55" i="8"/>
  <c r="O53" i="8"/>
  <c r="O52" i="8"/>
  <c r="O51" i="8"/>
  <c r="O50" i="8"/>
  <c r="O49" i="8"/>
  <c r="O48" i="8"/>
  <c r="O46" i="8"/>
  <c r="O45" i="8"/>
  <c r="C35" i="8"/>
  <c r="X32" i="8"/>
  <c r="W32" i="8"/>
  <c r="U32" i="8"/>
  <c r="T32" i="8"/>
  <c r="F32" i="8"/>
  <c r="E32" i="8"/>
  <c r="D32" i="8"/>
  <c r="C32" i="8"/>
  <c r="H31" i="8"/>
  <c r="H30" i="8"/>
  <c r="H26" i="8"/>
  <c r="H27" i="8"/>
  <c r="H28" i="8"/>
  <c r="H29" i="8"/>
  <c r="O25" i="8"/>
  <c r="X24" i="8"/>
  <c r="W24" i="8"/>
  <c r="U24" i="8"/>
  <c r="T24" i="8"/>
  <c r="N24" i="8"/>
  <c r="M24" i="8"/>
  <c r="G24" i="8"/>
  <c r="F24" i="8"/>
  <c r="E24" i="8"/>
  <c r="D24" i="8"/>
  <c r="C24" i="8"/>
  <c r="X23" i="8"/>
  <c r="W23" i="8"/>
  <c r="U23" i="8"/>
  <c r="T23" i="8"/>
  <c r="G23" i="8"/>
  <c r="F23" i="8"/>
  <c r="F36" i="8" s="1"/>
  <c r="E23" i="8"/>
  <c r="E36" i="8" s="1"/>
  <c r="D23" i="8"/>
  <c r="D36" i="8" s="1"/>
  <c r="C23" i="8"/>
  <c r="C36" i="8" s="1"/>
  <c r="X22" i="8"/>
  <c r="W22" i="8"/>
  <c r="U22" i="8"/>
  <c r="T22" i="8"/>
  <c r="G22" i="8"/>
  <c r="F22" i="8"/>
  <c r="E22" i="8"/>
  <c r="D22" i="8"/>
  <c r="C22" i="8"/>
  <c r="X21" i="8"/>
  <c r="W21" i="8"/>
  <c r="U21" i="8"/>
  <c r="T21" i="8"/>
  <c r="G21" i="8"/>
  <c r="F21" i="8"/>
  <c r="E21" i="8"/>
  <c r="D21" i="8"/>
  <c r="C21" i="8"/>
  <c r="X20" i="8"/>
  <c r="W20" i="8"/>
  <c r="U20" i="8"/>
  <c r="K20" i="8"/>
  <c r="G20" i="8"/>
  <c r="H25" i="8" s="1"/>
  <c r="F20" i="8"/>
  <c r="E20" i="8"/>
  <c r="D20" i="8"/>
  <c r="C20" i="8"/>
  <c r="O19" i="8"/>
  <c r="H19" i="8"/>
  <c r="U18" i="8"/>
  <c r="W18" i="8"/>
  <c r="X18" i="8"/>
  <c r="T18" i="8"/>
  <c r="AA18" i="8" s="1"/>
  <c r="M18" i="8"/>
  <c r="N18" i="8"/>
  <c r="D18" i="8"/>
  <c r="E18" i="8"/>
  <c r="F18" i="8"/>
  <c r="G18" i="8"/>
  <c r="C18" i="8"/>
  <c r="C17" i="8"/>
  <c r="X17" i="8"/>
  <c r="W17" i="8"/>
  <c r="U17" i="8"/>
  <c r="T17" i="8"/>
  <c r="AA17" i="8" s="1"/>
  <c r="G17" i="8"/>
  <c r="F17" i="8"/>
  <c r="E17" i="8"/>
  <c r="D17" i="8"/>
  <c r="X16" i="8"/>
  <c r="W16" i="8"/>
  <c r="U16" i="8"/>
  <c r="T16" i="8"/>
  <c r="AA16" i="8" s="1"/>
  <c r="G16" i="8"/>
  <c r="F16" i="8"/>
  <c r="E16" i="8"/>
  <c r="D16" i="8"/>
  <c r="C16" i="8"/>
  <c r="X15" i="8"/>
  <c r="W15" i="8"/>
  <c r="U15" i="8"/>
  <c r="T15" i="8"/>
  <c r="G15" i="8"/>
  <c r="F15" i="8"/>
  <c r="E15" i="8"/>
  <c r="D15" i="8"/>
  <c r="C15" i="8"/>
  <c r="X14" i="8"/>
  <c r="W14" i="8"/>
  <c r="U14" i="8"/>
  <c r="T14" i="8"/>
  <c r="G14" i="8"/>
  <c r="F14" i="8"/>
  <c r="E14" i="8"/>
  <c r="D14" i="8"/>
  <c r="C14" i="8"/>
  <c r="H13" i="8"/>
  <c r="H12" i="8"/>
  <c r="O9" i="8"/>
  <c r="O10" i="8"/>
  <c r="G10" i="8"/>
  <c r="H10" i="8" s="1"/>
  <c r="H9" i="8"/>
  <c r="AW24" i="7"/>
  <c r="BC24" i="7" s="1"/>
  <c r="AW25" i="7"/>
  <c r="BC25" i="7" s="1"/>
  <c r="AW22" i="7"/>
  <c r="BC22" i="7" s="1"/>
  <c r="AW106" i="7"/>
  <c r="BC106" i="7" s="1"/>
  <c r="BC93" i="7"/>
  <c r="AW73" i="7"/>
  <c r="BC73" i="7" s="1"/>
  <c r="BC33" i="7"/>
  <c r="BC34" i="7"/>
  <c r="BC35" i="7"/>
  <c r="BC36" i="7"/>
  <c r="BC37" i="7"/>
  <c r="BC38" i="7"/>
  <c r="BC39" i="7"/>
  <c r="BC40" i="7"/>
  <c r="BC41" i="7"/>
  <c r="BC44" i="7"/>
  <c r="BC45" i="7"/>
  <c r="BC46" i="7"/>
  <c r="BC47" i="7"/>
  <c r="BC48" i="7"/>
  <c r="BC49" i="7"/>
  <c r="BC50" i="7"/>
  <c r="BC51" i="7"/>
  <c r="BC52" i="7"/>
  <c r="BC53" i="7"/>
  <c r="W66" i="7"/>
  <c r="X66" i="7"/>
  <c r="Y66" i="7"/>
  <c r="AE66" i="7"/>
  <c r="AF66" i="7"/>
  <c r="AH66" i="7"/>
  <c r="AI66" i="7"/>
  <c r="AJ66" i="7"/>
  <c r="AK66" i="7"/>
  <c r="AL66" i="7"/>
  <c r="AM66" i="7"/>
  <c r="AN66" i="7"/>
  <c r="AO66" i="7"/>
  <c r="AP66" i="7"/>
  <c r="AR66" i="7"/>
  <c r="AS66" i="7"/>
  <c r="AX66" i="7"/>
  <c r="AY66" i="7"/>
  <c r="BD66" i="7"/>
  <c r="DP14" i="7" s="1"/>
  <c r="BE66" i="7"/>
  <c r="DP15" i="7" s="1"/>
  <c r="BF66" i="7"/>
  <c r="DP16" i="7" s="1"/>
  <c r="BG66" i="7"/>
  <c r="DP17" i="7" s="1"/>
  <c r="BH66" i="7"/>
  <c r="DP18" i="7" s="1"/>
  <c r="BI66" i="7"/>
  <c r="DP19" i="7" s="1"/>
  <c r="BJ66" i="7"/>
  <c r="DP20" i="7" s="1"/>
  <c r="BK66" i="7"/>
  <c r="DP21" i="7" s="1"/>
  <c r="BL66" i="7"/>
  <c r="DP22" i="7" s="1"/>
  <c r="BM66" i="7"/>
  <c r="DP23" i="7" s="1"/>
  <c r="BN66" i="7"/>
  <c r="DP24" i="7" s="1"/>
  <c r="BO66" i="7"/>
  <c r="DP25" i="7" s="1"/>
  <c r="BP66" i="7"/>
  <c r="DP26" i="7" s="1"/>
  <c r="BQ66" i="7"/>
  <c r="DP27" i="7" s="1"/>
  <c r="BR66" i="7"/>
  <c r="DP28" i="7" s="1"/>
  <c r="BS66" i="7"/>
  <c r="DP29" i="7" s="1"/>
  <c r="BT66" i="7"/>
  <c r="DP30" i="7" s="1"/>
  <c r="BU66" i="7"/>
  <c r="DP31" i="7" s="1"/>
  <c r="BV66" i="7"/>
  <c r="DP32" i="7" s="1"/>
  <c r="BW66" i="7"/>
  <c r="BX66" i="7"/>
  <c r="BY66" i="7"/>
  <c r="BZ66" i="7"/>
  <c r="CA66" i="7"/>
  <c r="CB66" i="7"/>
  <c r="DP39" i="7" s="1"/>
  <c r="CC66" i="7"/>
  <c r="DP40" i="7" s="1"/>
  <c r="CD66" i="7"/>
  <c r="DP41" i="7" s="1"/>
  <c r="CE66" i="7"/>
  <c r="DP42" i="7" s="1"/>
  <c r="CF66" i="7"/>
  <c r="DP43" i="7" s="1"/>
  <c r="CG66" i="7"/>
  <c r="DP44" i="7" s="1"/>
  <c r="CH66" i="7"/>
  <c r="DP45" i="7" s="1"/>
  <c r="CI66" i="7"/>
  <c r="DP46" i="7" s="1"/>
  <c r="CJ66" i="7"/>
  <c r="DP47" i="7" s="1"/>
  <c r="CK66" i="7"/>
  <c r="DP48" i="7" s="1"/>
  <c r="CL66" i="7"/>
  <c r="DP49" i="7" s="1"/>
  <c r="CM66" i="7"/>
  <c r="DP50" i="7" s="1"/>
  <c r="CN66" i="7"/>
  <c r="DP51" i="7" s="1"/>
  <c r="CO66" i="7"/>
  <c r="DP52" i="7" s="1"/>
  <c r="CP66" i="7"/>
  <c r="DP53" i="7" s="1"/>
  <c r="CQ66" i="7"/>
  <c r="DP54" i="7" s="1"/>
  <c r="CR66" i="7"/>
  <c r="DP55" i="7" s="1"/>
  <c r="CS66" i="7"/>
  <c r="DP56" i="7" s="1"/>
  <c r="CT66" i="7"/>
  <c r="DP57" i="7" s="1"/>
  <c r="CU66" i="7"/>
  <c r="DP58" i="7" s="1"/>
  <c r="CV66" i="7"/>
  <c r="DP59" i="7" s="1"/>
  <c r="CW66" i="7"/>
  <c r="DP60" i="7" s="1"/>
  <c r="CX66" i="7"/>
  <c r="DP61" i="7" s="1"/>
  <c r="CY66" i="7"/>
  <c r="DP62" i="7" s="1"/>
  <c r="DF66" i="7"/>
  <c r="DG66" i="7"/>
  <c r="DH66" i="7"/>
  <c r="DI66" i="7"/>
  <c r="DJ66" i="7"/>
  <c r="DK66" i="7"/>
  <c r="DL66" i="7"/>
  <c r="DM66" i="7"/>
  <c r="DN66" i="7"/>
  <c r="DO66" i="7"/>
  <c r="E32" i="7"/>
  <c r="E29" i="7"/>
  <c r="D17" i="7"/>
  <c r="G66" i="7"/>
  <c r="I66" i="7"/>
  <c r="J66" i="7"/>
  <c r="K66" i="7"/>
  <c r="L66" i="7"/>
  <c r="M66" i="7"/>
  <c r="N66" i="7"/>
  <c r="O66" i="7"/>
  <c r="P66" i="7"/>
  <c r="Q66" i="7"/>
  <c r="R66" i="7"/>
  <c r="S66" i="7"/>
  <c r="H13" i="7"/>
  <c r="AW13" i="7" s="1"/>
  <c r="BC13" i="7" s="1"/>
  <c r="F14" i="7"/>
  <c r="F66" i="7" s="1"/>
  <c r="H15" i="7"/>
  <c r="AW15" i="7" s="1"/>
  <c r="BC15" i="7" s="1"/>
  <c r="D20" i="7"/>
  <c r="AW20" i="7" s="1"/>
  <c r="BC20" i="7" s="1"/>
  <c r="D18" i="7"/>
  <c r="AW18" i="7" s="1"/>
  <c r="BC18" i="7" s="1"/>
  <c r="D19" i="7"/>
  <c r="AW19" i="7" s="1"/>
  <c r="BC19" i="7" s="1"/>
  <c r="D15" i="7"/>
  <c r="CC165" i="7"/>
  <c r="DS40" i="7" s="1"/>
  <c r="CD165" i="7"/>
  <c r="DS41" i="7" s="1"/>
  <c r="CE165" i="7"/>
  <c r="DS42" i="7" s="1"/>
  <c r="CF165" i="7"/>
  <c r="DS43" i="7" s="1"/>
  <c r="CG165" i="7"/>
  <c r="DS44" i="7" s="1"/>
  <c r="CH165" i="7"/>
  <c r="DS45" i="7" s="1"/>
  <c r="CI165" i="7"/>
  <c r="DS46" i="7" s="1"/>
  <c r="CJ165" i="7"/>
  <c r="DS47" i="7" s="1"/>
  <c r="CK165" i="7"/>
  <c r="DS48" i="7" s="1"/>
  <c r="CL165" i="7"/>
  <c r="DS49" i="7" s="1"/>
  <c r="CM165" i="7"/>
  <c r="DS50" i="7" s="1"/>
  <c r="CN165" i="7"/>
  <c r="DS51" i="7" s="1"/>
  <c r="CO165" i="7"/>
  <c r="DS52" i="7" s="1"/>
  <c r="CP165" i="7"/>
  <c r="DS53" i="7" s="1"/>
  <c r="CQ165" i="7"/>
  <c r="DS54" i="7" s="1"/>
  <c r="CC153" i="7"/>
  <c r="DR40" i="7" s="1"/>
  <c r="CD153" i="7"/>
  <c r="DR41" i="7" s="1"/>
  <c r="CE153" i="7"/>
  <c r="DR42" i="7" s="1"/>
  <c r="CF153" i="7"/>
  <c r="DR43" i="7" s="1"/>
  <c r="CG153" i="7"/>
  <c r="DR44" i="7" s="1"/>
  <c r="CH153" i="7"/>
  <c r="CI153" i="7"/>
  <c r="DR46" i="7" s="1"/>
  <c r="CJ153" i="7"/>
  <c r="DR47" i="7" s="1"/>
  <c r="CK153" i="7"/>
  <c r="DR48" i="7" s="1"/>
  <c r="CL153" i="7"/>
  <c r="DR49" i="7" s="1"/>
  <c r="CM153" i="7"/>
  <c r="DR50" i="7" s="1"/>
  <c r="CN153" i="7"/>
  <c r="DR51" i="7" s="1"/>
  <c r="CO153" i="7"/>
  <c r="DR52" i="7" s="1"/>
  <c r="CP153" i="7"/>
  <c r="DR53" i="7" s="1"/>
  <c r="CQ153" i="7"/>
  <c r="DR54" i="7" s="1"/>
  <c r="CR153" i="7"/>
  <c r="DR55" i="7" s="1"/>
  <c r="CC99" i="7"/>
  <c r="DQ40" i="7" s="1"/>
  <c r="CD99" i="7"/>
  <c r="DQ41" i="7" s="1"/>
  <c r="CE99" i="7"/>
  <c r="DQ42" i="7" s="1"/>
  <c r="CF99" i="7"/>
  <c r="DQ43" i="7" s="1"/>
  <c r="CG99" i="7"/>
  <c r="DQ44" i="7" s="1"/>
  <c r="CH99" i="7"/>
  <c r="CI99" i="7"/>
  <c r="DQ46" i="7" s="1"/>
  <c r="CJ99" i="7"/>
  <c r="DQ47" i="7" s="1"/>
  <c r="CK99" i="7"/>
  <c r="DQ48" i="7" s="1"/>
  <c r="CL99" i="7"/>
  <c r="DQ49" i="7" s="1"/>
  <c r="CM99" i="7"/>
  <c r="DQ50" i="7" s="1"/>
  <c r="CN99" i="7"/>
  <c r="DQ51" i="7" s="1"/>
  <c r="CO99" i="7"/>
  <c r="DQ52" i="7" s="1"/>
  <c r="CF9" i="7"/>
  <c r="CF7" i="7"/>
  <c r="DX43" i="7" s="1"/>
  <c r="E451" i="14" s="1"/>
  <c r="CG7" i="7"/>
  <c r="DX44" i="7" s="1"/>
  <c r="CG8" i="7"/>
  <c r="CG9" i="7"/>
  <c r="C553" i="14" l="1"/>
  <c r="H553" i="14" s="1"/>
  <c r="C651" i="14"/>
  <c r="H651" i="14" s="1"/>
  <c r="C452" i="14"/>
  <c r="H452" i="14" s="1"/>
  <c r="C437" i="14"/>
  <c r="H437" i="14" s="1"/>
  <c r="C978" i="14"/>
  <c r="F978" i="14" s="1"/>
  <c r="I978" i="14" s="1"/>
  <c r="C980" i="14"/>
  <c r="F980" i="14" s="1"/>
  <c r="I980" i="14" s="1"/>
  <c r="E417" i="14"/>
  <c r="E619" i="14"/>
  <c r="F619" i="14" s="1"/>
  <c r="E522" i="14"/>
  <c r="F522" i="14" s="1"/>
  <c r="C504" i="14"/>
  <c r="C625" i="14"/>
  <c r="C605" i="14"/>
  <c r="F605" i="14" s="1"/>
  <c r="I605" i="14" s="1"/>
  <c r="F602" i="14"/>
  <c r="H602" i="14"/>
  <c r="I602" i="14" s="1"/>
  <c r="H524" i="14"/>
  <c r="F524" i="14"/>
  <c r="H620" i="14"/>
  <c r="F620" i="14"/>
  <c r="F527" i="14"/>
  <c r="H527" i="14"/>
  <c r="C653" i="14"/>
  <c r="H653" i="14" s="1"/>
  <c r="C353" i="14"/>
  <c r="C458" i="14"/>
  <c r="H458" i="14" s="1"/>
  <c r="C456" i="14"/>
  <c r="H456" i="14" s="1"/>
  <c r="C455" i="14"/>
  <c r="H455" i="14" s="1"/>
  <c r="C454" i="14"/>
  <c r="H454" i="14" s="1"/>
  <c r="C449" i="14"/>
  <c r="H449" i="14" s="1"/>
  <c r="C446" i="14"/>
  <c r="H446" i="14" s="1"/>
  <c r="C436" i="14"/>
  <c r="H436" i="14" s="1"/>
  <c r="C746" i="14"/>
  <c r="C755" i="14"/>
  <c r="AA20" i="8"/>
  <c r="C760" i="14"/>
  <c r="C414" i="14"/>
  <c r="H414" i="14" s="1"/>
  <c r="E616" i="14"/>
  <c r="F616" i="14" s="1"/>
  <c r="E519" i="14"/>
  <c r="F519" i="14" s="1"/>
  <c r="I519" i="14" s="1"/>
  <c r="E414" i="14"/>
  <c r="F414" i="14" s="1"/>
  <c r="C503" i="14"/>
  <c r="C622" i="14"/>
  <c r="C514" i="14"/>
  <c r="F514" i="14" s="1"/>
  <c r="I514" i="14" s="1"/>
  <c r="C598" i="14"/>
  <c r="C511" i="14"/>
  <c r="F511" i="14" s="1"/>
  <c r="I511" i="14" s="1"/>
  <c r="C612" i="14"/>
  <c r="F612" i="14" s="1"/>
  <c r="I612" i="14" s="1"/>
  <c r="C607" i="14"/>
  <c r="F607" i="14" s="1"/>
  <c r="I607" i="14" s="1"/>
  <c r="C601" i="14"/>
  <c r="C604" i="14"/>
  <c r="F604" i="14" s="1"/>
  <c r="I604" i="14" s="1"/>
  <c r="C654" i="14"/>
  <c r="H654" i="14" s="1"/>
  <c r="C440" i="14"/>
  <c r="H440" i="14" s="1"/>
  <c r="C401" i="14"/>
  <c r="C407" i="14"/>
  <c r="C415" i="14"/>
  <c r="H415" i="14" s="1"/>
  <c r="C516" i="14"/>
  <c r="F516" i="14" s="1"/>
  <c r="I516" i="14" s="1"/>
  <c r="C610" i="14"/>
  <c r="F610" i="14" s="1"/>
  <c r="I610" i="14" s="1"/>
  <c r="H623" i="14"/>
  <c r="F623" i="14"/>
  <c r="C535" i="14"/>
  <c r="C534" i="14"/>
  <c r="F530" i="14"/>
  <c r="C531" i="14"/>
  <c r="H530" i="14"/>
  <c r="I530" i="14" s="1"/>
  <c r="F500" i="14"/>
  <c r="H500" i="14"/>
  <c r="F502" i="14"/>
  <c r="H502" i="14"/>
  <c r="H603" i="14"/>
  <c r="F603" i="14"/>
  <c r="C556" i="14"/>
  <c r="H556" i="14" s="1"/>
  <c r="C655" i="14"/>
  <c r="H655" i="14" s="1"/>
  <c r="C652" i="14"/>
  <c r="H652" i="14" s="1"/>
  <c r="C457" i="14"/>
  <c r="H457" i="14" s="1"/>
  <c r="C448" i="14"/>
  <c r="H448" i="14" s="1"/>
  <c r="C445" i="14"/>
  <c r="H445" i="14" s="1"/>
  <c r="C442" i="14"/>
  <c r="H442" i="14" s="1"/>
  <c r="C439" i="14"/>
  <c r="H439" i="14" s="1"/>
  <c r="C435" i="14"/>
  <c r="H435" i="14" s="1"/>
  <c r="C745" i="14"/>
  <c r="AA14" i="8"/>
  <c r="C413" i="14"/>
  <c r="H413" i="14" s="1"/>
  <c r="C417" i="14"/>
  <c r="H417" i="14" s="1"/>
  <c r="C418" i="14"/>
  <c r="E520" i="14"/>
  <c r="F520" i="14" s="1"/>
  <c r="I520" i="14" s="1"/>
  <c r="E415" i="14"/>
  <c r="E617" i="14"/>
  <c r="F617" i="14" s="1"/>
  <c r="I617" i="14" s="1"/>
  <c r="C515" i="14"/>
  <c r="F515" i="14" s="1"/>
  <c r="I515" i="14" s="1"/>
  <c r="C510" i="14"/>
  <c r="F510" i="14" s="1"/>
  <c r="I510" i="14" s="1"/>
  <c r="C509" i="14"/>
  <c r="F509" i="14" s="1"/>
  <c r="I509" i="14" s="1"/>
  <c r="C525" i="14"/>
  <c r="C606" i="14"/>
  <c r="F606" i="14" s="1"/>
  <c r="I606" i="14" s="1"/>
  <c r="C613" i="14"/>
  <c r="F613" i="14" s="1"/>
  <c r="I613" i="14" s="1"/>
  <c r="C529" i="14"/>
  <c r="F597" i="14"/>
  <c r="H597" i="14"/>
  <c r="F621" i="14"/>
  <c r="H621" i="14"/>
  <c r="I621" i="14" s="1"/>
  <c r="H609" i="14"/>
  <c r="F609" i="14"/>
  <c r="H523" i="14"/>
  <c r="F523" i="14"/>
  <c r="F599" i="14"/>
  <c r="H599" i="14"/>
  <c r="C631" i="14"/>
  <c r="C632" i="14"/>
  <c r="H627" i="14"/>
  <c r="F627" i="14"/>
  <c r="C628" i="14"/>
  <c r="I616" i="14"/>
  <c r="I522" i="14"/>
  <c r="F506" i="14"/>
  <c r="H506" i="14"/>
  <c r="H624" i="14"/>
  <c r="F624" i="14"/>
  <c r="H526" i="14"/>
  <c r="F526" i="14"/>
  <c r="H505" i="14"/>
  <c r="F505" i="14"/>
  <c r="C555" i="14"/>
  <c r="H555" i="14" s="1"/>
  <c r="C649" i="14"/>
  <c r="H649" i="14" s="1"/>
  <c r="C450" i="14"/>
  <c r="H450" i="14" s="1"/>
  <c r="C443" i="14"/>
  <c r="H443" i="14" s="1"/>
  <c r="C398" i="14"/>
  <c r="C979" i="14"/>
  <c r="F979" i="14" s="1"/>
  <c r="I979" i="14" s="1"/>
  <c r="E413" i="14"/>
  <c r="E615" i="14"/>
  <c r="F615" i="14" s="1"/>
  <c r="I615" i="14" s="1"/>
  <c r="E518" i="14"/>
  <c r="F518" i="14" s="1"/>
  <c r="I518" i="14" s="1"/>
  <c r="C513" i="14"/>
  <c r="F513" i="14" s="1"/>
  <c r="I513" i="14" s="1"/>
  <c r="C611" i="14"/>
  <c r="F611" i="14" s="1"/>
  <c r="I611" i="14" s="1"/>
  <c r="H512" i="14"/>
  <c r="F512" i="14"/>
  <c r="I619" i="14"/>
  <c r="C453" i="14"/>
  <c r="H453" i="14" s="1"/>
  <c r="C451" i="14"/>
  <c r="H451" i="14" s="1"/>
  <c r="C444" i="14"/>
  <c r="H444" i="14" s="1"/>
  <c r="C441" i="14"/>
  <c r="H441" i="14" s="1"/>
  <c r="C438" i="14"/>
  <c r="H438" i="14" s="1"/>
  <c r="C434" i="14"/>
  <c r="H434" i="14" s="1"/>
  <c r="C397" i="14"/>
  <c r="C400" i="14"/>
  <c r="AA15" i="8"/>
  <c r="C416" i="14"/>
  <c r="H416" i="14" s="1"/>
  <c r="C419" i="14"/>
  <c r="E416" i="14"/>
  <c r="E618" i="14"/>
  <c r="F618" i="14" s="1"/>
  <c r="I618" i="14" s="1"/>
  <c r="E521" i="14"/>
  <c r="F521" i="14" s="1"/>
  <c r="I521" i="14" s="1"/>
  <c r="C600" i="14"/>
  <c r="C508" i="14"/>
  <c r="F508" i="14" s="1"/>
  <c r="I508" i="14" s="1"/>
  <c r="C517" i="14"/>
  <c r="F517" i="14" s="1"/>
  <c r="I517" i="14" s="1"/>
  <c r="C501" i="14"/>
  <c r="C626" i="14"/>
  <c r="C507" i="14"/>
  <c r="F507" i="14" s="1"/>
  <c r="I507" i="14" s="1"/>
  <c r="C614" i="14"/>
  <c r="F614" i="14" s="1"/>
  <c r="I614" i="14" s="1"/>
  <c r="C608" i="14"/>
  <c r="F608" i="14" s="1"/>
  <c r="I608" i="14" s="1"/>
  <c r="C528" i="14"/>
  <c r="I387" i="14"/>
  <c r="E649" i="14"/>
  <c r="F649" i="14" s="1"/>
  <c r="I649" i="14" s="1"/>
  <c r="E553" i="14"/>
  <c r="F553" i="14" s="1"/>
  <c r="I553" i="14" s="1"/>
  <c r="H353" i="14"/>
  <c r="F353" i="14"/>
  <c r="AA22" i="8"/>
  <c r="AA24" i="8"/>
  <c r="AA23" i="8"/>
  <c r="AA21" i="8"/>
  <c r="AA32" i="8"/>
  <c r="DU46" i="7"/>
  <c r="DU42" i="7"/>
  <c r="DU40" i="7"/>
  <c r="DX32" i="7"/>
  <c r="E646" i="14" s="1"/>
  <c r="AT72" i="7"/>
  <c r="AT105" i="7"/>
  <c r="DU48" i="7"/>
  <c r="DU44" i="7"/>
  <c r="DU50" i="7"/>
  <c r="DU52" i="7"/>
  <c r="DP65" i="7"/>
  <c r="DU51" i="7"/>
  <c r="DU47" i="7"/>
  <c r="DU43" i="7"/>
  <c r="H66" i="7"/>
  <c r="DP35" i="7"/>
  <c r="DU45" i="7"/>
  <c r="AW17" i="7"/>
  <c r="BC17" i="7" s="1"/>
  <c r="DU41" i="7"/>
  <c r="DU49" i="7"/>
  <c r="CG173" i="7"/>
  <c r="CG539" i="7" s="1"/>
  <c r="CH173" i="7"/>
  <c r="O59" i="8"/>
  <c r="O58" i="8"/>
  <c r="O54" i="8"/>
  <c r="O56" i="8"/>
  <c r="O60" i="8"/>
  <c r="O57" i="8"/>
  <c r="H36" i="8"/>
  <c r="O23" i="8"/>
  <c r="O20" i="8"/>
  <c r="O22" i="8"/>
  <c r="H17" i="8"/>
  <c r="H15" i="8"/>
  <c r="O18" i="8"/>
  <c r="H22" i="8"/>
  <c r="G32" i="8"/>
  <c r="H32" i="8" s="1"/>
  <c r="O21" i="8"/>
  <c r="H16" i="8"/>
  <c r="H21" i="8"/>
  <c r="H23" i="8"/>
  <c r="O24" i="8"/>
  <c r="H14" i="8"/>
  <c r="H24" i="8"/>
  <c r="H18" i="8"/>
  <c r="H20" i="8"/>
  <c r="BK9" i="7"/>
  <c r="BK7" i="7"/>
  <c r="DX21" i="7" s="1"/>
  <c r="CC173" i="7"/>
  <c r="CC539" i="7" s="1"/>
  <c r="CS153" i="7"/>
  <c r="CT153" i="7"/>
  <c r="DR57" i="7" s="1"/>
  <c r="CU153" i="7"/>
  <c r="DR58" i="7" s="1"/>
  <c r="CV153" i="7"/>
  <c r="DR59" i="7" s="1"/>
  <c r="CW153" i="7"/>
  <c r="DR60" i="7" s="1"/>
  <c r="CR165" i="7"/>
  <c r="DS55" i="7" s="1"/>
  <c r="CS165" i="7"/>
  <c r="DS56" i="7" s="1"/>
  <c r="CT165" i="7"/>
  <c r="DS57" i="7" s="1"/>
  <c r="CU165" i="7"/>
  <c r="DS58" i="7" s="1"/>
  <c r="CV165" i="7"/>
  <c r="DS59" i="7" s="1"/>
  <c r="CW165" i="7"/>
  <c r="DS60" i="7" s="1"/>
  <c r="CX165" i="7"/>
  <c r="DS61" i="7" s="1"/>
  <c r="CY165" i="7"/>
  <c r="DS62" i="7" s="1"/>
  <c r="CQ99" i="7"/>
  <c r="CR99" i="7"/>
  <c r="DQ55" i="7" s="1"/>
  <c r="BN289" i="7"/>
  <c r="BN255" i="7"/>
  <c r="BN224" i="7"/>
  <c r="BN209" i="7"/>
  <c r="BN165" i="7"/>
  <c r="DS24" i="7" s="1"/>
  <c r="BN153" i="7"/>
  <c r="DR24" i="7" s="1"/>
  <c r="BN99" i="7"/>
  <c r="DQ24" i="7" s="1"/>
  <c r="BN9" i="7"/>
  <c r="BN7" i="7"/>
  <c r="DX24" i="7" s="1"/>
  <c r="I623" i="14" l="1"/>
  <c r="F413" i="14"/>
  <c r="F415" i="14"/>
  <c r="I599" i="14"/>
  <c r="I597" i="14"/>
  <c r="C410" i="14"/>
  <c r="F410" i="14" s="1"/>
  <c r="I410" i="14" s="1"/>
  <c r="C994" i="14"/>
  <c r="C657" i="14"/>
  <c r="H657" i="14" s="1"/>
  <c r="C409" i="14"/>
  <c r="F409" i="14" s="1"/>
  <c r="I409" i="14" s="1"/>
  <c r="I416" i="14"/>
  <c r="F504" i="14"/>
  <c r="H504" i="14"/>
  <c r="C402" i="14"/>
  <c r="F402" i="14" s="1"/>
  <c r="I402" i="14" s="1"/>
  <c r="C754" i="14"/>
  <c r="C983" i="14"/>
  <c r="F983" i="14" s="1"/>
  <c r="I983" i="14" s="1"/>
  <c r="F397" i="14"/>
  <c r="H397" i="14"/>
  <c r="I512" i="14"/>
  <c r="I609" i="14"/>
  <c r="F401" i="14"/>
  <c r="H401" i="14"/>
  <c r="H601" i="14"/>
  <c r="I601" i="14" s="1"/>
  <c r="F601" i="14"/>
  <c r="H598" i="14"/>
  <c r="F598" i="14"/>
  <c r="C640" i="14"/>
  <c r="C408" i="14"/>
  <c r="F408" i="14" s="1"/>
  <c r="I408" i="14" s="1"/>
  <c r="C759" i="14"/>
  <c r="C757" i="14"/>
  <c r="C403" i="14"/>
  <c r="F403" i="14" s="1"/>
  <c r="I403" i="14" s="1"/>
  <c r="C758" i="14"/>
  <c r="C985" i="14"/>
  <c r="F985" i="14" s="1"/>
  <c r="I985" i="14" s="1"/>
  <c r="F528" i="14"/>
  <c r="H528" i="14"/>
  <c r="H626" i="14"/>
  <c r="F626" i="14"/>
  <c r="F600" i="14"/>
  <c r="H600" i="14"/>
  <c r="F416" i="14"/>
  <c r="F419" i="14"/>
  <c r="H419" i="14"/>
  <c r="C977" i="14"/>
  <c r="F977" i="14" s="1"/>
  <c r="I977" i="14" s="1"/>
  <c r="F398" i="14"/>
  <c r="H398" i="14"/>
  <c r="I624" i="14"/>
  <c r="H632" i="14"/>
  <c r="F632" i="14"/>
  <c r="H529" i="14"/>
  <c r="F529" i="14"/>
  <c r="F418" i="14"/>
  <c r="H418" i="14"/>
  <c r="I413" i="14"/>
  <c r="F531" i="14"/>
  <c r="C532" i="14"/>
  <c r="H531" i="14"/>
  <c r="I531" i="14" s="1"/>
  <c r="H746" i="14"/>
  <c r="F746" i="14"/>
  <c r="I620" i="14"/>
  <c r="F625" i="14"/>
  <c r="H625" i="14"/>
  <c r="C412" i="14"/>
  <c r="F412" i="14" s="1"/>
  <c r="I412" i="14" s="1"/>
  <c r="C984" i="14"/>
  <c r="F984" i="14" s="1"/>
  <c r="I984" i="14" s="1"/>
  <c r="H501" i="14"/>
  <c r="F501" i="14"/>
  <c r="F525" i="14"/>
  <c r="H525" i="14"/>
  <c r="C976" i="14"/>
  <c r="F976" i="14" s="1"/>
  <c r="I976" i="14" s="1"/>
  <c r="F534" i="14"/>
  <c r="H534" i="14"/>
  <c r="H755" i="14"/>
  <c r="F755" i="14"/>
  <c r="F417" i="14"/>
  <c r="I417" i="14" s="1"/>
  <c r="C544" i="14"/>
  <c r="H544" i="14" s="1"/>
  <c r="C680" i="14"/>
  <c r="H680" i="14" s="1"/>
  <c r="C404" i="14"/>
  <c r="F404" i="14" s="1"/>
  <c r="I404" i="14" s="1"/>
  <c r="C756" i="14"/>
  <c r="C354" i="14"/>
  <c r="I505" i="14"/>
  <c r="I627" i="14"/>
  <c r="F745" i="14"/>
  <c r="H745" i="14"/>
  <c r="F451" i="14"/>
  <c r="I451" i="14" s="1"/>
  <c r="I502" i="14"/>
  <c r="H535" i="14"/>
  <c r="F535" i="14"/>
  <c r="I535" i="14" s="1"/>
  <c r="I415" i="14"/>
  <c r="F622" i="14"/>
  <c r="H622" i="14"/>
  <c r="C765" i="14"/>
  <c r="C761" i="14"/>
  <c r="C764" i="14"/>
  <c r="F760" i="14"/>
  <c r="H760" i="14"/>
  <c r="I524" i="14"/>
  <c r="C659" i="14"/>
  <c r="H659" i="14" s="1"/>
  <c r="C658" i="14"/>
  <c r="H658" i="14" s="1"/>
  <c r="C406" i="14"/>
  <c r="F406" i="14" s="1"/>
  <c r="I406" i="14" s="1"/>
  <c r="C411" i="14"/>
  <c r="F411" i="14" s="1"/>
  <c r="I411" i="14" s="1"/>
  <c r="C420" i="14"/>
  <c r="C405" i="14"/>
  <c r="F405" i="14" s="1"/>
  <c r="I405" i="14" s="1"/>
  <c r="C986" i="14"/>
  <c r="F986" i="14" s="1"/>
  <c r="I986" i="14" s="1"/>
  <c r="F400" i="14"/>
  <c r="H400" i="14"/>
  <c r="I400" i="14" s="1"/>
  <c r="I526" i="14"/>
  <c r="I506" i="14"/>
  <c r="H628" i="14"/>
  <c r="F628" i="14"/>
  <c r="I628" i="14" s="1"/>
  <c r="C629" i="14"/>
  <c r="H631" i="14"/>
  <c r="F631" i="14"/>
  <c r="I523" i="14"/>
  <c r="I603" i="14"/>
  <c r="I500" i="14"/>
  <c r="H407" i="14"/>
  <c r="F407" i="14"/>
  <c r="F503" i="14"/>
  <c r="H503" i="14"/>
  <c r="I414" i="14"/>
  <c r="C982" i="14"/>
  <c r="F982" i="14" s="1"/>
  <c r="I982" i="14" s="1"/>
  <c r="I527" i="14"/>
  <c r="E677" i="14"/>
  <c r="E440" i="14"/>
  <c r="F440" i="14" s="1"/>
  <c r="I440" i="14" s="1"/>
  <c r="E640" i="14"/>
  <c r="F640" i="14" s="1"/>
  <c r="E544" i="14"/>
  <c r="F544" i="14" s="1"/>
  <c r="I544" i="14" s="1"/>
  <c r="H354" i="14"/>
  <c r="F354" i="14"/>
  <c r="I353" i="14"/>
  <c r="H640" i="14"/>
  <c r="DU55" i="7"/>
  <c r="AQ25" i="7"/>
  <c r="AQ26" i="7"/>
  <c r="AQ160" i="7"/>
  <c r="U26" i="7"/>
  <c r="AD25" i="7"/>
  <c r="U25" i="7"/>
  <c r="U160" i="7"/>
  <c r="AD160" i="7" s="1"/>
  <c r="AZ160" i="7" s="1"/>
  <c r="AC160" i="7"/>
  <c r="BA160" i="7" s="1"/>
  <c r="DR56" i="7"/>
  <c r="BN227" i="7"/>
  <c r="DU24" i="7"/>
  <c r="CQ173" i="7"/>
  <c r="CQ539" i="7" s="1"/>
  <c r="DQ54" i="7"/>
  <c r="CR173" i="7"/>
  <c r="CR539" i="7" s="1"/>
  <c r="CM173" i="7"/>
  <c r="CM539" i="7" s="1"/>
  <c r="CI173" i="7"/>
  <c r="CI539" i="7" s="1"/>
  <c r="BN292" i="7"/>
  <c r="CK173" i="7"/>
  <c r="CK539" i="7" s="1"/>
  <c r="BN173" i="7"/>
  <c r="BN539" i="7" l="1"/>
  <c r="I746" i="14"/>
  <c r="I745" i="14"/>
  <c r="I504" i="14"/>
  <c r="I398" i="14"/>
  <c r="I503" i="14"/>
  <c r="I397" i="14"/>
  <c r="F629" i="14"/>
  <c r="H629" i="14"/>
  <c r="C630" i="14"/>
  <c r="F420" i="14"/>
  <c r="H420" i="14"/>
  <c r="F761" i="14"/>
  <c r="C762" i="14"/>
  <c r="H761" i="14"/>
  <c r="I761" i="14" s="1"/>
  <c r="H532" i="14"/>
  <c r="C533" i="14"/>
  <c r="F532" i="14"/>
  <c r="I529" i="14"/>
  <c r="I626" i="14"/>
  <c r="I598" i="14"/>
  <c r="H758" i="14"/>
  <c r="F758" i="14"/>
  <c r="H757" i="14"/>
  <c r="F757" i="14"/>
  <c r="F994" i="14"/>
  <c r="H994" i="14"/>
  <c r="I994" i="14" s="1"/>
  <c r="C557" i="14"/>
  <c r="H557" i="14" s="1"/>
  <c r="C656" i="14"/>
  <c r="H656" i="14" s="1"/>
  <c r="I407" i="14"/>
  <c r="I631" i="14"/>
  <c r="I760" i="14"/>
  <c r="H765" i="14"/>
  <c r="F765" i="14"/>
  <c r="H756" i="14"/>
  <c r="F756" i="14"/>
  <c r="I755" i="14"/>
  <c r="I501" i="14"/>
  <c r="I418" i="14"/>
  <c r="I632" i="14"/>
  <c r="I600" i="14"/>
  <c r="I528" i="14"/>
  <c r="F759" i="14"/>
  <c r="H759" i="14"/>
  <c r="F764" i="14"/>
  <c r="H764" i="14"/>
  <c r="I764" i="14" s="1"/>
  <c r="I622" i="14"/>
  <c r="I534" i="14"/>
  <c r="I525" i="14"/>
  <c r="I625" i="14"/>
  <c r="I419" i="14"/>
  <c r="I401" i="14"/>
  <c r="H754" i="14"/>
  <c r="F754" i="14"/>
  <c r="I640" i="14"/>
  <c r="I354" i="14"/>
  <c r="DU54" i="7"/>
  <c r="I754" i="14" l="1"/>
  <c r="I532" i="14"/>
  <c r="I629" i="14"/>
  <c r="I759" i="14"/>
  <c r="I756" i="14"/>
  <c r="C763" i="14"/>
  <c r="F762" i="14"/>
  <c r="H762" i="14"/>
  <c r="I765" i="14"/>
  <c r="I758" i="14"/>
  <c r="H630" i="14"/>
  <c r="I630" i="14" s="1"/>
  <c r="F630" i="14"/>
  <c r="E633" i="14" s="1"/>
  <c r="F633" i="14" s="1"/>
  <c r="I633" i="14" s="1"/>
  <c r="I757" i="14"/>
  <c r="F533" i="14"/>
  <c r="E536" i="14" s="1"/>
  <c r="F536" i="14" s="1"/>
  <c r="I536" i="14" s="1"/>
  <c r="H533" i="14"/>
  <c r="I533" i="14" s="1"/>
  <c r="I420" i="14"/>
  <c r="F763" i="14" l="1"/>
  <c r="H763" i="14"/>
  <c r="I762" i="14"/>
  <c r="CY9" i="7"/>
  <c r="CY8" i="7"/>
  <c r="CY7" i="7"/>
  <c r="DX62" i="7" s="1"/>
  <c r="E660" i="14" s="1"/>
  <c r="CX9" i="7"/>
  <c r="CX8" i="7"/>
  <c r="CX7" i="7"/>
  <c r="DX61" i="7" s="1"/>
  <c r="E458" i="14" s="1"/>
  <c r="F458" i="14" s="1"/>
  <c r="I458" i="14" s="1"/>
  <c r="CW9" i="7"/>
  <c r="CW8" i="7"/>
  <c r="CW7" i="7"/>
  <c r="DX60" i="7" s="1"/>
  <c r="CV8" i="7"/>
  <c r="CV7" i="7"/>
  <c r="CU8" i="7"/>
  <c r="AT107" i="7" s="1"/>
  <c r="CU7" i="7"/>
  <c r="DX58" i="7" s="1"/>
  <c r="E657" i="14" s="1"/>
  <c r="F657" i="14" s="1"/>
  <c r="I657" i="14" s="1"/>
  <c r="CT9" i="7"/>
  <c r="CT8" i="7"/>
  <c r="CT7" i="7"/>
  <c r="DX57" i="7" s="1"/>
  <c r="E456" i="14" s="1"/>
  <c r="F456" i="14" s="1"/>
  <c r="I456" i="14" s="1"/>
  <c r="CQ8" i="7"/>
  <c r="CS9" i="7"/>
  <c r="CS8" i="7"/>
  <c r="CS7" i="7"/>
  <c r="DX56" i="7" s="1"/>
  <c r="E656" i="14" s="1"/>
  <c r="F656" i="14" s="1"/>
  <c r="I656" i="14" s="1"/>
  <c r="CR9" i="7"/>
  <c r="CR7" i="7"/>
  <c r="DX55" i="7" s="1"/>
  <c r="E680" i="14" s="1"/>
  <c r="F680" i="14" s="1"/>
  <c r="I680" i="14" s="1"/>
  <c r="CR8" i="7"/>
  <c r="AT158" i="7" s="1"/>
  <c r="CP9" i="7"/>
  <c r="CQ7" i="7"/>
  <c r="DX54" i="7" s="1"/>
  <c r="CQ9" i="7"/>
  <c r="CP8" i="7"/>
  <c r="AT43" i="7" s="1"/>
  <c r="CP7" i="7"/>
  <c r="DX53" i="7" s="1"/>
  <c r="E455" i="14" s="1"/>
  <c r="F455" i="14" s="1"/>
  <c r="I455" i="14" s="1"/>
  <c r="CO9" i="7"/>
  <c r="CO8" i="7"/>
  <c r="CO7" i="7"/>
  <c r="DX52" i="7" s="1"/>
  <c r="E654" i="14" s="1"/>
  <c r="F654" i="14" s="1"/>
  <c r="I654" i="14" s="1"/>
  <c r="CN9" i="7"/>
  <c r="AC127" i="7" s="1"/>
  <c r="CN8" i="7"/>
  <c r="CN7" i="7"/>
  <c r="DX51" i="7" s="1"/>
  <c r="E653" i="14" s="1"/>
  <c r="F653" i="14" s="1"/>
  <c r="I653" i="14" s="1"/>
  <c r="CM9" i="7"/>
  <c r="CM7" i="7"/>
  <c r="DX50" i="7" s="1"/>
  <c r="CM8" i="7"/>
  <c r="CL9" i="7"/>
  <c r="CL7" i="7"/>
  <c r="CK9" i="7"/>
  <c r="CK7" i="7"/>
  <c r="DX48" i="7" s="1"/>
  <c r="CK8" i="7"/>
  <c r="CJ9" i="7"/>
  <c r="CJ7" i="7"/>
  <c r="DX47" i="7" s="1"/>
  <c r="E453" i="14" s="1"/>
  <c r="F453" i="14" s="1"/>
  <c r="I453" i="14" s="1"/>
  <c r="CI9" i="7"/>
  <c r="CI7" i="7"/>
  <c r="DX46" i="7" s="1"/>
  <c r="E452" i="14" s="1"/>
  <c r="F452" i="14" s="1"/>
  <c r="I452" i="14" s="1"/>
  <c r="CI8" i="7"/>
  <c r="CH9" i="7"/>
  <c r="CH8" i="7"/>
  <c r="AT71" i="7" s="1"/>
  <c r="CH7" i="7"/>
  <c r="DX45" i="7" s="1"/>
  <c r="CE9" i="7"/>
  <c r="CD9" i="7"/>
  <c r="CC9" i="7"/>
  <c r="CF8" i="7"/>
  <c r="AT23" i="7" s="1"/>
  <c r="CE8" i="7"/>
  <c r="CD8" i="7"/>
  <c r="CC8" i="7"/>
  <c r="CE7" i="7"/>
  <c r="DX42" i="7" s="1"/>
  <c r="E450" i="14" s="1"/>
  <c r="F450" i="14" s="1"/>
  <c r="I450" i="14" s="1"/>
  <c r="CD7" i="7"/>
  <c r="DX41" i="7" s="1"/>
  <c r="E449" i="14" s="1"/>
  <c r="F449" i="14" s="1"/>
  <c r="I449" i="14" s="1"/>
  <c r="CC7" i="7"/>
  <c r="DX40" i="7" s="1"/>
  <c r="E448" i="14" s="1"/>
  <c r="F448" i="14" s="1"/>
  <c r="I448" i="14" s="1"/>
  <c r="I763" i="14" l="1"/>
  <c r="E652" i="14"/>
  <c r="F652" i="14" s="1"/>
  <c r="I652" i="14" s="1"/>
  <c r="E556" i="14"/>
  <c r="F556" i="14" s="1"/>
  <c r="I556" i="14" s="1"/>
  <c r="E650" i="14"/>
  <c r="F650" i="14" s="1"/>
  <c r="I650" i="14" s="1"/>
  <c r="E554" i="14"/>
  <c r="F554" i="14" s="1"/>
  <c r="I554" i="14" s="1"/>
  <c r="E555" i="14"/>
  <c r="F555" i="14" s="1"/>
  <c r="I555" i="14" s="1"/>
  <c r="E651" i="14"/>
  <c r="F651" i="14" s="1"/>
  <c r="I651" i="14" s="1"/>
  <c r="E557" i="14"/>
  <c r="F557" i="14" s="1"/>
  <c r="I557" i="14" s="1"/>
  <c r="E655" i="14"/>
  <c r="F655" i="14" s="1"/>
  <c r="I655" i="14" s="1"/>
  <c r="E457" i="14"/>
  <c r="F457" i="14" s="1"/>
  <c r="I457" i="14" s="1"/>
  <c r="E659" i="14"/>
  <c r="F659" i="14" s="1"/>
  <c r="I659" i="14" s="1"/>
  <c r="AT126" i="7"/>
  <c r="AT120" i="7"/>
  <c r="AT134" i="7"/>
  <c r="AT128" i="7"/>
  <c r="AT24" i="7"/>
  <c r="AT21" i="7"/>
  <c r="AT20" i="7"/>
  <c r="AT142" i="7"/>
  <c r="AT93" i="7"/>
  <c r="AT136" i="7"/>
  <c r="AT86" i="7"/>
  <c r="AT137" i="7"/>
  <c r="AT87" i="7"/>
  <c r="AT141" i="7"/>
  <c r="AT91" i="7"/>
  <c r="AT127" i="7"/>
  <c r="AT133" i="7"/>
  <c r="AT125" i="7"/>
  <c r="DX49" i="7"/>
  <c r="E454" i="14" s="1"/>
  <c r="F454" i="14" s="1"/>
  <c r="I454" i="14" s="1"/>
  <c r="AC142" i="7"/>
  <c r="AC93" i="7"/>
  <c r="AT132" i="7"/>
  <c r="AT130" i="7"/>
  <c r="AT124" i="7"/>
  <c r="AT122" i="7"/>
  <c r="CB7" i="7" l="1"/>
  <c r="BJ289" i="7"/>
  <c r="BK289" i="7"/>
  <c r="DR255" i="7" s="1"/>
  <c r="BL289" i="7"/>
  <c r="DR256" i="7" s="1"/>
  <c r="BM289" i="7"/>
  <c r="BO289" i="7"/>
  <c r="BP289" i="7"/>
  <c r="BQ289" i="7"/>
  <c r="BR289" i="7"/>
  <c r="BS289" i="7"/>
  <c r="BT289" i="7"/>
  <c r="BU289" i="7"/>
  <c r="BV289" i="7"/>
  <c r="BW289" i="7"/>
  <c r="BX289" i="7"/>
  <c r="BY289" i="7"/>
  <c r="BZ289" i="7"/>
  <c r="CA289" i="7"/>
  <c r="CB289" i="7"/>
  <c r="DQ255" i="7"/>
  <c r="DQ256" i="7"/>
  <c r="BJ255" i="7"/>
  <c r="BK255" i="7"/>
  <c r="DP255" i="7" s="1"/>
  <c r="BL255" i="7"/>
  <c r="DP256" i="7" s="1"/>
  <c r="BM255" i="7"/>
  <c r="BO255" i="7"/>
  <c r="BP255" i="7"/>
  <c r="BQ255" i="7"/>
  <c r="BR255" i="7"/>
  <c r="BS255" i="7"/>
  <c r="BT255" i="7"/>
  <c r="BU255" i="7"/>
  <c r="BV255" i="7"/>
  <c r="BW255" i="7"/>
  <c r="BX255" i="7"/>
  <c r="BY255" i="7"/>
  <c r="BZ255" i="7"/>
  <c r="CA255" i="7"/>
  <c r="CB255" i="7"/>
  <c r="BJ224" i="7"/>
  <c r="BK224" i="7"/>
  <c r="BL224" i="7"/>
  <c r="BM224" i="7"/>
  <c r="BO224" i="7"/>
  <c r="BP224" i="7"/>
  <c r="BQ224" i="7"/>
  <c r="BR224" i="7"/>
  <c r="BS224" i="7"/>
  <c r="BT224" i="7"/>
  <c r="BU224" i="7"/>
  <c r="BV224" i="7"/>
  <c r="BW224" i="7"/>
  <c r="BX224" i="7"/>
  <c r="BY224" i="7"/>
  <c r="BZ224" i="7"/>
  <c r="CA224" i="7"/>
  <c r="CB224" i="7"/>
  <c r="BJ209" i="7"/>
  <c r="BK209" i="7"/>
  <c r="BL209" i="7"/>
  <c r="BM209" i="7"/>
  <c r="BO209" i="7"/>
  <c r="BP209" i="7"/>
  <c r="BQ209" i="7"/>
  <c r="BR209" i="7"/>
  <c r="BS209" i="7"/>
  <c r="BT209" i="7"/>
  <c r="BU209" i="7"/>
  <c r="BV209" i="7"/>
  <c r="BW209" i="7"/>
  <c r="BX209" i="7"/>
  <c r="BY209" i="7"/>
  <c r="BZ209" i="7"/>
  <c r="CA209" i="7"/>
  <c r="CB209" i="7"/>
  <c r="BJ165" i="7"/>
  <c r="DS20" i="7" s="1"/>
  <c r="BK165" i="7"/>
  <c r="DS21" i="7" s="1"/>
  <c r="BL165" i="7"/>
  <c r="DS22" i="7" s="1"/>
  <c r="BM165" i="7"/>
  <c r="DS23" i="7" s="1"/>
  <c r="BO165" i="7"/>
  <c r="DS25" i="7" s="1"/>
  <c r="BP165" i="7"/>
  <c r="DS26" i="7" s="1"/>
  <c r="BQ165" i="7"/>
  <c r="DS27" i="7" s="1"/>
  <c r="BR165" i="7"/>
  <c r="DS28" i="7" s="1"/>
  <c r="BS165" i="7"/>
  <c r="DS29" i="7" s="1"/>
  <c r="BT165" i="7"/>
  <c r="BU165" i="7"/>
  <c r="BV165" i="7"/>
  <c r="DS32" i="7" s="1"/>
  <c r="BW165" i="7"/>
  <c r="BX165" i="7"/>
  <c r="BY165" i="7"/>
  <c r="BZ165" i="7"/>
  <c r="CA165" i="7"/>
  <c r="CB165" i="7"/>
  <c r="DS39" i="7" s="1"/>
  <c r="BJ153" i="7"/>
  <c r="DR20" i="7" s="1"/>
  <c r="BK153" i="7"/>
  <c r="DR21" i="7" s="1"/>
  <c r="BL153" i="7"/>
  <c r="DR22" i="7" s="1"/>
  <c r="BM153" i="7"/>
  <c r="DR23" i="7" s="1"/>
  <c r="BO153" i="7"/>
  <c r="DR25" i="7" s="1"/>
  <c r="BP153" i="7"/>
  <c r="DR26" i="7" s="1"/>
  <c r="BQ153" i="7"/>
  <c r="DR27" i="7" s="1"/>
  <c r="BR153" i="7"/>
  <c r="DR28" i="7" s="1"/>
  <c r="BS153" i="7"/>
  <c r="DR29" i="7" s="1"/>
  <c r="BT153" i="7"/>
  <c r="DR30" i="7" s="1"/>
  <c r="BU153" i="7"/>
  <c r="DR31" i="7" s="1"/>
  <c r="BV153" i="7"/>
  <c r="DR32" i="7" s="1"/>
  <c r="BW153" i="7"/>
  <c r="BX153" i="7"/>
  <c r="BY153" i="7"/>
  <c r="BZ153" i="7"/>
  <c r="CA153" i="7"/>
  <c r="CB153" i="7"/>
  <c r="DR39" i="7" s="1"/>
  <c r="BJ99" i="7"/>
  <c r="DQ20" i="7" s="1"/>
  <c r="CA99" i="7"/>
  <c r="BU99" i="7"/>
  <c r="DQ31" i="7" s="1"/>
  <c r="BT9" i="7"/>
  <c r="BT7" i="7"/>
  <c r="BS9" i="7"/>
  <c r="BS7" i="7"/>
  <c r="BR7" i="7"/>
  <c r="BQ9" i="7"/>
  <c r="BQ7" i="7"/>
  <c r="BP9" i="7"/>
  <c r="BP7" i="7"/>
  <c r="BO9" i="7"/>
  <c r="BO7" i="7"/>
  <c r="BM9" i="7"/>
  <c r="BM7" i="7"/>
  <c r="BL9" i="7"/>
  <c r="BL7" i="7"/>
  <c r="DX22" i="7" s="1"/>
  <c r="E441" i="14" s="1"/>
  <c r="F441" i="14" s="1"/>
  <c r="I441" i="14" s="1"/>
  <c r="BJ9" i="7"/>
  <c r="BJ7" i="7"/>
  <c r="BI7" i="7"/>
  <c r="BH9" i="7"/>
  <c r="BH7" i="7"/>
  <c r="BG9" i="7"/>
  <c r="BI9" i="7"/>
  <c r="BG7" i="7"/>
  <c r="BF7" i="7"/>
  <c r="BF9" i="7"/>
  <c r="BE9" i="7"/>
  <c r="AQ21" i="7" s="1"/>
  <c r="BE7" i="7"/>
  <c r="BD9" i="7"/>
  <c r="BD7" i="7"/>
  <c r="CX99" i="7"/>
  <c r="DQ61" i="7" s="1"/>
  <c r="CY99" i="7"/>
  <c r="DQ62" i="7" s="1"/>
  <c r="CX153" i="7"/>
  <c r="DR61" i="7" s="1"/>
  <c r="CY153" i="7"/>
  <c r="DR62" i="7" s="1"/>
  <c r="CX209" i="7"/>
  <c r="CY209" i="7"/>
  <c r="CX224" i="7"/>
  <c r="CY224" i="7"/>
  <c r="CX255" i="7"/>
  <c r="CY255" i="7"/>
  <c r="CX289" i="7"/>
  <c r="CY289" i="7"/>
  <c r="CE503" i="7"/>
  <c r="AQ509" i="7" s="1"/>
  <c r="AQ516" i="7" s="1"/>
  <c r="CW302" i="7"/>
  <c r="CV302" i="7"/>
  <c r="CU302" i="7"/>
  <c r="AQ374" i="7" s="1"/>
  <c r="CL302" i="7"/>
  <c r="CF302" i="7"/>
  <c r="BZ302" i="7"/>
  <c r="AQ375" i="7" s="1"/>
  <c r="BT302" i="7"/>
  <c r="CN301" i="7"/>
  <c r="CJ301" i="7"/>
  <c r="BM301" i="7"/>
  <c r="AT327" i="7" s="1"/>
  <c r="CF184" i="7"/>
  <c r="CE184" i="7"/>
  <c r="CF183" i="7"/>
  <c r="CE183" i="7"/>
  <c r="CF182" i="7"/>
  <c r="CE182" i="7"/>
  <c r="BY99" i="7"/>
  <c r="BZ99" i="7"/>
  <c r="C1339" i="14" l="1"/>
  <c r="H1339" i="14" s="1"/>
  <c r="C660" i="14"/>
  <c r="C648" i="14"/>
  <c r="H648" i="14" s="1"/>
  <c r="C642" i="14"/>
  <c r="C832" i="14"/>
  <c r="C645" i="14"/>
  <c r="H645" i="14" s="1"/>
  <c r="C641" i="14"/>
  <c r="C639" i="14"/>
  <c r="H639" i="14" s="1"/>
  <c r="C646" i="14"/>
  <c r="H646" i="14" s="1"/>
  <c r="C644" i="14"/>
  <c r="H644" i="14" s="1"/>
  <c r="C677" i="14"/>
  <c r="C543" i="14"/>
  <c r="H543" i="14" s="1"/>
  <c r="C643" i="14"/>
  <c r="H643" i="14" s="1"/>
  <c r="C678" i="14"/>
  <c r="AQ450" i="7"/>
  <c r="AQ402" i="7"/>
  <c r="H660" i="14"/>
  <c r="F660" i="14"/>
  <c r="AQ420" i="7"/>
  <c r="AQ378" i="7"/>
  <c r="AQ321" i="7"/>
  <c r="AQ370" i="7" s="1"/>
  <c r="AQ419" i="7"/>
  <c r="AQ377" i="7"/>
  <c r="AT312" i="7"/>
  <c r="AT311" i="7"/>
  <c r="AT310" i="7"/>
  <c r="AT322" i="7"/>
  <c r="AQ428" i="7"/>
  <c r="AQ431" i="7" s="1"/>
  <c r="AQ427" i="7"/>
  <c r="AQ430" i="7" s="1"/>
  <c r="AQ426" i="7"/>
  <c r="AQ429" i="7" s="1"/>
  <c r="AQ444" i="7"/>
  <c r="AQ425" i="7"/>
  <c r="F646" i="14"/>
  <c r="F1339" i="14"/>
  <c r="F1360" i="14" s="1"/>
  <c r="H678" i="14"/>
  <c r="H642" i="14"/>
  <c r="F832" i="14"/>
  <c r="H832" i="14"/>
  <c r="H641" i="14"/>
  <c r="H677" i="14"/>
  <c r="F677" i="14"/>
  <c r="AQ534" i="7"/>
  <c r="DU255" i="7"/>
  <c r="DX14" i="7"/>
  <c r="E434" i="14" s="1"/>
  <c r="F434" i="14" s="1"/>
  <c r="AC46" i="7"/>
  <c r="AD17" i="7"/>
  <c r="AZ17" i="7" s="1"/>
  <c r="DX20" i="7"/>
  <c r="AD103" i="7"/>
  <c r="AZ103" i="7" s="1"/>
  <c r="AD70" i="7"/>
  <c r="U105" i="7"/>
  <c r="AD105" i="7" s="1"/>
  <c r="U72" i="7"/>
  <c r="DX26" i="7"/>
  <c r="AD141" i="7"/>
  <c r="U137" i="7"/>
  <c r="AD91" i="7"/>
  <c r="U87" i="7"/>
  <c r="AG141" i="7"/>
  <c r="AG137" i="7"/>
  <c r="AG32" i="7"/>
  <c r="AD28" i="7"/>
  <c r="AD27" i="7"/>
  <c r="U141" i="7"/>
  <c r="AD86" i="7"/>
  <c r="AG28" i="7"/>
  <c r="AD137" i="7"/>
  <c r="U136" i="7"/>
  <c r="U91" i="7"/>
  <c r="AD87" i="7"/>
  <c r="AG136" i="7"/>
  <c r="AD32" i="7"/>
  <c r="U28" i="7"/>
  <c r="U27" i="7"/>
  <c r="AD136" i="7"/>
  <c r="AG86" i="7"/>
  <c r="AG91" i="7"/>
  <c r="AG87" i="7"/>
  <c r="U32" i="7"/>
  <c r="U86" i="7"/>
  <c r="AG27" i="7"/>
  <c r="DX28" i="7"/>
  <c r="U71" i="7"/>
  <c r="AD71" i="7" s="1"/>
  <c r="AD104" i="7"/>
  <c r="U104" i="7"/>
  <c r="U22" i="7"/>
  <c r="U97" i="7"/>
  <c r="AC49" i="7"/>
  <c r="DX39" i="7"/>
  <c r="AC105" i="7"/>
  <c r="AC48" i="7"/>
  <c r="AT197" i="7"/>
  <c r="AT198" i="7"/>
  <c r="DX16" i="7"/>
  <c r="AD20" i="7"/>
  <c r="AZ20" i="7" s="1"/>
  <c r="U20" i="7"/>
  <c r="U19" i="7"/>
  <c r="DX18" i="7"/>
  <c r="AG89" i="7"/>
  <c r="AD89" i="7"/>
  <c r="AG31" i="7"/>
  <c r="AD90" i="7"/>
  <c r="U30" i="7"/>
  <c r="AG140" i="7"/>
  <c r="U140" i="7"/>
  <c r="AD31" i="7"/>
  <c r="AG30" i="7"/>
  <c r="AD139" i="7"/>
  <c r="AG90" i="7"/>
  <c r="U90" i="7"/>
  <c r="AG139" i="7"/>
  <c r="AD140" i="7"/>
  <c r="U139" i="7"/>
  <c r="U31" i="7"/>
  <c r="AD30" i="7"/>
  <c r="U89" i="7"/>
  <c r="AQ72" i="7"/>
  <c r="AQ105" i="7"/>
  <c r="AQ43" i="7"/>
  <c r="AQ142" i="7"/>
  <c r="AQ93" i="7"/>
  <c r="AQ141" i="7"/>
  <c r="AQ86" i="7"/>
  <c r="AQ27" i="7"/>
  <c r="AQ91" i="7"/>
  <c r="AQ137" i="7"/>
  <c r="AQ87" i="7"/>
  <c r="AQ28" i="7"/>
  <c r="AQ136" i="7"/>
  <c r="DX29" i="7"/>
  <c r="U133" i="7"/>
  <c r="AD133" i="7" s="1"/>
  <c r="U131" i="7"/>
  <c r="AD131" i="7" s="1"/>
  <c r="U129" i="7"/>
  <c r="AD129" i="7" s="1"/>
  <c r="U128" i="7"/>
  <c r="AD124" i="7"/>
  <c r="U121" i="7"/>
  <c r="U119" i="7"/>
  <c r="U110" i="7"/>
  <c r="AD83" i="7"/>
  <c r="U82" i="7"/>
  <c r="U77" i="7"/>
  <c r="U130" i="7"/>
  <c r="AD120" i="7"/>
  <c r="U83" i="7"/>
  <c r="U75" i="7"/>
  <c r="AD75" i="7" s="1"/>
  <c r="U135" i="7"/>
  <c r="U127" i="7"/>
  <c r="AD127" i="7" s="1"/>
  <c r="AD126" i="7"/>
  <c r="U125" i="7"/>
  <c r="U124" i="7"/>
  <c r="AD122" i="7"/>
  <c r="U118" i="7"/>
  <c r="U108" i="7"/>
  <c r="AD108" i="7" s="1"/>
  <c r="AD82" i="7"/>
  <c r="AD81" i="7"/>
  <c r="U80" i="7"/>
  <c r="AQ76" i="7"/>
  <c r="U74" i="7"/>
  <c r="AD74" i="7" s="1"/>
  <c r="U134" i="7"/>
  <c r="AD128" i="7"/>
  <c r="U120" i="7"/>
  <c r="U111" i="7"/>
  <c r="U76" i="7"/>
  <c r="AD76" i="7" s="1"/>
  <c r="AD134" i="7"/>
  <c r="AD132" i="7"/>
  <c r="AD130" i="7"/>
  <c r="U126" i="7"/>
  <c r="U123" i="7"/>
  <c r="U122" i="7"/>
  <c r="U113" i="7"/>
  <c r="U112" i="7"/>
  <c r="U109" i="7"/>
  <c r="U84" i="7"/>
  <c r="U81" i="7"/>
  <c r="U79" i="7"/>
  <c r="U132" i="7"/>
  <c r="AD84" i="7"/>
  <c r="U78" i="7"/>
  <c r="U114" i="7"/>
  <c r="U115" i="7"/>
  <c r="U117" i="7"/>
  <c r="U116" i="7"/>
  <c r="DX31" i="7"/>
  <c r="AD107" i="7"/>
  <c r="U107" i="7"/>
  <c r="AT196" i="7"/>
  <c r="AT192" i="7"/>
  <c r="AT193" i="7"/>
  <c r="AT195" i="7"/>
  <c r="AT191" i="7"/>
  <c r="DX195" i="7"/>
  <c r="E773" i="14" s="1"/>
  <c r="F773" i="14" s="1"/>
  <c r="I773" i="14" s="1"/>
  <c r="U192" i="7"/>
  <c r="U196" i="7"/>
  <c r="U191" i="7"/>
  <c r="U195" i="7"/>
  <c r="U193" i="7"/>
  <c r="AQ193" i="7"/>
  <c r="AQ195" i="7"/>
  <c r="AQ191" i="7"/>
  <c r="AQ196" i="7"/>
  <c r="AQ192" i="7"/>
  <c r="DX15" i="7"/>
  <c r="U21" i="7"/>
  <c r="U18" i="7"/>
  <c r="AD18" i="7"/>
  <c r="AZ18" i="7" s="1"/>
  <c r="DX17" i="7"/>
  <c r="AD19" i="7"/>
  <c r="AQ90" i="7"/>
  <c r="AQ30" i="7"/>
  <c r="AQ140" i="7"/>
  <c r="AQ89" i="7"/>
  <c r="AQ31" i="7"/>
  <c r="AQ139" i="7"/>
  <c r="DX25" i="7"/>
  <c r="AC106" i="7"/>
  <c r="V106" i="7"/>
  <c r="AD106" i="7" s="1"/>
  <c r="V16" i="7"/>
  <c r="V73" i="7"/>
  <c r="AD73" i="7" s="1"/>
  <c r="AC158" i="7"/>
  <c r="U158" i="7"/>
  <c r="DX27" i="7"/>
  <c r="AD138" i="7"/>
  <c r="AD29" i="7"/>
  <c r="AG88" i="7"/>
  <c r="AD88" i="7"/>
  <c r="U29" i="7"/>
  <c r="U88" i="7"/>
  <c r="AG138" i="7"/>
  <c r="U138" i="7"/>
  <c r="AG29" i="7"/>
  <c r="AQ134" i="7"/>
  <c r="AQ132" i="7"/>
  <c r="AQ130" i="7"/>
  <c r="AQ126" i="7"/>
  <c r="AQ125" i="7"/>
  <c r="AQ122" i="7"/>
  <c r="AQ133" i="7"/>
  <c r="AQ128" i="7"/>
  <c r="AQ124" i="7"/>
  <c r="AQ127" i="7"/>
  <c r="AQ120" i="7"/>
  <c r="DU20" i="7"/>
  <c r="DU256" i="7"/>
  <c r="DX23" i="7"/>
  <c r="E442" i="14" s="1"/>
  <c r="F442" i="14" s="1"/>
  <c r="I442" i="14" s="1"/>
  <c r="U142" i="7"/>
  <c r="U93" i="7"/>
  <c r="AD43" i="7"/>
  <c r="AD142" i="7"/>
  <c r="U43" i="7"/>
  <c r="AD93" i="7"/>
  <c r="AC47" i="7"/>
  <c r="DX196" i="7"/>
  <c r="E774" i="14" s="1"/>
  <c r="F774" i="14" s="1"/>
  <c r="I774" i="14" s="1"/>
  <c r="U197" i="7"/>
  <c r="U198" i="7"/>
  <c r="AQ24" i="7"/>
  <c r="AQ23" i="7"/>
  <c r="DX19" i="7"/>
  <c r="E439" i="14" s="1"/>
  <c r="F439" i="14" s="1"/>
  <c r="I439" i="14" s="1"/>
  <c r="U24" i="7"/>
  <c r="AD24" i="7" s="1"/>
  <c r="AZ24" i="7" s="1"/>
  <c r="AD23" i="7"/>
  <c r="AQ16" i="7"/>
  <c r="AQ106" i="7"/>
  <c r="AQ158" i="7"/>
  <c r="AQ88" i="7"/>
  <c r="AQ138" i="7"/>
  <c r="DX30" i="7"/>
  <c r="E550" i="14" s="1"/>
  <c r="AD85" i="7"/>
  <c r="U85" i="7"/>
  <c r="AC97" i="7"/>
  <c r="BA97" i="7" s="1"/>
  <c r="DS30" i="7"/>
  <c r="DS31" i="7"/>
  <c r="DU61" i="7"/>
  <c r="DR65" i="7"/>
  <c r="DU62" i="7"/>
  <c r="CY227" i="7"/>
  <c r="BZ173" i="7"/>
  <c r="BY292" i="7"/>
  <c r="CB292" i="7"/>
  <c r="BX292" i="7"/>
  <c r="BY173" i="7"/>
  <c r="BY227" i="7"/>
  <c r="BU227" i="7"/>
  <c r="BQ227" i="7"/>
  <c r="BL227" i="7"/>
  <c r="BU292" i="7"/>
  <c r="BQ292" i="7"/>
  <c r="BL292" i="7"/>
  <c r="CA292" i="7"/>
  <c r="BW292" i="7"/>
  <c r="CA173" i="7"/>
  <c r="BZ292" i="7"/>
  <c r="CB227" i="7"/>
  <c r="BX227" i="7"/>
  <c r="BT227" i="7"/>
  <c r="BP227" i="7"/>
  <c r="BK227" i="7"/>
  <c r="BT292" i="7"/>
  <c r="BP292" i="7"/>
  <c r="BK292" i="7"/>
  <c r="BU173" i="7"/>
  <c r="BJ173" i="7"/>
  <c r="CA227" i="7"/>
  <c r="BW227" i="7"/>
  <c r="BS227" i="7"/>
  <c r="BO227" i="7"/>
  <c r="BJ227" i="7"/>
  <c r="BS292" i="7"/>
  <c r="BO292" i="7"/>
  <c r="BJ292" i="7"/>
  <c r="BZ227" i="7"/>
  <c r="BV227" i="7"/>
  <c r="BR227" i="7"/>
  <c r="BM227" i="7"/>
  <c r="BV292" i="7"/>
  <c r="BR292" i="7"/>
  <c r="BM292" i="7"/>
  <c r="CX227" i="7"/>
  <c r="CY173" i="7"/>
  <c r="CX173" i="7"/>
  <c r="CY292" i="7"/>
  <c r="CX292" i="7"/>
  <c r="BU539" i="7" l="1"/>
  <c r="BY539" i="7"/>
  <c r="BZ539" i="7"/>
  <c r="C698" i="14"/>
  <c r="F698" i="14" s="1"/>
  <c r="C699" i="14"/>
  <c r="C697" i="14"/>
  <c r="CX539" i="7"/>
  <c r="CY539" i="7"/>
  <c r="CA539" i="7"/>
  <c r="AQ412" i="7"/>
  <c r="BJ539" i="7"/>
  <c r="C700" i="14"/>
  <c r="F700" i="14" s="1"/>
  <c r="H698" i="14"/>
  <c r="H699" i="14"/>
  <c r="F699" i="14"/>
  <c r="H697" i="14"/>
  <c r="F697" i="14"/>
  <c r="E678" i="14"/>
  <c r="F678" i="14" s="1"/>
  <c r="I678" i="14" s="1"/>
  <c r="E641" i="14"/>
  <c r="F641" i="14" s="1"/>
  <c r="I641" i="14" s="1"/>
  <c r="E545" i="14"/>
  <c r="E443" i="14"/>
  <c r="F443" i="14" s="1"/>
  <c r="I443" i="14" s="1"/>
  <c r="E541" i="14"/>
  <c r="E437" i="14"/>
  <c r="F437" i="14" s="1"/>
  <c r="I437" i="14" s="1"/>
  <c r="E636" i="14"/>
  <c r="E539" i="14"/>
  <c r="E435" i="14"/>
  <c r="F435" i="14" s="1"/>
  <c r="I435" i="14" s="1"/>
  <c r="E645" i="14"/>
  <c r="F645" i="14" s="1"/>
  <c r="I645" i="14" s="1"/>
  <c r="E549" i="14"/>
  <c r="E542" i="14"/>
  <c r="E638" i="14"/>
  <c r="E438" i="14"/>
  <c r="F438" i="14" s="1"/>
  <c r="I438" i="14" s="1"/>
  <c r="E540" i="14"/>
  <c r="E637" i="14"/>
  <c r="E436" i="14"/>
  <c r="F436" i="14" s="1"/>
  <c r="I436" i="14" s="1"/>
  <c r="E644" i="14"/>
  <c r="F644" i="14" s="1"/>
  <c r="I644" i="14" s="1"/>
  <c r="E548" i="14"/>
  <c r="E446" i="14"/>
  <c r="F446" i="14" s="1"/>
  <c r="I446" i="14" s="1"/>
  <c r="E546" i="14"/>
  <c r="E642" i="14"/>
  <c r="F642" i="14" s="1"/>
  <c r="I642" i="14" s="1"/>
  <c r="E444" i="14"/>
  <c r="F444" i="14" s="1"/>
  <c r="I444" i="14" s="1"/>
  <c r="I434" i="14"/>
  <c r="E547" i="14"/>
  <c r="E643" i="14"/>
  <c r="F643" i="14" s="1"/>
  <c r="I643" i="14" s="1"/>
  <c r="E445" i="14"/>
  <c r="F445" i="14" s="1"/>
  <c r="I445" i="14" s="1"/>
  <c r="E648" i="14"/>
  <c r="F648" i="14" s="1"/>
  <c r="I648" i="14" s="1"/>
  <c r="E552" i="14"/>
  <c r="E543" i="14"/>
  <c r="F543" i="14" s="1"/>
  <c r="I543" i="14" s="1"/>
  <c r="E639" i="14"/>
  <c r="F639" i="14" s="1"/>
  <c r="I639" i="14" s="1"/>
  <c r="I832" i="14"/>
  <c r="I646" i="14"/>
  <c r="AT370" i="7"/>
  <c r="C920" i="14" s="1"/>
  <c r="AQ460" i="7"/>
  <c r="I660" i="14"/>
  <c r="I677" i="14"/>
  <c r="I1339" i="14"/>
  <c r="I1360" i="14" s="1"/>
  <c r="H1360" i="14"/>
  <c r="BA47" i="7"/>
  <c r="BA49" i="7"/>
  <c r="BA48" i="7"/>
  <c r="BA46" i="7"/>
  <c r="AD97" i="7"/>
  <c r="AZ97" i="7" s="1"/>
  <c r="H700" i="14" l="1"/>
  <c r="I700" i="14" s="1"/>
  <c r="C702" i="14"/>
  <c r="C1169" i="14"/>
  <c r="H1169" i="14" s="1"/>
  <c r="C703" i="14"/>
  <c r="H703" i="14" s="1"/>
  <c r="C704" i="14"/>
  <c r="F704" i="14" s="1"/>
  <c r="I704" i="14" s="1"/>
  <c r="C705" i="14"/>
  <c r="F705" i="14" s="1"/>
  <c r="C1051" i="14"/>
  <c r="I697" i="14"/>
  <c r="I698" i="14"/>
  <c r="F920" i="14"/>
  <c r="H920" i="14"/>
  <c r="H704" i="14"/>
  <c r="E459" i="14"/>
  <c r="F459" i="14" s="1"/>
  <c r="I459" i="14" s="1"/>
  <c r="E681" i="14"/>
  <c r="F681" i="14" s="1"/>
  <c r="I681" i="14" s="1"/>
  <c r="H705" i="14"/>
  <c r="H702" i="14"/>
  <c r="F702" i="14"/>
  <c r="I699" i="14"/>
  <c r="AX99" i="7"/>
  <c r="AX153" i="7"/>
  <c r="AX165" i="7"/>
  <c r="AX209" i="7"/>
  <c r="AX224" i="7"/>
  <c r="AX255" i="7"/>
  <c r="AX289" i="7"/>
  <c r="F1169" i="14" l="1"/>
  <c r="F703" i="14"/>
  <c r="F1051" i="14"/>
  <c r="H1051" i="14"/>
  <c r="I702" i="14"/>
  <c r="I705" i="14"/>
  <c r="I920" i="14"/>
  <c r="I1169" i="14"/>
  <c r="I703" i="14"/>
  <c r="AX292" i="7"/>
  <c r="AX227" i="7"/>
  <c r="AX173" i="7"/>
  <c r="DK165" i="7"/>
  <c r="DK153" i="7"/>
  <c r="DK99" i="7"/>
  <c r="I1051" i="14" l="1"/>
  <c r="AX539" i="7"/>
  <c r="DK173" i="7"/>
  <c r="X11" i="8"/>
  <c r="W11" i="8"/>
  <c r="U11" i="8"/>
  <c r="T11" i="8"/>
  <c r="AA11" i="8" s="1"/>
  <c r="X8" i="8"/>
  <c r="W8" i="8"/>
  <c r="U8" i="8"/>
  <c r="T8" i="8"/>
  <c r="AA8" i="8" s="1"/>
  <c r="C970" i="14" l="1"/>
  <c r="C973" i="14"/>
  <c r="G370" i="7"/>
  <c r="F970" i="14" l="1"/>
  <c r="H970" i="14"/>
  <c r="I970" i="14" s="1"/>
  <c r="F973" i="14"/>
  <c r="H973" i="14"/>
  <c r="I973" i="14" s="1"/>
  <c r="G492" i="7"/>
  <c r="C912" i="14"/>
  <c r="T528" i="7"/>
  <c r="T527" i="7"/>
  <c r="DO526" i="7"/>
  <c r="DO531" i="7" s="1"/>
  <c r="DO534" i="7" s="1"/>
  <c r="DN525" i="7"/>
  <c r="DN531" i="7" s="1"/>
  <c r="DN534" i="7" s="1"/>
  <c r="DF522" i="7"/>
  <c r="DF531" i="7" s="1"/>
  <c r="DF534" i="7" s="1"/>
  <c r="AC531" i="7"/>
  <c r="AC534" i="7" s="1"/>
  <c r="T515" i="7"/>
  <c r="T516" i="7" s="1"/>
  <c r="C492" i="7"/>
  <c r="DN484" i="7"/>
  <c r="C1296" i="14" s="1"/>
  <c r="T453" i="7"/>
  <c r="T452" i="7"/>
  <c r="T451" i="7"/>
  <c r="DN460" i="7"/>
  <c r="BA420" i="7"/>
  <c r="V460" i="7"/>
  <c r="DN398" i="7"/>
  <c r="DN412" i="7" s="1"/>
  <c r="T369" i="7"/>
  <c r="V370" i="7"/>
  <c r="D255" i="7"/>
  <c r="E255" i="7"/>
  <c r="F255" i="7"/>
  <c r="G255" i="7"/>
  <c r="I255" i="7"/>
  <c r="J255" i="7"/>
  <c r="K255" i="7"/>
  <c r="L255" i="7"/>
  <c r="M255" i="7"/>
  <c r="N255" i="7"/>
  <c r="O255" i="7"/>
  <c r="P255" i="7"/>
  <c r="Q255" i="7"/>
  <c r="R255" i="7"/>
  <c r="S255" i="7"/>
  <c r="U255" i="7"/>
  <c r="V255" i="7"/>
  <c r="W255" i="7"/>
  <c r="X255" i="7"/>
  <c r="Y255" i="7"/>
  <c r="AC255" i="7"/>
  <c r="AD255" i="7"/>
  <c r="AE255" i="7"/>
  <c r="AF255" i="7"/>
  <c r="AG255" i="7"/>
  <c r="AH255" i="7"/>
  <c r="AI255" i="7"/>
  <c r="AJ255" i="7"/>
  <c r="AK255" i="7"/>
  <c r="AL255" i="7"/>
  <c r="AM255" i="7"/>
  <c r="AN255" i="7"/>
  <c r="AO255" i="7"/>
  <c r="AP255" i="7"/>
  <c r="AQ255" i="7"/>
  <c r="AR255" i="7"/>
  <c r="AS255" i="7"/>
  <c r="AU255" i="7"/>
  <c r="AV255" i="7"/>
  <c r="AW255" i="7"/>
  <c r="AY255" i="7"/>
  <c r="AZ255" i="7"/>
  <c r="BA255" i="7"/>
  <c r="BC255" i="7"/>
  <c r="BD255" i="7"/>
  <c r="BE255" i="7"/>
  <c r="BF255" i="7"/>
  <c r="DP251" i="7" s="1"/>
  <c r="BG255" i="7"/>
  <c r="DP252" i="7" s="1"/>
  <c r="BH255" i="7"/>
  <c r="DP253" i="7" s="1"/>
  <c r="BI255" i="7"/>
  <c r="DP254" i="7" s="1"/>
  <c r="CU255" i="7"/>
  <c r="CV255" i="7"/>
  <c r="CW255" i="7"/>
  <c r="DF255" i="7"/>
  <c r="DG255" i="7"/>
  <c r="DH255" i="7"/>
  <c r="DI255" i="7"/>
  <c r="DJ255" i="7"/>
  <c r="DK255" i="7"/>
  <c r="DL255" i="7"/>
  <c r="DM255" i="7"/>
  <c r="DN255" i="7"/>
  <c r="DO255" i="7"/>
  <c r="F289" i="7"/>
  <c r="C825" i="14" l="1"/>
  <c r="C1168" i="14"/>
  <c r="C831" i="14"/>
  <c r="F831" i="14" s="1"/>
  <c r="C821" i="14"/>
  <c r="C820" i="14"/>
  <c r="F820" i="14" s="1"/>
  <c r="C817" i="14"/>
  <c r="C828" i="14"/>
  <c r="F828" i="14" s="1"/>
  <c r="C827" i="14"/>
  <c r="C918" i="14"/>
  <c r="F918" i="14" s="1"/>
  <c r="C824" i="14"/>
  <c r="F824" i="14" s="1"/>
  <c r="C822" i="14"/>
  <c r="F822" i="14" s="1"/>
  <c r="E1007" i="14"/>
  <c r="F1007" i="14" s="1"/>
  <c r="I1007" i="14" s="1"/>
  <c r="F1296" i="14"/>
  <c r="E1300" i="14" s="1"/>
  <c r="F1300" i="14" s="1"/>
  <c r="I1300" i="14" s="1"/>
  <c r="H1296" i="14"/>
  <c r="F1168" i="14"/>
  <c r="H1168" i="14"/>
  <c r="C818" i="14"/>
  <c r="H918" i="14"/>
  <c r="H817" i="14"/>
  <c r="F817" i="14"/>
  <c r="H827" i="14"/>
  <c r="F827" i="14"/>
  <c r="H822" i="14"/>
  <c r="H825" i="14"/>
  <c r="F825" i="14"/>
  <c r="H821" i="14"/>
  <c r="F821" i="14"/>
  <c r="H912" i="14"/>
  <c r="F912" i="14"/>
  <c r="V412" i="7"/>
  <c r="DN492" i="7"/>
  <c r="AV370" i="7"/>
  <c r="T460" i="7"/>
  <c r="AU370" i="7"/>
  <c r="AU412" i="7"/>
  <c r="T531" i="7"/>
  <c r="T534" i="7" s="1"/>
  <c r="BA520" i="7"/>
  <c r="BA531" i="7" s="1"/>
  <c r="BA534" i="7" s="1"/>
  <c r="AW370" i="7"/>
  <c r="T370" i="7"/>
  <c r="T412" i="7"/>
  <c r="AU460" i="7"/>
  <c r="H831" i="14" l="1"/>
  <c r="C933" i="14"/>
  <c r="C1178" i="14"/>
  <c r="H824" i="14"/>
  <c r="C932" i="14"/>
  <c r="F932" i="14" s="1"/>
  <c r="H820" i="14"/>
  <c r="I820" i="14" s="1"/>
  <c r="H828" i="14"/>
  <c r="C931" i="14"/>
  <c r="H931" i="14" s="1"/>
  <c r="C1059" i="14"/>
  <c r="F1059" i="14" s="1"/>
  <c r="I1296" i="14"/>
  <c r="I821" i="14"/>
  <c r="I822" i="14"/>
  <c r="I827" i="14"/>
  <c r="I825" i="14"/>
  <c r="I824" i="14"/>
  <c r="I828" i="14"/>
  <c r="I918" i="14"/>
  <c r="I817" i="14"/>
  <c r="H818" i="14"/>
  <c r="F818" i="14"/>
  <c r="F1178" i="14"/>
  <c r="H1178" i="14"/>
  <c r="I912" i="14"/>
  <c r="I831" i="14"/>
  <c r="E835" i="14"/>
  <c r="F835" i="14" s="1"/>
  <c r="I835" i="14" s="1"/>
  <c r="F933" i="14"/>
  <c r="H933" i="14"/>
  <c r="V492" i="7"/>
  <c r="C1050" i="14"/>
  <c r="I1168" i="14"/>
  <c r="AT492" i="7"/>
  <c r="AW492" i="7"/>
  <c r="T492" i="7"/>
  <c r="BC412" i="7"/>
  <c r="BC370" i="7"/>
  <c r="AV412" i="7"/>
  <c r="AU492" i="7"/>
  <c r="K2" i="7"/>
  <c r="BC460" i="7"/>
  <c r="F931" i="14" l="1"/>
  <c r="H1059" i="14"/>
  <c r="I1059" i="14" s="1"/>
  <c r="H932" i="14"/>
  <c r="I932" i="14" s="1"/>
  <c r="C1062" i="14"/>
  <c r="H1062" i="14" s="1"/>
  <c r="C1060" i="14"/>
  <c r="H1060" i="14" s="1"/>
  <c r="C1181" i="14"/>
  <c r="H1181" i="14" s="1"/>
  <c r="C934" i="14"/>
  <c r="H934" i="14" s="1"/>
  <c r="I818" i="14"/>
  <c r="F1181" i="14"/>
  <c r="I931" i="14"/>
  <c r="F1060" i="14"/>
  <c r="H1050" i="14"/>
  <c r="F1050" i="14"/>
  <c r="I933" i="14"/>
  <c r="I1178" i="14"/>
  <c r="AV492" i="7"/>
  <c r="BC492" i="7"/>
  <c r="H3" i="7"/>
  <c r="F1062" i="14" l="1"/>
  <c r="I1062" i="14" s="1"/>
  <c r="F934" i="14"/>
  <c r="I1050" i="14"/>
  <c r="I1060" i="14"/>
  <c r="I1181" i="14"/>
  <c r="I934" i="14"/>
  <c r="BA278" i="7"/>
  <c r="DO289" i="7" l="1"/>
  <c r="DN289" i="7"/>
  <c r="DL289" i="7"/>
  <c r="C886" i="14" s="1"/>
  <c r="D289" i="7"/>
  <c r="E289" i="7"/>
  <c r="G289" i="7"/>
  <c r="H289" i="7"/>
  <c r="I289" i="7"/>
  <c r="J289" i="7"/>
  <c r="K289" i="7"/>
  <c r="L289" i="7"/>
  <c r="M289" i="7"/>
  <c r="N289" i="7"/>
  <c r="O289" i="7"/>
  <c r="P289" i="7"/>
  <c r="Q289" i="7"/>
  <c r="R289" i="7"/>
  <c r="S289" i="7"/>
  <c r="U289" i="7"/>
  <c r="V289" i="7"/>
  <c r="W289" i="7"/>
  <c r="X289" i="7"/>
  <c r="Y289" i="7"/>
  <c r="AC289" i="7"/>
  <c r="AD289" i="7"/>
  <c r="AE289" i="7"/>
  <c r="AF289" i="7"/>
  <c r="AG289" i="7"/>
  <c r="AH289" i="7"/>
  <c r="AI289" i="7"/>
  <c r="AJ289" i="7"/>
  <c r="AK289" i="7"/>
  <c r="AL289" i="7"/>
  <c r="AM289" i="7"/>
  <c r="AN289" i="7"/>
  <c r="AO289" i="7"/>
  <c r="AP289" i="7"/>
  <c r="AQ289" i="7"/>
  <c r="AR289" i="7"/>
  <c r="AS289" i="7"/>
  <c r="AT289" i="7"/>
  <c r="AU289" i="7"/>
  <c r="AV289" i="7"/>
  <c r="AW289" i="7"/>
  <c r="AY289" i="7"/>
  <c r="AZ289" i="7"/>
  <c r="BA289" i="7"/>
  <c r="BC289" i="7"/>
  <c r="BD289" i="7"/>
  <c r="BE289" i="7"/>
  <c r="BF289" i="7"/>
  <c r="DR251" i="7" s="1"/>
  <c r="BG289" i="7"/>
  <c r="DR252" i="7" s="1"/>
  <c r="BH289" i="7"/>
  <c r="DR253" i="7" s="1"/>
  <c r="BI289" i="7"/>
  <c r="DR254" i="7" s="1"/>
  <c r="CS289" i="7"/>
  <c r="CS292" i="7" s="1"/>
  <c r="CT289" i="7"/>
  <c r="CU289" i="7"/>
  <c r="CV289" i="7"/>
  <c r="CW289" i="7"/>
  <c r="DG289" i="7"/>
  <c r="DH289" i="7"/>
  <c r="C889" i="14" s="1"/>
  <c r="DI289" i="7"/>
  <c r="DJ289" i="7"/>
  <c r="DK289" i="7"/>
  <c r="DM289" i="7"/>
  <c r="C879" i="14" l="1"/>
  <c r="H879" i="14" s="1"/>
  <c r="C887" i="14"/>
  <c r="H886" i="14"/>
  <c r="F886" i="14"/>
  <c r="H887" i="14"/>
  <c r="F887" i="14"/>
  <c r="F889" i="14"/>
  <c r="H889" i="14"/>
  <c r="F879" i="14"/>
  <c r="DF289" i="7"/>
  <c r="I887" i="14" l="1"/>
  <c r="I889" i="14"/>
  <c r="I886" i="14"/>
  <c r="E892" i="14"/>
  <c r="F892" i="14" s="1"/>
  <c r="I892" i="14" s="1"/>
  <c r="I879" i="14"/>
  <c r="CT292" i="7"/>
  <c r="CW292" i="7"/>
  <c r="DF292" i="7"/>
  <c r="DI292" i="7"/>
  <c r="DJ292" i="7"/>
  <c r="DM292" i="7"/>
  <c r="DN292" i="7"/>
  <c r="BA394" i="7" l="1"/>
  <c r="DL292" i="7"/>
  <c r="DH292" i="7"/>
  <c r="CV292" i="7"/>
  <c r="DO292" i="7"/>
  <c r="DK292" i="7"/>
  <c r="DG292" i="7"/>
  <c r="CU292" i="7"/>
  <c r="V292" i="7" l="1"/>
  <c r="L8" i="8" l="1"/>
  <c r="K8" i="8"/>
  <c r="DK224" i="7"/>
  <c r="C804" i="14" s="1"/>
  <c r="DK209" i="7"/>
  <c r="DJ165" i="7"/>
  <c r="DL165" i="7"/>
  <c r="DJ153" i="7"/>
  <c r="DJ99" i="7"/>
  <c r="C684" i="14" l="1"/>
  <c r="F804" i="14"/>
  <c r="H804" i="14"/>
  <c r="H684" i="14"/>
  <c r="F684" i="14"/>
  <c r="DJ173" i="7"/>
  <c r="DK227" i="7"/>
  <c r="DK539" i="7" s="1"/>
  <c r="DJ224" i="7"/>
  <c r="C803" i="14" s="1"/>
  <c r="DJ209" i="7"/>
  <c r="DH224" i="7"/>
  <c r="C801" i="14" s="1"/>
  <c r="DF224" i="7"/>
  <c r="C797" i="14" s="1"/>
  <c r="B3" i="11"/>
  <c r="B5" i="12"/>
  <c r="C7" i="12"/>
  <c r="B4" i="12"/>
  <c r="B6" i="11"/>
  <c r="DG224" i="7"/>
  <c r="C800" i="14" s="1"/>
  <c r="CS224" i="7"/>
  <c r="CT224" i="7"/>
  <c r="CU224" i="7"/>
  <c r="CV224" i="7"/>
  <c r="CW224" i="7"/>
  <c r="DM224" i="7"/>
  <c r="DN224" i="7"/>
  <c r="C806" i="14" s="1"/>
  <c r="DO224" i="7"/>
  <c r="CS209" i="7"/>
  <c r="CT209" i="7"/>
  <c r="CU209" i="7"/>
  <c r="CV209" i="7"/>
  <c r="CW209" i="7"/>
  <c r="DF209" i="7"/>
  <c r="DG209" i="7"/>
  <c r="DH209" i="7"/>
  <c r="DI209" i="7"/>
  <c r="DL209" i="7"/>
  <c r="DM209" i="7"/>
  <c r="DN209" i="7"/>
  <c r="DO209" i="7"/>
  <c r="V224" i="7"/>
  <c r="V209" i="7"/>
  <c r="AR199" i="7"/>
  <c r="AR209" i="7" s="1"/>
  <c r="I684" i="14" l="1"/>
  <c r="C727" i="14"/>
  <c r="H806" i="14"/>
  <c r="F806" i="14"/>
  <c r="E807" i="14" s="1"/>
  <c r="F807" i="14" s="1"/>
  <c r="I807" i="14" s="1"/>
  <c r="F803" i="14"/>
  <c r="H803" i="14"/>
  <c r="H797" i="14"/>
  <c r="F797" i="14"/>
  <c r="I804" i="14"/>
  <c r="F800" i="14"/>
  <c r="H800" i="14"/>
  <c r="H801" i="14"/>
  <c r="F801" i="14"/>
  <c r="F727" i="14"/>
  <c r="H727" i="14"/>
  <c r="DJ227" i="7"/>
  <c r="DJ539" i="7" s="1"/>
  <c r="DL214" i="7"/>
  <c r="DL224" i="7" s="1"/>
  <c r="C798" i="14" s="1"/>
  <c r="DI224" i="7"/>
  <c r="C802" i="14" s="1"/>
  <c r="I803" i="14" l="1"/>
  <c r="I800" i="14"/>
  <c r="I806" i="14"/>
  <c r="H802" i="14"/>
  <c r="F802" i="14"/>
  <c r="F798" i="14"/>
  <c r="H798" i="14"/>
  <c r="I801" i="14"/>
  <c r="I797" i="14"/>
  <c r="I727" i="14"/>
  <c r="E35" i="8"/>
  <c r="F35" i="8"/>
  <c r="D35" i="8"/>
  <c r="E8" i="8"/>
  <c r="F8" i="8"/>
  <c r="E11" i="8"/>
  <c r="F11" i="8"/>
  <c r="D11" i="8"/>
  <c r="D8" i="8"/>
  <c r="E37" i="8"/>
  <c r="H33" i="8"/>
  <c r="H34" i="8"/>
  <c r="H7" i="8"/>
  <c r="G11" i="8"/>
  <c r="C38" i="8"/>
  <c r="H38" i="8" s="1"/>
  <c r="C11" i="8"/>
  <c r="C8" i="8"/>
  <c r="E200" i="7"/>
  <c r="AV200" i="7" s="1"/>
  <c r="BC200" i="7" s="1"/>
  <c r="E199" i="7"/>
  <c r="AV199" i="7" s="1"/>
  <c r="BC199" i="7" s="1"/>
  <c r="C197" i="7"/>
  <c r="AW197" i="7" s="1"/>
  <c r="BC197" i="7" s="1"/>
  <c r="V227" i="7"/>
  <c r="CJ227" i="7"/>
  <c r="CL227" i="7"/>
  <c r="CN227" i="7"/>
  <c r="CO227" i="7"/>
  <c r="CP227" i="7"/>
  <c r="CT227" i="7"/>
  <c r="CU227" i="7"/>
  <c r="CV227" i="7"/>
  <c r="CW227" i="7"/>
  <c r="DF227" i="7"/>
  <c r="DG227" i="7"/>
  <c r="DH227" i="7"/>
  <c r="DI227" i="7"/>
  <c r="DL227" i="7"/>
  <c r="DM227" i="7"/>
  <c r="DN227" i="7"/>
  <c r="AQ224" i="7"/>
  <c r="F224" i="7"/>
  <c r="G224" i="7"/>
  <c r="K224" i="7"/>
  <c r="AW224" i="7"/>
  <c r="T212" i="7"/>
  <c r="D224" i="7"/>
  <c r="E224" i="7"/>
  <c r="H224" i="7"/>
  <c r="I224" i="7"/>
  <c r="L224" i="7"/>
  <c r="M224" i="7"/>
  <c r="N224" i="7"/>
  <c r="O224" i="7"/>
  <c r="P224" i="7"/>
  <c r="Q224" i="7"/>
  <c r="R224" i="7"/>
  <c r="S224" i="7"/>
  <c r="W224" i="7"/>
  <c r="X224" i="7"/>
  <c r="Y224" i="7"/>
  <c r="AE224" i="7"/>
  <c r="AF224" i="7"/>
  <c r="AH224" i="7"/>
  <c r="AI224" i="7"/>
  <c r="AJ224" i="7"/>
  <c r="AK224" i="7"/>
  <c r="AL224" i="7"/>
  <c r="AM224" i="7"/>
  <c r="AN224" i="7"/>
  <c r="AO224" i="7"/>
  <c r="AP224" i="7"/>
  <c r="AR224" i="7"/>
  <c r="AS224" i="7"/>
  <c r="AT224" i="7"/>
  <c r="AY224" i="7"/>
  <c r="BD224" i="7"/>
  <c r="BE224" i="7"/>
  <c r="BF224" i="7"/>
  <c r="BG224" i="7"/>
  <c r="BH224" i="7"/>
  <c r="BI224" i="7"/>
  <c r="C422" i="14" l="1"/>
  <c r="C425" i="14"/>
  <c r="C421" i="14"/>
  <c r="H35" i="8"/>
  <c r="C779" i="14"/>
  <c r="H779" i="14" s="1"/>
  <c r="C395" i="14"/>
  <c r="I798" i="14"/>
  <c r="I802" i="14"/>
  <c r="C784" i="14"/>
  <c r="H37" i="8"/>
  <c r="BA194" i="7"/>
  <c r="AD194" i="7"/>
  <c r="AZ194" i="7" s="1"/>
  <c r="T200" i="7"/>
  <c r="T199" i="7"/>
  <c r="H8" i="8"/>
  <c r="H11" i="8"/>
  <c r="C224" i="7"/>
  <c r="T224" i="7"/>
  <c r="J224" i="7"/>
  <c r="DN165" i="7"/>
  <c r="D165" i="7"/>
  <c r="E165" i="7"/>
  <c r="F165" i="7"/>
  <c r="G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T165" i="7"/>
  <c r="V165" i="7"/>
  <c r="W165" i="7"/>
  <c r="X165" i="7"/>
  <c r="Y165" i="7"/>
  <c r="AE165" i="7"/>
  <c r="AF165" i="7"/>
  <c r="AG165" i="7"/>
  <c r="AH165" i="7"/>
  <c r="AI165" i="7"/>
  <c r="AJ165" i="7"/>
  <c r="AK165" i="7"/>
  <c r="AL165" i="7"/>
  <c r="AM165" i="7"/>
  <c r="AN165" i="7"/>
  <c r="AO165" i="7"/>
  <c r="AP165" i="7"/>
  <c r="AR165" i="7"/>
  <c r="AS165" i="7"/>
  <c r="AU165" i="7"/>
  <c r="AV165" i="7"/>
  <c r="AW165" i="7"/>
  <c r="AY165" i="7"/>
  <c r="BD165" i="7"/>
  <c r="DS14" i="7" s="1"/>
  <c r="BE165" i="7"/>
  <c r="DS15" i="7" s="1"/>
  <c r="BF165" i="7"/>
  <c r="DS16" i="7" s="1"/>
  <c r="BG165" i="7"/>
  <c r="DS17" i="7" s="1"/>
  <c r="BH165" i="7"/>
  <c r="DS18" i="7" s="1"/>
  <c r="BI165" i="7"/>
  <c r="DS19" i="7" s="1"/>
  <c r="DF165" i="7"/>
  <c r="C683" i="14" s="1"/>
  <c r="DG165" i="7"/>
  <c r="DH165" i="7"/>
  <c r="DI165" i="7"/>
  <c r="DM165" i="7"/>
  <c r="DO165" i="7"/>
  <c r="C165" i="7"/>
  <c r="BC165" i="7"/>
  <c r="AZ142" i="7"/>
  <c r="CT99" i="7"/>
  <c r="DQ57" i="7" s="1"/>
  <c r="DU57" i="7" s="1"/>
  <c r="CU99" i="7"/>
  <c r="DQ58" i="7" s="1"/>
  <c r="DU58" i="7" s="1"/>
  <c r="CV99" i="7"/>
  <c r="DQ59" i="7" s="1"/>
  <c r="DU59" i="7" s="1"/>
  <c r="CW99" i="7"/>
  <c r="DQ60" i="7" s="1"/>
  <c r="DU60" i="7" s="1"/>
  <c r="F779" i="14" l="1"/>
  <c r="C685" i="14"/>
  <c r="H685" i="14" s="1"/>
  <c r="C424" i="14"/>
  <c r="C396" i="14"/>
  <c r="C423" i="14"/>
  <c r="C666" i="14"/>
  <c r="H666" i="14" s="1"/>
  <c r="C665" i="14"/>
  <c r="H421" i="14"/>
  <c r="I421" i="14" s="1"/>
  <c r="F421" i="14"/>
  <c r="H422" i="14"/>
  <c r="F422" i="14"/>
  <c r="C687" i="14"/>
  <c r="F687" i="14" s="1"/>
  <c r="C430" i="14"/>
  <c r="C429" i="14"/>
  <c r="F425" i="14"/>
  <c r="H425" i="14"/>
  <c r="C426" i="14"/>
  <c r="C664" i="14"/>
  <c r="C690" i="14"/>
  <c r="H690" i="14" s="1"/>
  <c r="C399" i="14"/>
  <c r="F395" i="14"/>
  <c r="H395" i="14"/>
  <c r="H664" i="14"/>
  <c r="F664" i="14"/>
  <c r="F690" i="14"/>
  <c r="E691" i="14" s="1"/>
  <c r="F691" i="14" s="1"/>
  <c r="I691" i="14" s="1"/>
  <c r="F685" i="14"/>
  <c r="H683" i="14"/>
  <c r="F683" i="14"/>
  <c r="H665" i="14"/>
  <c r="F665" i="14"/>
  <c r="I779" i="14"/>
  <c r="H784" i="14"/>
  <c r="F784" i="14"/>
  <c r="DS35" i="7"/>
  <c r="BC43" i="7"/>
  <c r="AV224" i="7"/>
  <c r="AG224" i="7"/>
  <c r="BC224" i="7"/>
  <c r="AU224" i="7"/>
  <c r="U224" i="7"/>
  <c r="I690" i="14" l="1"/>
  <c r="H687" i="14"/>
  <c r="F429" i="14"/>
  <c r="H429" i="14"/>
  <c r="I429" i="14" s="1"/>
  <c r="F423" i="14"/>
  <c r="H423" i="14"/>
  <c r="I423" i="14" s="1"/>
  <c r="F399" i="14"/>
  <c r="H399" i="14"/>
  <c r="C782" i="14"/>
  <c r="F666" i="14"/>
  <c r="I666" i="14" s="1"/>
  <c r="I685" i="14"/>
  <c r="I395" i="14"/>
  <c r="H426" i="14"/>
  <c r="F426" i="14"/>
  <c r="C427" i="14"/>
  <c r="H430" i="14"/>
  <c r="I430" i="14" s="1"/>
  <c r="F430" i="14"/>
  <c r="I422" i="14"/>
  <c r="F424" i="14"/>
  <c r="H424" i="14"/>
  <c r="I424" i="14" s="1"/>
  <c r="I425" i="14"/>
  <c r="F396" i="14"/>
  <c r="H396" i="14"/>
  <c r="I683" i="14"/>
  <c r="I665" i="14"/>
  <c r="E688" i="14"/>
  <c r="F688" i="14" s="1"/>
  <c r="I688" i="14" s="1"/>
  <c r="I687" i="14"/>
  <c r="I664" i="14"/>
  <c r="I784" i="14"/>
  <c r="F782" i="14"/>
  <c r="H782" i="14"/>
  <c r="BA224" i="7"/>
  <c r="AC224" i="7"/>
  <c r="AD224" i="7"/>
  <c r="AZ224" i="7"/>
  <c r="I399" i="14" l="1"/>
  <c r="I396" i="14"/>
  <c r="C789" i="14"/>
  <c r="C786" i="14"/>
  <c r="F786" i="14" s="1"/>
  <c r="H427" i="14"/>
  <c r="F427" i="14"/>
  <c r="C428" i="14"/>
  <c r="C790" i="14"/>
  <c r="H790" i="14" s="1"/>
  <c r="C787" i="14"/>
  <c r="F787" i="14" s="1"/>
  <c r="I426" i="14"/>
  <c r="H789" i="14"/>
  <c r="F789" i="14"/>
  <c r="F790" i="14"/>
  <c r="H787" i="14"/>
  <c r="I782" i="14"/>
  <c r="H786" i="14"/>
  <c r="CT173" i="7"/>
  <c r="CT539" i="7" s="1"/>
  <c r="CU173" i="7"/>
  <c r="CU539" i="7" s="1"/>
  <c r="CV173" i="7"/>
  <c r="CV539" i="7" s="1"/>
  <c r="CW173" i="7"/>
  <c r="CW539" i="7" s="1"/>
  <c r="BA107" i="7"/>
  <c r="H428" i="14" l="1"/>
  <c r="F428" i="14"/>
  <c r="E431" i="14" s="1"/>
  <c r="F431" i="14" s="1"/>
  <c r="I431" i="14" s="1"/>
  <c r="I790" i="14"/>
  <c r="I427" i="14"/>
  <c r="I787" i="14"/>
  <c r="I789" i="14"/>
  <c r="I786" i="14"/>
  <c r="V153" i="7"/>
  <c r="AT73" i="7"/>
  <c r="V99" i="7"/>
  <c r="AT29" i="7"/>
  <c r="V25" i="7"/>
  <c r="V23" i="7"/>
  <c r="AT16" i="7"/>
  <c r="C471" i="14" l="1"/>
  <c r="C573" i="14"/>
  <c r="F573" i="14" s="1"/>
  <c r="I428" i="14"/>
  <c r="H471" i="14"/>
  <c r="F471" i="14"/>
  <c r="I471" i="14" s="1"/>
  <c r="V66" i="7"/>
  <c r="H573" i="14" l="1"/>
  <c r="C359" i="14"/>
  <c r="H359" i="14"/>
  <c r="F359" i="14"/>
  <c r="I573" i="14"/>
  <c r="V173" i="7"/>
  <c r="V539" i="7" s="1"/>
  <c r="DX59" i="7"/>
  <c r="E658" i="14" s="1"/>
  <c r="F658" i="14" s="1"/>
  <c r="I658" i="14" s="1"/>
  <c r="CV9" i="7"/>
  <c r="CU9" i="7"/>
  <c r="AQ107" i="7" s="1"/>
  <c r="BR9" i="7"/>
  <c r="CL8" i="7"/>
  <c r="AT104" i="7"/>
  <c r="CJ8" i="7"/>
  <c r="CB9" i="7"/>
  <c r="CB8" i="7"/>
  <c r="I359" i="14" l="1"/>
  <c r="AT31" i="7"/>
  <c r="AT140" i="7"/>
  <c r="AT90" i="7"/>
  <c r="AQ97" i="7"/>
  <c r="AQ71" i="7"/>
  <c r="AQ143" i="7"/>
  <c r="AT131" i="7"/>
  <c r="AT108" i="7"/>
  <c r="AT129" i="7"/>
  <c r="AT85" i="7"/>
  <c r="AQ79" i="7"/>
  <c r="AQ85" i="7"/>
  <c r="AQ111" i="7"/>
  <c r="AQ75" i="7"/>
  <c r="AQ74" i="7"/>
  <c r="AQ135" i="7"/>
  <c r="AQ108" i="7"/>
  <c r="AQ110" i="7"/>
  <c r="AQ82" i="7"/>
  <c r="AQ129" i="7"/>
  <c r="AQ84" i="7"/>
  <c r="AQ131" i="7"/>
  <c r="AQ109" i="7"/>
  <c r="AQ81" i="7"/>
  <c r="AQ112" i="7"/>
  <c r="AQ80" i="7"/>
  <c r="AQ83" i="7"/>
  <c r="AQ165" i="7"/>
  <c r="AQ197" i="7"/>
  <c r="AQ198" i="7"/>
  <c r="AQ199" i="7"/>
  <c r="AQ200" i="7"/>
  <c r="AZ43" i="7"/>
  <c r="AT165" i="7"/>
  <c r="BA93" i="7"/>
  <c r="AC43" i="7"/>
  <c r="BA43" i="7" s="1"/>
  <c r="BA142" i="7"/>
  <c r="AZ19" i="7"/>
  <c r="AC73" i="7"/>
  <c r="BA73" i="7" s="1"/>
  <c r="AC16" i="7"/>
  <c r="BA106" i="7"/>
  <c r="AZ73" i="7"/>
  <c r="AZ106" i="7"/>
  <c r="AT32" i="7"/>
  <c r="AT28" i="7"/>
  <c r="AT27" i="7"/>
  <c r="AQ32" i="7"/>
  <c r="BA90" i="7"/>
  <c r="BA31" i="7"/>
  <c r="AZ105" i="7"/>
  <c r="AD72" i="7"/>
  <c r="AZ72" i="7" s="1"/>
  <c r="AD26" i="7"/>
  <c r="AZ26" i="7" s="1"/>
  <c r="AC26" i="7"/>
  <c r="BA26" i="7" s="1"/>
  <c r="AC25" i="7"/>
  <c r="BA25" i="7" s="1"/>
  <c r="AZ23" i="7"/>
  <c r="U23" i="7"/>
  <c r="AZ25" i="7"/>
  <c r="AZ70" i="7"/>
  <c r="AD22" i="7"/>
  <c r="AZ22" i="7" s="1"/>
  <c r="AD21" i="7"/>
  <c r="AZ21" i="7" s="1"/>
  <c r="AC18" i="7"/>
  <c r="BA18" i="7" s="1"/>
  <c r="BA17" i="7"/>
  <c r="AZ71" i="7"/>
  <c r="AZ104" i="7"/>
  <c r="AQ29" i="7"/>
  <c r="AQ22" i="7"/>
  <c r="AC123" i="7"/>
  <c r="BA123" i="7" s="1"/>
  <c r="BA131" i="7"/>
  <c r="AC115" i="7"/>
  <c r="BA115" i="7" s="1"/>
  <c r="BA129" i="7"/>
  <c r="AC121" i="7"/>
  <c r="BA121" i="7" s="1"/>
  <c r="AC118" i="7"/>
  <c r="BA118" i="7" s="1"/>
  <c r="AC114" i="7"/>
  <c r="BA114" i="7" s="1"/>
  <c r="AC117" i="7"/>
  <c r="BA117" i="7" s="1"/>
  <c r="AC113" i="7"/>
  <c r="BA113" i="7" s="1"/>
  <c r="AC116" i="7"/>
  <c r="BA116" i="7" s="1"/>
  <c r="AC110" i="7"/>
  <c r="BA110" i="7" s="1"/>
  <c r="AC81" i="7"/>
  <c r="BA81" i="7" s="1"/>
  <c r="AC72" i="7"/>
  <c r="AC79" i="7"/>
  <c r="BA79" i="7" s="1"/>
  <c r="AC78" i="7"/>
  <c r="BA78" i="7" s="1"/>
  <c r="AC21" i="7"/>
  <c r="BA21" i="7" s="1"/>
  <c r="AC109" i="7"/>
  <c r="BA109" i="7" s="1"/>
  <c r="AC84" i="7"/>
  <c r="BA84" i="7" s="1"/>
  <c r="AC80" i="7"/>
  <c r="BA80" i="7" s="1"/>
  <c r="AC85" i="7"/>
  <c r="BA85" i="7" s="1"/>
  <c r="AC77" i="7"/>
  <c r="BA77" i="7" s="1"/>
  <c r="AC112" i="7"/>
  <c r="BA112" i="7" s="1"/>
  <c r="BA108" i="7"/>
  <c r="BA105" i="7"/>
  <c r="AC83" i="7"/>
  <c r="BA83" i="7" s="1"/>
  <c r="AC76" i="7"/>
  <c r="BA76" i="7" s="1"/>
  <c r="AC111" i="7"/>
  <c r="BA111" i="7" s="1"/>
  <c r="AC82" i="7"/>
  <c r="BA82" i="7" s="1"/>
  <c r="AC22" i="7"/>
  <c r="BA22" i="7" s="1"/>
  <c r="AC19" i="7"/>
  <c r="BA19" i="7" s="1"/>
  <c r="AZ85" i="7"/>
  <c r="AT135" i="7"/>
  <c r="AT123" i="7"/>
  <c r="AT117" i="7"/>
  <c r="AT113" i="7"/>
  <c r="AT116" i="7"/>
  <c r="AT115" i="7"/>
  <c r="AT121" i="7"/>
  <c r="AT114" i="7"/>
  <c r="AT118" i="7"/>
  <c r="AT112" i="7"/>
  <c r="AT83" i="7"/>
  <c r="AT77" i="7"/>
  <c r="AT74" i="7"/>
  <c r="AT111" i="7"/>
  <c r="AT82" i="7"/>
  <c r="AT110" i="7"/>
  <c r="AT81" i="7"/>
  <c r="AT75" i="7"/>
  <c r="AT18" i="7"/>
  <c r="AT109" i="7"/>
  <c r="AT84" i="7"/>
  <c r="AT80" i="7"/>
  <c r="AT79" i="7"/>
  <c r="AT78" i="7"/>
  <c r="AT76" i="7"/>
  <c r="AT19" i="7"/>
  <c r="AT25" i="7"/>
  <c r="AT26" i="7"/>
  <c r="AT22" i="7"/>
  <c r="AT119" i="7"/>
  <c r="AQ104" i="7"/>
  <c r="AQ73" i="7"/>
  <c r="AC135" i="7"/>
  <c r="BA135" i="7" s="1"/>
  <c r="AZ124" i="7"/>
  <c r="AD135" i="7"/>
  <c r="AZ135" i="7" s="1"/>
  <c r="AZ130" i="7"/>
  <c r="AZ129" i="7"/>
  <c r="AZ126" i="7"/>
  <c r="AZ132" i="7"/>
  <c r="AD123" i="7"/>
  <c r="AZ123" i="7" s="1"/>
  <c r="AZ134" i="7"/>
  <c r="AZ127" i="7"/>
  <c r="AD115" i="7"/>
  <c r="AZ115" i="7" s="1"/>
  <c r="AZ131" i="7"/>
  <c r="AZ122" i="7"/>
  <c r="AZ128" i="7"/>
  <c r="AD125" i="7"/>
  <c r="AZ125" i="7" s="1"/>
  <c r="AD119" i="7"/>
  <c r="AZ119" i="7" s="1"/>
  <c r="AD114" i="7"/>
  <c r="AZ114" i="7" s="1"/>
  <c r="AD118" i="7"/>
  <c r="AZ118" i="7" s="1"/>
  <c r="AD117" i="7"/>
  <c r="AZ117" i="7" s="1"/>
  <c r="AD113" i="7"/>
  <c r="AZ113" i="7" s="1"/>
  <c r="AD121" i="7"/>
  <c r="AZ121" i="7" s="1"/>
  <c r="AZ133" i="7"/>
  <c r="AD116" i="7"/>
  <c r="AZ116" i="7" s="1"/>
  <c r="AZ120" i="7"/>
  <c r="AD111" i="7"/>
  <c r="AZ111" i="7" s="1"/>
  <c r="AZ82" i="7"/>
  <c r="AD78" i="7"/>
  <c r="AZ78" i="7" s="1"/>
  <c r="AZ81" i="7"/>
  <c r="AZ76" i="7"/>
  <c r="AD109" i="7"/>
  <c r="AZ109" i="7" s="1"/>
  <c r="AZ84" i="7"/>
  <c r="AD80" i="7"/>
  <c r="AZ80" i="7" s="1"/>
  <c r="AD79" i="7"/>
  <c r="AZ79" i="7" s="1"/>
  <c r="AD77" i="7"/>
  <c r="AZ77" i="7" s="1"/>
  <c r="AZ75" i="7"/>
  <c r="AD112" i="7"/>
  <c r="AZ112" i="7" s="1"/>
  <c r="AZ108" i="7"/>
  <c r="AZ83" i="7"/>
  <c r="AZ74" i="7"/>
  <c r="AQ121" i="7"/>
  <c r="AQ118" i="7"/>
  <c r="AQ114" i="7"/>
  <c r="AQ117" i="7"/>
  <c r="AQ113" i="7"/>
  <c r="AQ116" i="7"/>
  <c r="AQ123" i="7"/>
  <c r="AQ119" i="7"/>
  <c r="AQ115" i="7"/>
  <c r="AQ78" i="7"/>
  <c r="AQ77" i="7"/>
  <c r="AQ18" i="7"/>
  <c r="BA133" i="7"/>
  <c r="BA127" i="7"/>
  <c r="AC125" i="7"/>
  <c r="BA125" i="7" s="1"/>
  <c r="AC119" i="7"/>
  <c r="BA119" i="7" s="1"/>
  <c r="AQ19" i="7"/>
  <c r="D135" i="7"/>
  <c r="AU135" i="7" s="1"/>
  <c r="BC135" i="7" s="1"/>
  <c r="D134" i="7"/>
  <c r="AU134" i="7" s="1"/>
  <c r="BC134" i="7" s="1"/>
  <c r="D133" i="7"/>
  <c r="AU133" i="7" s="1"/>
  <c r="BC133" i="7" s="1"/>
  <c r="D132" i="7"/>
  <c r="AU132" i="7" s="1"/>
  <c r="BC132" i="7" s="1"/>
  <c r="D131" i="7"/>
  <c r="AU131" i="7" s="1"/>
  <c r="BC131" i="7" s="1"/>
  <c r="D130" i="7"/>
  <c r="AU130" i="7" s="1"/>
  <c r="BC130" i="7" s="1"/>
  <c r="D129" i="7"/>
  <c r="AU129" i="7" s="1"/>
  <c r="BC129" i="7" s="1"/>
  <c r="D124" i="7"/>
  <c r="AU124" i="7" s="1"/>
  <c r="BC124" i="7" s="1"/>
  <c r="D123" i="7"/>
  <c r="AU123" i="7" s="1"/>
  <c r="BC123" i="7" s="1"/>
  <c r="D122" i="7"/>
  <c r="AU122" i="7" s="1"/>
  <c r="BC122" i="7" s="1"/>
  <c r="D121" i="7"/>
  <c r="AU121" i="7" s="1"/>
  <c r="BC121" i="7" s="1"/>
  <c r="D120" i="7"/>
  <c r="AU120" i="7" s="1"/>
  <c r="BC120" i="7" s="1"/>
  <c r="D125" i="7"/>
  <c r="AU125" i="7" s="1"/>
  <c r="BC125" i="7" s="1"/>
  <c r="D126" i="7"/>
  <c r="AU126" i="7" s="1"/>
  <c r="BC126" i="7" s="1"/>
  <c r="D127" i="7"/>
  <c r="AU127" i="7" s="1"/>
  <c r="BC127" i="7" s="1"/>
  <c r="D128" i="7"/>
  <c r="AU128" i="7" s="1"/>
  <c r="BC128" i="7" s="1"/>
  <c r="D119" i="7"/>
  <c r="AU119" i="7" s="1"/>
  <c r="BC119" i="7" s="1"/>
  <c r="D118" i="7"/>
  <c r="AU118" i="7" s="1"/>
  <c r="BC118" i="7" s="1"/>
  <c r="D114" i="7"/>
  <c r="AU114" i="7" s="1"/>
  <c r="BC114" i="7" s="1"/>
  <c r="D115" i="7"/>
  <c r="AU115" i="7" s="1"/>
  <c r="BC115" i="7" s="1"/>
  <c r="D116" i="7"/>
  <c r="AU116" i="7" s="1"/>
  <c r="BC116" i="7" s="1"/>
  <c r="D117" i="7"/>
  <c r="AU117" i="7" s="1"/>
  <c r="BC117" i="7" s="1"/>
  <c r="D113" i="7"/>
  <c r="AU113" i="7" s="1"/>
  <c r="BC113" i="7" s="1"/>
  <c r="D109" i="7"/>
  <c r="AU109" i="7" s="1"/>
  <c r="BC109" i="7" s="1"/>
  <c r="D110" i="7"/>
  <c r="AU110" i="7" s="1"/>
  <c r="BC110" i="7" s="1"/>
  <c r="D111" i="7"/>
  <c r="AU111" i="7" s="1"/>
  <c r="BC111" i="7" s="1"/>
  <c r="D112" i="7"/>
  <c r="AU112" i="7" s="1"/>
  <c r="BC112" i="7" s="1"/>
  <c r="D108" i="7"/>
  <c r="AU108" i="7" s="1"/>
  <c r="BC108" i="7" s="1"/>
  <c r="D107" i="7"/>
  <c r="AU107" i="7" s="1"/>
  <c r="BC107" i="7" s="1"/>
  <c r="C104" i="7"/>
  <c r="AW104" i="7" s="1"/>
  <c r="BC104" i="7" s="1"/>
  <c r="AV141" i="7"/>
  <c r="BC141" i="7" s="1"/>
  <c r="AV140" i="7"/>
  <c r="BC140" i="7" s="1"/>
  <c r="AV139" i="7"/>
  <c r="BC139" i="7" s="1"/>
  <c r="AV138" i="7"/>
  <c r="BC138" i="7" s="1"/>
  <c r="AV137" i="7"/>
  <c r="BC137" i="7" s="1"/>
  <c r="AV136" i="7"/>
  <c r="BC136" i="7" s="1"/>
  <c r="C105" i="7"/>
  <c r="AW105" i="7" s="1"/>
  <c r="BC105" i="7" s="1"/>
  <c r="BC72" i="7"/>
  <c r="AV91" i="7"/>
  <c r="BC91" i="7" s="1"/>
  <c r="AV90" i="7"/>
  <c r="BC90" i="7" s="1"/>
  <c r="AV89" i="7"/>
  <c r="BC89" i="7" s="1"/>
  <c r="AV88" i="7"/>
  <c r="BC88" i="7" s="1"/>
  <c r="AV87" i="7"/>
  <c r="BC87" i="7" s="1"/>
  <c r="AV86" i="7"/>
  <c r="BC86" i="7" s="1"/>
  <c r="D85" i="7"/>
  <c r="AU85" i="7" s="1"/>
  <c r="BC85" i="7" s="1"/>
  <c r="D84" i="7"/>
  <c r="AU84" i="7" s="1"/>
  <c r="BC84" i="7" s="1"/>
  <c r="D83" i="7"/>
  <c r="AU83" i="7" s="1"/>
  <c r="BC83" i="7" s="1"/>
  <c r="D82" i="7"/>
  <c r="AU82" i="7" s="1"/>
  <c r="BC82" i="7" s="1"/>
  <c r="D81" i="7"/>
  <c r="AU81" i="7" s="1"/>
  <c r="BC81" i="7" s="1"/>
  <c r="D80" i="7"/>
  <c r="AU80" i="7" s="1"/>
  <c r="BC80" i="7" s="1"/>
  <c r="D79" i="7"/>
  <c r="AU79" i="7" s="1"/>
  <c r="BC79" i="7" s="1"/>
  <c r="D78" i="7"/>
  <c r="AU78" i="7" s="1"/>
  <c r="BC78" i="7" s="1"/>
  <c r="D77" i="7"/>
  <c r="AU77" i="7" s="1"/>
  <c r="BC77" i="7" s="1"/>
  <c r="D76" i="7"/>
  <c r="AU76" i="7" s="1"/>
  <c r="BC76" i="7" s="1"/>
  <c r="D75" i="7"/>
  <c r="AU75" i="7" s="1"/>
  <c r="BC75" i="7" s="1"/>
  <c r="D74" i="7"/>
  <c r="AU74" i="7" s="1"/>
  <c r="BC74" i="7" s="1"/>
  <c r="AW16" i="7"/>
  <c r="AW14" i="7"/>
  <c r="BC14" i="7" s="1"/>
  <c r="AV32" i="7"/>
  <c r="BC32" i="7" s="1"/>
  <c r="E31" i="7"/>
  <c r="AV31" i="7" s="1"/>
  <c r="BC31" i="7" s="1"/>
  <c r="E30" i="7"/>
  <c r="AV30" i="7" s="1"/>
  <c r="BC30" i="7" s="1"/>
  <c r="AV29" i="7"/>
  <c r="BC29" i="7" s="1"/>
  <c r="E28" i="7"/>
  <c r="AV28" i="7" s="1"/>
  <c r="BC28" i="7" s="1"/>
  <c r="E27" i="7"/>
  <c r="C26" i="7"/>
  <c r="AW26" i="7" s="1"/>
  <c r="BC26" i="7" s="1"/>
  <c r="C23" i="7"/>
  <c r="D21" i="7"/>
  <c r="C670" i="14" l="1"/>
  <c r="H670" i="14" s="1"/>
  <c r="AQ209" i="7"/>
  <c r="AQ66" i="7"/>
  <c r="AD16" i="7"/>
  <c r="U66" i="7"/>
  <c r="AT66" i="7"/>
  <c r="AG66" i="7"/>
  <c r="BA16" i="7"/>
  <c r="BA66" i="7" s="1"/>
  <c r="AC66" i="7"/>
  <c r="AV27" i="7"/>
  <c r="E66" i="7"/>
  <c r="AW21" i="7"/>
  <c r="BC21" i="7" s="1"/>
  <c r="D66" i="7"/>
  <c r="AW23" i="7"/>
  <c r="BC23" i="7" s="1"/>
  <c r="C66" i="7"/>
  <c r="BC16" i="7"/>
  <c r="BC42" i="7"/>
  <c r="AU66" i="7"/>
  <c r="AD192" i="7"/>
  <c r="AZ192" i="7" s="1"/>
  <c r="BA192" i="7"/>
  <c r="AD191" i="7"/>
  <c r="AZ191" i="7" s="1"/>
  <c r="BA191" i="7"/>
  <c r="AD197" i="7"/>
  <c r="AZ197" i="7" s="1"/>
  <c r="BA197" i="7"/>
  <c r="BA195" i="7"/>
  <c r="AD195" i="7"/>
  <c r="AZ195" i="7" s="1"/>
  <c r="BA198" i="7"/>
  <c r="AD198" i="7"/>
  <c r="AZ198" i="7" s="1"/>
  <c r="AD193" i="7"/>
  <c r="AZ193" i="7" s="1"/>
  <c r="BA193" i="7"/>
  <c r="AD196" i="7"/>
  <c r="AZ196" i="7" s="1"/>
  <c r="BA196" i="7"/>
  <c r="AZ93" i="7"/>
  <c r="U165" i="7"/>
  <c r="AD158" i="7"/>
  <c r="T136" i="7"/>
  <c r="T137" i="7"/>
  <c r="T140" i="7"/>
  <c r="AZ107" i="7"/>
  <c r="T138" i="7"/>
  <c r="T139" i="7"/>
  <c r="T141" i="7"/>
  <c r="AD110" i="7"/>
  <c r="AZ110" i="7" s="1"/>
  <c r="C71" i="7"/>
  <c r="AW71" i="7" s="1"/>
  <c r="BC71" i="7" s="1"/>
  <c r="C351" i="14" l="1"/>
  <c r="C358" i="14"/>
  <c r="F358" i="14" s="1"/>
  <c r="C350" i="14"/>
  <c r="H350" i="14" s="1"/>
  <c r="C352" i="14"/>
  <c r="F352" i="14" s="1"/>
  <c r="C364" i="14"/>
  <c r="C669" i="14"/>
  <c r="H358" i="14"/>
  <c r="F670" i="14"/>
  <c r="I670" i="14" s="1"/>
  <c r="H364" i="14"/>
  <c r="F364" i="14"/>
  <c r="C361" i="14"/>
  <c r="H351" i="14"/>
  <c r="F351" i="14"/>
  <c r="H669" i="14"/>
  <c r="F669" i="14"/>
  <c r="AZ153" i="7"/>
  <c r="AV66" i="7"/>
  <c r="BC27" i="7"/>
  <c r="BC66" i="7" s="1"/>
  <c r="AW66" i="7"/>
  <c r="AZ16" i="7"/>
  <c r="AZ66" i="7" s="1"/>
  <c r="AD66" i="7"/>
  <c r="AZ158" i="7"/>
  <c r="AZ165" i="7" s="1"/>
  <c r="AD165" i="7"/>
  <c r="AC165" i="7"/>
  <c r="BA158" i="7"/>
  <c r="BA165" i="7" s="1"/>
  <c r="DF153" i="7"/>
  <c r="DG153" i="7"/>
  <c r="DH153" i="7"/>
  <c r="DI153" i="7"/>
  <c r="DL153" i="7"/>
  <c r="DM153" i="7"/>
  <c r="DN153" i="7"/>
  <c r="DF99" i="7"/>
  <c r="DG99" i="7"/>
  <c r="DH99" i="7"/>
  <c r="DI99" i="7"/>
  <c r="DL99" i="7"/>
  <c r="DM99" i="7"/>
  <c r="DN99" i="7"/>
  <c r="I669" i="14" l="1"/>
  <c r="H352" i="14"/>
  <c r="F350" i="14"/>
  <c r="C363" i="14"/>
  <c r="H363" i="14" s="1"/>
  <c r="C579" i="14"/>
  <c r="C560" i="14"/>
  <c r="C672" i="14"/>
  <c r="C369" i="14"/>
  <c r="H369" i="14" s="1"/>
  <c r="C355" i="14"/>
  <c r="I364" i="14"/>
  <c r="C368" i="14"/>
  <c r="C366" i="14"/>
  <c r="H366" i="14" s="1"/>
  <c r="C674" i="14"/>
  <c r="F674" i="14" s="1"/>
  <c r="C370" i="14"/>
  <c r="I350" i="14"/>
  <c r="I358" i="14"/>
  <c r="F560" i="14"/>
  <c r="E561" i="14" s="1"/>
  <c r="F561" i="14" s="1"/>
  <c r="I561" i="14" s="1"/>
  <c r="H560" i="14"/>
  <c r="H370" i="14"/>
  <c r="F370" i="14"/>
  <c r="H368" i="14"/>
  <c r="F368" i="14"/>
  <c r="F369" i="14"/>
  <c r="H361" i="14"/>
  <c r="F361" i="14"/>
  <c r="F363" i="14"/>
  <c r="H579" i="14"/>
  <c r="F579" i="14"/>
  <c r="H672" i="14"/>
  <c r="F672" i="14"/>
  <c r="H674" i="14"/>
  <c r="H355" i="14"/>
  <c r="F355" i="14"/>
  <c r="I352" i="14"/>
  <c r="I351" i="14"/>
  <c r="DH173" i="7"/>
  <c r="DH539" i="7" s="1"/>
  <c r="DM173" i="7"/>
  <c r="DM539" i="7" s="1"/>
  <c r="DG173" i="7"/>
  <c r="DG539" i="7" s="1"/>
  <c r="DL173" i="7"/>
  <c r="DL539" i="7" s="1"/>
  <c r="DF173" i="7"/>
  <c r="DF539" i="7" s="1"/>
  <c r="DI173" i="7"/>
  <c r="DI539" i="7" s="1"/>
  <c r="DN173" i="7"/>
  <c r="DN539" i="7" s="1"/>
  <c r="T86" i="7"/>
  <c r="T87" i="7"/>
  <c r="T88" i="7"/>
  <c r="T89" i="7"/>
  <c r="T90" i="7"/>
  <c r="T91" i="7"/>
  <c r="BT99" i="7"/>
  <c r="BV99" i="7"/>
  <c r="BW99" i="7"/>
  <c r="BW173" i="7" s="1"/>
  <c r="BW539" i="7" s="1"/>
  <c r="BX99" i="7"/>
  <c r="BX173" i="7" s="1"/>
  <c r="BX539" i="7" s="1"/>
  <c r="T31" i="7"/>
  <c r="CJ173" i="7"/>
  <c r="CJ539" i="7" s="1"/>
  <c r="CL173" i="7"/>
  <c r="CL539" i="7" s="1"/>
  <c r="CN173" i="7"/>
  <c r="CN539" i="7" s="1"/>
  <c r="CO173" i="7"/>
  <c r="CO539" i="7" s="1"/>
  <c r="CP99" i="7"/>
  <c r="F366" i="14" l="1"/>
  <c r="I363" i="14"/>
  <c r="I369" i="14"/>
  <c r="I370" i="14"/>
  <c r="I366" i="14"/>
  <c r="I361" i="14"/>
  <c r="I368" i="14"/>
  <c r="I560" i="14"/>
  <c r="I579" i="14"/>
  <c r="I355" i="14"/>
  <c r="I672" i="14"/>
  <c r="I674" i="14"/>
  <c r="CP173" i="7"/>
  <c r="CP539" i="7" s="1"/>
  <c r="DQ53" i="7"/>
  <c r="DU53" i="7" s="1"/>
  <c r="BV173" i="7"/>
  <c r="BV539" i="7" s="1"/>
  <c r="DQ32" i="7"/>
  <c r="BT173" i="7"/>
  <c r="BT539" i="7" s="1"/>
  <c r="DQ30" i="7"/>
  <c r="C550" i="14" l="1"/>
  <c r="F550" i="14" s="1"/>
  <c r="H550" i="14"/>
  <c r="BH153" i="7"/>
  <c r="DR18" i="7" s="1"/>
  <c r="BI153" i="7"/>
  <c r="DQ253" i="7"/>
  <c r="BH209" i="7"/>
  <c r="BI209" i="7"/>
  <c r="BI227" i="7" s="1"/>
  <c r="CE227" i="7"/>
  <c r="CF227" i="7"/>
  <c r="CH227" i="7"/>
  <c r="CH539" i="7" s="1"/>
  <c r="CS227" i="7"/>
  <c r="BH99" i="7"/>
  <c r="DQ18" i="7" s="1"/>
  <c r="BI99" i="7"/>
  <c r="DQ19" i="7" s="1"/>
  <c r="BK99" i="7"/>
  <c r="BL99" i="7"/>
  <c r="BM99" i="7"/>
  <c r="BO99" i="7"/>
  <c r="BP99" i="7"/>
  <c r="BQ99" i="7"/>
  <c r="BR99" i="7"/>
  <c r="BS99" i="7"/>
  <c r="CB99" i="7"/>
  <c r="DQ39" i="7" s="1"/>
  <c r="CD173" i="7"/>
  <c r="CE173" i="7"/>
  <c r="CE539" i="7" s="1"/>
  <c r="CF173" i="7"/>
  <c r="CF539" i="7" s="1"/>
  <c r="CS99" i="7"/>
  <c r="CS173" i="7" s="1"/>
  <c r="C542" i="14" l="1"/>
  <c r="C638" i="14"/>
  <c r="F638" i="14" s="1"/>
  <c r="CS539" i="7"/>
  <c r="C552" i="14"/>
  <c r="F552" i="14" s="1"/>
  <c r="C864" i="14"/>
  <c r="H864" i="14" s="1"/>
  <c r="I550" i="14"/>
  <c r="H542" i="14"/>
  <c r="F542" i="14"/>
  <c r="F864" i="14"/>
  <c r="H638" i="14"/>
  <c r="DU253" i="7"/>
  <c r="BH227" i="7"/>
  <c r="DR192" i="7"/>
  <c r="BI292" i="7"/>
  <c r="DQ254" i="7"/>
  <c r="DU18" i="7"/>
  <c r="DR19" i="7"/>
  <c r="DU19" i="7" s="1"/>
  <c r="DQ56" i="7"/>
  <c r="DU56" i="7" s="1"/>
  <c r="DU39" i="7"/>
  <c r="BP173" i="7"/>
  <c r="BP539" i="7" s="1"/>
  <c r="DQ26" i="7"/>
  <c r="BK173" i="7"/>
  <c r="BK539" i="7" s="1"/>
  <c r="DQ21" i="7"/>
  <c r="DU21" i="7" s="1"/>
  <c r="BS173" i="7"/>
  <c r="BS539" i="7" s="1"/>
  <c r="DQ29" i="7"/>
  <c r="BO173" i="7"/>
  <c r="BO539" i="7" s="1"/>
  <c r="DQ25" i="7"/>
  <c r="BM173" i="7"/>
  <c r="BM539" i="7" s="1"/>
  <c r="DQ23" i="7"/>
  <c r="DU23" i="7" s="1"/>
  <c r="BQ173" i="7"/>
  <c r="BQ539" i="7" s="1"/>
  <c r="DQ27" i="7"/>
  <c r="BL173" i="7"/>
  <c r="BL539" i="7" s="1"/>
  <c r="DQ22" i="7"/>
  <c r="DU22" i="7" s="1"/>
  <c r="BR173" i="7"/>
  <c r="BR539" i="7" s="1"/>
  <c r="DQ28" i="7"/>
  <c r="AZ427" i="7"/>
  <c r="AZ425" i="7"/>
  <c r="AZ421" i="7"/>
  <c r="AZ387" i="7"/>
  <c r="AZ385" i="7"/>
  <c r="AZ383" i="7"/>
  <c r="AQ492" i="7"/>
  <c r="AZ378" i="7"/>
  <c r="AZ388" i="7"/>
  <c r="AZ386" i="7"/>
  <c r="AZ384" i="7"/>
  <c r="AZ426" i="7"/>
  <c r="AZ420" i="7"/>
  <c r="BA377" i="7"/>
  <c r="AZ419" i="7"/>
  <c r="AZ377" i="7"/>
  <c r="BA419" i="7"/>
  <c r="BA428" i="7"/>
  <c r="BA426" i="7"/>
  <c r="BA388" i="7"/>
  <c r="BA386" i="7"/>
  <c r="BA384" i="7"/>
  <c r="BA427" i="7"/>
  <c r="BA425" i="7"/>
  <c r="BA421" i="7"/>
  <c r="BA389" i="7"/>
  <c r="BA387" i="7"/>
  <c r="BA385" i="7"/>
  <c r="BA383" i="7"/>
  <c r="AZ418" i="7"/>
  <c r="AZ376" i="7"/>
  <c r="BI173" i="7"/>
  <c r="BI539" i="7" s="1"/>
  <c r="BH292" i="7"/>
  <c r="CD227" i="7"/>
  <c r="CD539" i="7" s="1"/>
  <c r="BH173" i="7"/>
  <c r="CB173" i="7"/>
  <c r="CB539" i="7" s="1"/>
  <c r="O15" i="6"/>
  <c r="O14" i="6"/>
  <c r="O13" i="6"/>
  <c r="O12" i="6"/>
  <c r="O11" i="6"/>
  <c r="L11" i="6"/>
  <c r="H552" i="14" l="1"/>
  <c r="C549" i="14"/>
  <c r="C548" i="14"/>
  <c r="H548" i="14" s="1"/>
  <c r="C547" i="14"/>
  <c r="C545" i="14"/>
  <c r="H545" i="14" s="1"/>
  <c r="C546" i="14"/>
  <c r="C771" i="14"/>
  <c r="BH539" i="7"/>
  <c r="I638" i="14"/>
  <c r="I552" i="14"/>
  <c r="I542" i="14"/>
  <c r="H549" i="14"/>
  <c r="F549" i="14"/>
  <c r="H546" i="14"/>
  <c r="F546" i="14"/>
  <c r="H547" i="14"/>
  <c r="F547" i="14"/>
  <c r="H771" i="14"/>
  <c r="F771" i="14"/>
  <c r="I771" i="14" s="1"/>
  <c r="I864" i="14"/>
  <c r="AC412" i="7"/>
  <c r="BA412" i="7"/>
  <c r="AC460" i="7"/>
  <c r="DQ65" i="7"/>
  <c r="DU254" i="7"/>
  <c r="DU192" i="7"/>
  <c r="U484" i="7"/>
  <c r="U460" i="7"/>
  <c r="BA418" i="7"/>
  <c r="BA460" i="7" s="1"/>
  <c r="C1275" i="14" l="1"/>
  <c r="C1171" i="14"/>
  <c r="H1171" i="14" s="1"/>
  <c r="C1175" i="14"/>
  <c r="H1175" i="14" s="1"/>
  <c r="F545" i="14"/>
  <c r="I545" i="14" s="1"/>
  <c r="F548" i="14"/>
  <c r="I548" i="14" s="1"/>
  <c r="C1167" i="14"/>
  <c r="F1167" i="14" s="1"/>
  <c r="I547" i="14"/>
  <c r="I546" i="14"/>
  <c r="I549" i="14"/>
  <c r="F1175" i="14"/>
  <c r="F1275" i="14"/>
  <c r="H1275" i="14"/>
  <c r="F1171" i="14"/>
  <c r="U412" i="7"/>
  <c r="AG370" i="7"/>
  <c r="AG412" i="7"/>
  <c r="AD484" i="7"/>
  <c r="AC484" i="7"/>
  <c r="AD412" i="7"/>
  <c r="AD460" i="7"/>
  <c r="H1167" i="14" l="1"/>
  <c r="C1055" i="14"/>
  <c r="C924" i="14"/>
  <c r="F924" i="14" s="1"/>
  <c r="C1172" i="14"/>
  <c r="F1172" i="14" s="1"/>
  <c r="C1049" i="14"/>
  <c r="F1049" i="14" s="1"/>
  <c r="C1053" i="14"/>
  <c r="C1280" i="14"/>
  <c r="F1280" i="14" s="1"/>
  <c r="C1281" i="14"/>
  <c r="F1281" i="14" s="1"/>
  <c r="I1171" i="14"/>
  <c r="I1175" i="14"/>
  <c r="H1055" i="14"/>
  <c r="F1055" i="14"/>
  <c r="H1053" i="14"/>
  <c r="F1053" i="14"/>
  <c r="H924" i="14"/>
  <c r="I1275" i="14"/>
  <c r="I1167" i="14"/>
  <c r="H1049" i="14"/>
  <c r="AG492" i="7"/>
  <c r="AZ375" i="7"/>
  <c r="AZ412" i="7" s="1"/>
  <c r="BA467" i="7"/>
  <c r="BA484" i="7" s="1"/>
  <c r="AZ417" i="7"/>
  <c r="AZ460" i="7" s="1"/>
  <c r="AZ467" i="7"/>
  <c r="AZ484" i="7" s="1"/>
  <c r="O120" i="6"/>
  <c r="M120" i="6"/>
  <c r="K120" i="6"/>
  <c r="J230" i="6"/>
  <c r="O230" i="6"/>
  <c r="M230" i="6"/>
  <c r="K230" i="6"/>
  <c r="O287" i="6"/>
  <c r="O286" i="6"/>
  <c r="M287" i="6"/>
  <c r="M286" i="6"/>
  <c r="L287" i="6"/>
  <c r="L286" i="6"/>
  <c r="J287" i="6"/>
  <c r="J286" i="6"/>
  <c r="E281" i="6"/>
  <c r="I281" i="6" s="1"/>
  <c r="E280" i="6"/>
  <c r="J280" i="6" s="1"/>
  <c r="G230" i="6"/>
  <c r="L201" i="6"/>
  <c r="L200" i="6"/>
  <c r="W287" i="6"/>
  <c r="T287" i="6"/>
  <c r="S287" i="6"/>
  <c r="R287" i="6"/>
  <c r="W286" i="6"/>
  <c r="T286" i="6"/>
  <c r="S286" i="6"/>
  <c r="R286" i="6"/>
  <c r="S280" i="6"/>
  <c r="E279" i="6"/>
  <c r="W278" i="6"/>
  <c r="T278" i="6"/>
  <c r="U278" i="6" s="1"/>
  <c r="S278" i="6"/>
  <c r="R278" i="6"/>
  <c r="P278" i="6"/>
  <c r="Q278" i="6" s="1"/>
  <c r="W269" i="6"/>
  <c r="T269" i="6"/>
  <c r="S269" i="6"/>
  <c r="R269" i="6"/>
  <c r="P269" i="6"/>
  <c r="Q269" i="6" s="1"/>
  <c r="W268" i="6"/>
  <c r="T268" i="6"/>
  <c r="U268" i="6" s="1"/>
  <c r="S268" i="6"/>
  <c r="R268" i="6"/>
  <c r="P268" i="6"/>
  <c r="Q268" i="6" s="1"/>
  <c r="W267" i="6"/>
  <c r="T267" i="6"/>
  <c r="S267" i="6"/>
  <c r="R267" i="6"/>
  <c r="P267" i="6"/>
  <c r="Q267" i="6" s="1"/>
  <c r="W266" i="6"/>
  <c r="T266" i="6"/>
  <c r="U266" i="6" s="1"/>
  <c r="S266" i="6"/>
  <c r="R266" i="6"/>
  <c r="P266" i="6"/>
  <c r="Q266" i="6" s="1"/>
  <c r="W265" i="6"/>
  <c r="T265" i="6"/>
  <c r="S265" i="6"/>
  <c r="R265" i="6"/>
  <c r="P265" i="6"/>
  <c r="Q265" i="6" s="1"/>
  <c r="W264" i="6"/>
  <c r="T264" i="6"/>
  <c r="U264" i="6" s="1"/>
  <c r="S264" i="6"/>
  <c r="R264" i="6"/>
  <c r="P264" i="6"/>
  <c r="Q264" i="6" s="1"/>
  <c r="W263" i="6"/>
  <c r="T263" i="6"/>
  <c r="S263" i="6"/>
  <c r="R263" i="6"/>
  <c r="P263" i="6"/>
  <c r="Q263" i="6" s="1"/>
  <c r="T260" i="6"/>
  <c r="S260" i="6"/>
  <c r="N260" i="6"/>
  <c r="J260" i="6"/>
  <c r="T259" i="6"/>
  <c r="S259" i="6"/>
  <c r="N259" i="6"/>
  <c r="J259" i="6"/>
  <c r="T258" i="6"/>
  <c r="S258" i="6"/>
  <c r="M258" i="6"/>
  <c r="J258" i="6"/>
  <c r="T257" i="6"/>
  <c r="S257" i="6"/>
  <c r="L257" i="6"/>
  <c r="J257" i="6"/>
  <c r="T256" i="6"/>
  <c r="S256" i="6"/>
  <c r="O256" i="6"/>
  <c r="J256" i="6"/>
  <c r="T255" i="6"/>
  <c r="S255" i="6"/>
  <c r="O255" i="6"/>
  <c r="L255" i="6"/>
  <c r="J255" i="6"/>
  <c r="T254" i="6"/>
  <c r="U254" i="6" s="1"/>
  <c r="S254" i="6"/>
  <c r="O254" i="6"/>
  <c r="J254" i="6"/>
  <c r="T253" i="6"/>
  <c r="U253" i="6" s="1"/>
  <c r="S253" i="6"/>
  <c r="O253" i="6"/>
  <c r="L253" i="6"/>
  <c r="J253" i="6"/>
  <c r="T252" i="6"/>
  <c r="S252" i="6"/>
  <c r="O252" i="6"/>
  <c r="L252" i="6"/>
  <c r="J252" i="6"/>
  <c r="T251" i="6"/>
  <c r="S251" i="6"/>
  <c r="O251" i="6"/>
  <c r="L251" i="6"/>
  <c r="J251" i="6"/>
  <c r="P250" i="6"/>
  <c r="Q250" i="6" s="1"/>
  <c r="G249" i="6"/>
  <c r="G248" i="6"/>
  <c r="G247" i="6"/>
  <c r="S247" i="6" s="1"/>
  <c r="T246" i="6"/>
  <c r="S246" i="6"/>
  <c r="O246" i="6"/>
  <c r="I246" i="6"/>
  <c r="T245" i="6"/>
  <c r="S245" i="6"/>
  <c r="O245" i="6"/>
  <c r="I245" i="6"/>
  <c r="T244" i="6"/>
  <c r="S244" i="6"/>
  <c r="O244" i="6"/>
  <c r="I244" i="6"/>
  <c r="T243" i="6"/>
  <c r="S243" i="6"/>
  <c r="O243" i="6"/>
  <c r="I243" i="6"/>
  <c r="T242" i="6"/>
  <c r="S242" i="6"/>
  <c r="O242" i="6"/>
  <c r="J242" i="6"/>
  <c r="T241" i="6"/>
  <c r="S241" i="6"/>
  <c r="O241" i="6"/>
  <c r="J241" i="6"/>
  <c r="T240" i="6"/>
  <c r="S240" i="6"/>
  <c r="O240" i="6"/>
  <c r="J240" i="6"/>
  <c r="T239" i="6"/>
  <c r="S239" i="6"/>
  <c r="O239" i="6"/>
  <c r="J239" i="6"/>
  <c r="T238" i="6"/>
  <c r="S238" i="6"/>
  <c r="O238" i="6"/>
  <c r="J238" i="6"/>
  <c r="T237" i="6"/>
  <c r="S237" i="6"/>
  <c r="O237" i="6"/>
  <c r="J237" i="6"/>
  <c r="T236" i="6"/>
  <c r="S236" i="6"/>
  <c r="O236" i="6"/>
  <c r="J236" i="6"/>
  <c r="T235" i="6"/>
  <c r="S235" i="6"/>
  <c r="O235" i="6"/>
  <c r="J235" i="6"/>
  <c r="T234" i="6"/>
  <c r="S234" i="6"/>
  <c r="O234" i="6"/>
  <c r="J234" i="6"/>
  <c r="T233" i="6"/>
  <c r="S233" i="6"/>
  <c r="O233" i="6"/>
  <c r="L233" i="6"/>
  <c r="J233" i="6"/>
  <c r="T232" i="6"/>
  <c r="S232" i="6"/>
  <c r="O232" i="6"/>
  <c r="L232" i="6"/>
  <c r="I232" i="6"/>
  <c r="P229" i="6"/>
  <c r="Q229" i="6" s="1"/>
  <c r="W228" i="6"/>
  <c r="T228" i="6"/>
  <c r="S228" i="6"/>
  <c r="R228" i="6"/>
  <c r="L228" i="6"/>
  <c r="G227" i="6"/>
  <c r="G226" i="6"/>
  <c r="T226" i="6" s="1"/>
  <c r="G225" i="6"/>
  <c r="T225" i="6" s="1"/>
  <c r="U225" i="6" s="1"/>
  <c r="G224" i="6"/>
  <c r="S224" i="6" s="1"/>
  <c r="T223" i="6"/>
  <c r="S223" i="6"/>
  <c r="M223" i="6"/>
  <c r="J223" i="6"/>
  <c r="T222" i="6"/>
  <c r="S222" i="6"/>
  <c r="N222" i="6"/>
  <c r="J222" i="6"/>
  <c r="T221" i="6"/>
  <c r="S221" i="6"/>
  <c r="N221" i="6"/>
  <c r="J221" i="6"/>
  <c r="T220" i="6"/>
  <c r="S220" i="6"/>
  <c r="M220" i="6"/>
  <c r="J220" i="6"/>
  <c r="T219" i="6"/>
  <c r="S219" i="6"/>
  <c r="M219" i="6"/>
  <c r="J219" i="6"/>
  <c r="T218" i="6"/>
  <c r="S218" i="6"/>
  <c r="L218" i="6"/>
  <c r="J218" i="6"/>
  <c r="T217" i="6"/>
  <c r="S217" i="6"/>
  <c r="O217" i="6"/>
  <c r="L217" i="6"/>
  <c r="J217" i="6"/>
  <c r="T216" i="6"/>
  <c r="S216" i="6"/>
  <c r="M216" i="6"/>
  <c r="J216" i="6"/>
  <c r="T215" i="6"/>
  <c r="S215" i="6"/>
  <c r="O215" i="6"/>
  <c r="J215" i="6"/>
  <c r="T214" i="6"/>
  <c r="S214" i="6"/>
  <c r="N214" i="6"/>
  <c r="J214" i="6"/>
  <c r="T213" i="6"/>
  <c r="S213" i="6"/>
  <c r="O213" i="6"/>
  <c r="J213" i="6"/>
  <c r="T212" i="6"/>
  <c r="S212" i="6"/>
  <c r="N212" i="6"/>
  <c r="J212" i="6"/>
  <c r="T211" i="6"/>
  <c r="S211" i="6"/>
  <c r="O211" i="6"/>
  <c r="L211" i="6"/>
  <c r="J211" i="6"/>
  <c r="Z209" i="6"/>
  <c r="X209" i="6"/>
  <c r="W209" i="6"/>
  <c r="T209" i="6"/>
  <c r="S209" i="6"/>
  <c r="R209" i="6"/>
  <c r="O209" i="6"/>
  <c r="L209" i="6"/>
  <c r="Z208" i="6"/>
  <c r="X208" i="6"/>
  <c r="W208" i="6"/>
  <c r="T208" i="6"/>
  <c r="S208" i="6"/>
  <c r="R208" i="6"/>
  <c r="O208" i="6"/>
  <c r="L208" i="6"/>
  <c r="Z207" i="6"/>
  <c r="X207" i="6"/>
  <c r="W207" i="6"/>
  <c r="T207" i="6"/>
  <c r="S207" i="6"/>
  <c r="R207" i="6"/>
  <c r="N207" i="6"/>
  <c r="L207" i="6"/>
  <c r="Z206" i="6"/>
  <c r="X206" i="6"/>
  <c r="W206" i="6"/>
  <c r="T206" i="6"/>
  <c r="S206" i="6"/>
  <c r="R206" i="6"/>
  <c r="N206" i="6"/>
  <c r="L206" i="6"/>
  <c r="Z205" i="6"/>
  <c r="X205" i="6"/>
  <c r="W205" i="6"/>
  <c r="T205" i="6"/>
  <c r="S205" i="6"/>
  <c r="R205" i="6"/>
  <c r="O205" i="6"/>
  <c r="N205" i="6"/>
  <c r="L205" i="6"/>
  <c r="Z204" i="6"/>
  <c r="X204" i="6"/>
  <c r="W204" i="6"/>
  <c r="T204" i="6"/>
  <c r="S204" i="6"/>
  <c r="R204" i="6"/>
  <c r="N204" i="6"/>
  <c r="L204" i="6"/>
  <c r="Z203" i="6"/>
  <c r="X203" i="6"/>
  <c r="W203" i="6"/>
  <c r="T203" i="6"/>
  <c r="S203" i="6"/>
  <c r="R203" i="6"/>
  <c r="M203" i="6"/>
  <c r="L203" i="6"/>
  <c r="Z202" i="6"/>
  <c r="X202" i="6"/>
  <c r="W202" i="6"/>
  <c r="T202" i="6"/>
  <c r="S202" i="6"/>
  <c r="R202" i="6"/>
  <c r="M202" i="6"/>
  <c r="L202" i="6"/>
  <c r="Z201" i="6"/>
  <c r="X201" i="6"/>
  <c r="W201" i="6"/>
  <c r="T201" i="6"/>
  <c r="S201" i="6"/>
  <c r="R201" i="6"/>
  <c r="N201" i="6"/>
  <c r="Z200" i="6"/>
  <c r="X200" i="6"/>
  <c r="W200" i="6"/>
  <c r="T200" i="6"/>
  <c r="U200" i="6" s="1"/>
  <c r="S200" i="6"/>
  <c r="R200" i="6"/>
  <c r="Y295" i="6"/>
  <c r="AA295" i="6"/>
  <c r="J120" i="6"/>
  <c r="H1281" i="14" l="1"/>
  <c r="H1172" i="14"/>
  <c r="I1172" i="14" s="1"/>
  <c r="C1286" i="14"/>
  <c r="C1057" i="14"/>
  <c r="H1057" i="14" s="1"/>
  <c r="H1280" i="14"/>
  <c r="C1287" i="14"/>
  <c r="H1287" i="14" s="1"/>
  <c r="C1176" i="14"/>
  <c r="H1176" i="14" s="1"/>
  <c r="I1049" i="14"/>
  <c r="I1053" i="14"/>
  <c r="I1055" i="14"/>
  <c r="F1286" i="14"/>
  <c r="H1286" i="14"/>
  <c r="I1280" i="14"/>
  <c r="I924" i="14"/>
  <c r="I1281" i="14"/>
  <c r="F1287" i="14"/>
  <c r="K295" i="6"/>
  <c r="J281" i="6"/>
  <c r="S249" i="6"/>
  <c r="U252" i="6"/>
  <c r="S248" i="6"/>
  <c r="U287" i="6"/>
  <c r="L280" i="6"/>
  <c r="L281" i="6"/>
  <c r="T224" i="6"/>
  <c r="U224" i="6" s="1"/>
  <c r="AB230" i="6"/>
  <c r="P234" i="6"/>
  <c r="Q234" i="6" s="1"/>
  <c r="P245" i="6"/>
  <c r="Q245" i="6" s="1"/>
  <c r="T230" i="6"/>
  <c r="T249" i="6"/>
  <c r="P253" i="6"/>
  <c r="Q253" i="6" s="1"/>
  <c r="P254" i="6"/>
  <c r="Q254" i="6" s="1"/>
  <c r="S230" i="6"/>
  <c r="P240" i="6"/>
  <c r="Q240" i="6" s="1"/>
  <c r="P242" i="6"/>
  <c r="Q242" i="6" s="1"/>
  <c r="P230" i="6"/>
  <c r="Q230" i="6" s="1"/>
  <c r="N227" i="6"/>
  <c r="P243" i="6"/>
  <c r="Q243" i="6" s="1"/>
  <c r="O248" i="6"/>
  <c r="U207" i="6"/>
  <c r="P246" i="6"/>
  <c r="Q246" i="6" s="1"/>
  <c r="O247" i="6"/>
  <c r="P252" i="6"/>
  <c r="Q252" i="6" s="1"/>
  <c r="U208" i="6"/>
  <c r="V208" i="6" s="1"/>
  <c r="P221" i="6"/>
  <c r="Q221" i="6" s="1"/>
  <c r="P236" i="6"/>
  <c r="Q236" i="6" s="1"/>
  <c r="P238" i="6"/>
  <c r="Q238" i="6" s="1"/>
  <c r="P241" i="6"/>
  <c r="Q241" i="6" s="1"/>
  <c r="T247" i="6"/>
  <c r="P255" i="6"/>
  <c r="Q255" i="6" s="1"/>
  <c r="M295" i="6"/>
  <c r="U204" i="6"/>
  <c r="P223" i="6"/>
  <c r="Q223" i="6" s="1"/>
  <c r="U226" i="6"/>
  <c r="U251" i="6"/>
  <c r="P206" i="6"/>
  <c r="Q206" i="6" s="1"/>
  <c r="U206" i="6"/>
  <c r="P211" i="6"/>
  <c r="Q211" i="6" s="1"/>
  <c r="U211" i="6"/>
  <c r="U212" i="6"/>
  <c r="U213" i="6"/>
  <c r="U214" i="6"/>
  <c r="U215" i="6"/>
  <c r="U216" i="6"/>
  <c r="P201" i="6"/>
  <c r="Q201" i="6" s="1"/>
  <c r="U218" i="6"/>
  <c r="P208" i="6"/>
  <c r="Q208" i="6" s="1"/>
  <c r="P217" i="6"/>
  <c r="Q217" i="6" s="1"/>
  <c r="U223" i="6"/>
  <c r="T280" i="6"/>
  <c r="I280" i="6"/>
  <c r="X295" i="6"/>
  <c r="P205" i="6"/>
  <c r="Q205" i="6" s="1"/>
  <c r="P212" i="6"/>
  <c r="Q212" i="6" s="1"/>
  <c r="P213" i="6"/>
  <c r="Q213" i="6" s="1"/>
  <c r="P214" i="6"/>
  <c r="Q214" i="6" s="1"/>
  <c r="P215" i="6"/>
  <c r="Q215" i="6" s="1"/>
  <c r="P216" i="6"/>
  <c r="Q216" i="6" s="1"/>
  <c r="U220" i="6"/>
  <c r="P222" i="6"/>
  <c r="Q222" i="6" s="1"/>
  <c r="S227" i="6"/>
  <c r="P239" i="6"/>
  <c r="Q239" i="6" s="1"/>
  <c r="T248" i="6"/>
  <c r="P256" i="6"/>
  <c r="Q256" i="6" s="1"/>
  <c r="P257" i="6"/>
  <c r="Q257" i="6" s="1"/>
  <c r="P258" i="6"/>
  <c r="Q258" i="6" s="1"/>
  <c r="P259" i="6"/>
  <c r="Q259" i="6" s="1"/>
  <c r="P260" i="6"/>
  <c r="Q260" i="6" s="1"/>
  <c r="P207" i="6"/>
  <c r="Q207" i="6" s="1"/>
  <c r="P209" i="6"/>
  <c r="Q209" i="6" s="1"/>
  <c r="P218" i="6"/>
  <c r="Q218" i="6" s="1"/>
  <c r="S225" i="6"/>
  <c r="S226" i="6"/>
  <c r="T227" i="6"/>
  <c r="P232" i="6"/>
  <c r="Q232" i="6" s="1"/>
  <c r="V200" i="6"/>
  <c r="U201" i="6"/>
  <c r="P202" i="6"/>
  <c r="Q202" i="6" s="1"/>
  <c r="U202" i="6"/>
  <c r="U203" i="6"/>
  <c r="U205" i="6"/>
  <c r="Z295" i="6"/>
  <c r="U209" i="6"/>
  <c r="P219" i="6"/>
  <c r="Q219" i="6" s="1"/>
  <c r="P220" i="6"/>
  <c r="Q220" i="6" s="1"/>
  <c r="U221" i="6"/>
  <c r="O224" i="6"/>
  <c r="O225" i="6"/>
  <c r="O226" i="6"/>
  <c r="L227" i="6"/>
  <c r="P228" i="6"/>
  <c r="Q228" i="6" s="1"/>
  <c r="P235" i="6"/>
  <c r="Q235" i="6" s="1"/>
  <c r="O249" i="6"/>
  <c r="U228" i="6"/>
  <c r="U232" i="6"/>
  <c r="U241" i="6"/>
  <c r="U244" i="6"/>
  <c r="P203" i="6"/>
  <c r="Q203" i="6" s="1"/>
  <c r="P244" i="6"/>
  <c r="Q244" i="6" s="1"/>
  <c r="U246" i="6"/>
  <c r="U269" i="6"/>
  <c r="V269" i="6" s="1"/>
  <c r="P200" i="6"/>
  <c r="Q200" i="6" s="1"/>
  <c r="V225" i="6"/>
  <c r="U239" i="6"/>
  <c r="U265" i="6"/>
  <c r="V265" i="6" s="1"/>
  <c r="U222" i="6"/>
  <c r="U235" i="6"/>
  <c r="P204" i="6"/>
  <c r="Q204" i="6" s="1"/>
  <c r="U217" i="6"/>
  <c r="U219" i="6"/>
  <c r="P233" i="6"/>
  <c r="Q233" i="6" s="1"/>
  <c r="U233" i="6"/>
  <c r="P237" i="6"/>
  <c r="Q237" i="6" s="1"/>
  <c r="U237" i="6"/>
  <c r="T279" i="6"/>
  <c r="L279" i="6"/>
  <c r="S279" i="6"/>
  <c r="J279" i="6"/>
  <c r="T281" i="6"/>
  <c r="S281" i="6"/>
  <c r="V253" i="6"/>
  <c r="U255" i="6"/>
  <c r="U256" i="6"/>
  <c r="U257" i="6"/>
  <c r="U258" i="6"/>
  <c r="U259" i="6"/>
  <c r="U260" i="6"/>
  <c r="V264" i="6"/>
  <c r="V268" i="6"/>
  <c r="U234" i="6"/>
  <c r="U236" i="6"/>
  <c r="U238" i="6"/>
  <c r="U240" i="6"/>
  <c r="U242" i="6"/>
  <c r="U243" i="6"/>
  <c r="U245" i="6"/>
  <c r="P251" i="6"/>
  <c r="Q251" i="6" s="1"/>
  <c r="V254" i="6"/>
  <c r="U263" i="6"/>
  <c r="V263" i="6" s="1"/>
  <c r="V266" i="6"/>
  <c r="U267" i="6"/>
  <c r="V267" i="6" s="1"/>
  <c r="V278" i="6"/>
  <c r="I279" i="6"/>
  <c r="U286" i="6"/>
  <c r="R295" i="6"/>
  <c r="P120" i="6"/>
  <c r="Q120" i="6" s="1"/>
  <c r="F1057" i="14" l="1"/>
  <c r="I1176" i="14"/>
  <c r="F1176" i="14"/>
  <c r="I1287" i="14"/>
  <c r="I1057" i="14"/>
  <c r="I1286" i="14"/>
  <c r="V220" i="6"/>
  <c r="V245" i="6"/>
  <c r="V242" i="6"/>
  <c r="V234" i="6"/>
  <c r="V260" i="6"/>
  <c r="V256" i="6"/>
  <c r="V237" i="6"/>
  <c r="V235" i="6"/>
  <c r="V239" i="6"/>
  <c r="V244" i="6"/>
  <c r="U248" i="6"/>
  <c r="U249" i="6"/>
  <c r="V236" i="6"/>
  <c r="V257" i="6"/>
  <c r="P247" i="6"/>
  <c r="Q247" i="6" s="1"/>
  <c r="P248" i="6"/>
  <c r="Q248" i="6" s="1"/>
  <c r="V243" i="6"/>
  <c r="V240" i="6"/>
  <c r="V287" i="6"/>
  <c r="V259" i="6"/>
  <c r="V255" i="6"/>
  <c r="V241" i="6"/>
  <c r="U280" i="6"/>
  <c r="V252" i="6"/>
  <c r="V286" i="6"/>
  <c r="V238" i="6"/>
  <c r="V258" i="6"/>
  <c r="V233" i="6"/>
  <c r="V246" i="6"/>
  <c r="V221" i="6"/>
  <c r="V232" i="6"/>
  <c r="P249" i="6"/>
  <c r="Q249" i="6" s="1"/>
  <c r="V251" i="6"/>
  <c r="U247" i="6"/>
  <c r="V224" i="6"/>
  <c r="U230" i="6"/>
  <c r="V226" i="6"/>
  <c r="V223" i="6"/>
  <c r="V219" i="6"/>
  <c r="O295" i="6"/>
  <c r="V213" i="6"/>
  <c r="V207" i="6"/>
  <c r="V211" i="6"/>
  <c r="N295" i="6"/>
  <c r="V215" i="6"/>
  <c r="I295" i="6"/>
  <c r="V204" i="6"/>
  <c r="V217" i="6"/>
  <c r="V222" i="6"/>
  <c r="V209" i="6"/>
  <c r="J295" i="6"/>
  <c r="P227" i="6"/>
  <c r="Q227" i="6" s="1"/>
  <c r="P224" i="6"/>
  <c r="Q224" i="6" s="1"/>
  <c r="V203" i="6"/>
  <c r="V214" i="6"/>
  <c r="P225" i="6"/>
  <c r="Q225" i="6" s="1"/>
  <c r="U227" i="6"/>
  <c r="V218" i="6"/>
  <c r="V228" i="6"/>
  <c r="P226" i="6"/>
  <c r="Q226" i="6" s="1"/>
  <c r="V205" i="6"/>
  <c r="V202" i="6"/>
  <c r="V201" i="6"/>
  <c r="V216" i="6"/>
  <c r="V212" i="6"/>
  <c r="V206" i="6"/>
  <c r="P279" i="6"/>
  <c r="Q279" i="6" s="1"/>
  <c r="U281" i="6"/>
  <c r="U279" i="6"/>
  <c r="L101" i="8"/>
  <c r="M101" i="8"/>
  <c r="N101" i="8"/>
  <c r="K101" i="8"/>
  <c r="N73" i="8"/>
  <c r="M73" i="8"/>
  <c r="L73" i="8"/>
  <c r="K73" i="8"/>
  <c r="P119" i="6"/>
  <c r="V230" i="6" l="1"/>
  <c r="V248" i="6"/>
  <c r="V279" i="6"/>
  <c r="V247" i="6"/>
  <c r="V280" i="6"/>
  <c r="V249" i="6"/>
  <c r="V281" i="6"/>
  <c r="K189" i="6"/>
  <c r="V227" i="6"/>
  <c r="T28" i="7"/>
  <c r="T27" i="7"/>
  <c r="T30" i="7"/>
  <c r="T32" i="7"/>
  <c r="T29" i="7"/>
  <c r="N155" i="6" l="1"/>
  <c r="N156" i="6"/>
  <c r="M154" i="6"/>
  <c r="L153" i="6"/>
  <c r="J156" i="6"/>
  <c r="J155" i="6"/>
  <c r="J154" i="6"/>
  <c r="J153" i="6"/>
  <c r="T156" i="6"/>
  <c r="S156" i="6"/>
  <c r="T155" i="6"/>
  <c r="U155" i="6" s="1"/>
  <c r="V155" i="6" s="1"/>
  <c r="S155" i="6"/>
  <c r="T154" i="6"/>
  <c r="U154" i="6" s="1"/>
  <c r="S154" i="6"/>
  <c r="T153" i="6"/>
  <c r="S153" i="6"/>
  <c r="O152" i="6"/>
  <c r="O151" i="6"/>
  <c r="O150" i="6"/>
  <c r="O149" i="6"/>
  <c r="O148" i="6"/>
  <c r="O147" i="6"/>
  <c r="O140" i="6"/>
  <c r="G145" i="6"/>
  <c r="G144" i="6"/>
  <c r="G143" i="6"/>
  <c r="G142" i="6"/>
  <c r="G116" i="6"/>
  <c r="G115" i="6"/>
  <c r="T115" i="6" s="1"/>
  <c r="G114" i="6"/>
  <c r="G113" i="6"/>
  <c r="S113" i="6" s="1"/>
  <c r="T122" i="6"/>
  <c r="L100" i="6"/>
  <c r="O100" i="6"/>
  <c r="J100" i="6"/>
  <c r="N95" i="6"/>
  <c r="M92" i="6"/>
  <c r="W89" i="6"/>
  <c r="X89" i="6"/>
  <c r="L118" i="6"/>
  <c r="I139" i="6"/>
  <c r="J152" i="6"/>
  <c r="J151" i="6"/>
  <c r="J150" i="6"/>
  <c r="J149" i="6"/>
  <c r="J148" i="6"/>
  <c r="J147" i="6"/>
  <c r="L151" i="6"/>
  <c r="L149" i="6"/>
  <c r="L148" i="6"/>
  <c r="L147" i="6"/>
  <c r="O115" i="6"/>
  <c r="T114" i="6"/>
  <c r="U114" i="6" s="1"/>
  <c r="V114" i="6" s="1"/>
  <c r="M112" i="6"/>
  <c r="J112" i="6"/>
  <c r="N111" i="6"/>
  <c r="J111" i="6"/>
  <c r="N110" i="6"/>
  <c r="J110" i="6"/>
  <c r="M109" i="6"/>
  <c r="J109" i="6"/>
  <c r="M108" i="6"/>
  <c r="J108" i="6"/>
  <c r="L107" i="6"/>
  <c r="J107" i="6"/>
  <c r="O106" i="6"/>
  <c r="L106" i="6"/>
  <c r="J106" i="6"/>
  <c r="M105" i="6"/>
  <c r="J105" i="6"/>
  <c r="O104" i="6"/>
  <c r="J104" i="6"/>
  <c r="N103" i="6"/>
  <c r="J103" i="6"/>
  <c r="O102" i="6"/>
  <c r="J102" i="6"/>
  <c r="N101" i="6"/>
  <c r="J101" i="6"/>
  <c r="T112" i="6"/>
  <c r="S112" i="6"/>
  <c r="T111" i="6"/>
  <c r="S111" i="6"/>
  <c r="T110" i="6"/>
  <c r="U110" i="6" s="1"/>
  <c r="V110" i="6" s="1"/>
  <c r="S110" i="6"/>
  <c r="T109" i="6"/>
  <c r="S109" i="6"/>
  <c r="T108" i="6"/>
  <c r="S108" i="6"/>
  <c r="T107" i="6"/>
  <c r="U107" i="6" s="1"/>
  <c r="V107" i="6" s="1"/>
  <c r="S107" i="6"/>
  <c r="T106" i="6"/>
  <c r="S106" i="6"/>
  <c r="T105" i="6"/>
  <c r="S105" i="6"/>
  <c r="T104" i="6"/>
  <c r="S104" i="6"/>
  <c r="T103" i="6"/>
  <c r="S103" i="6"/>
  <c r="T102" i="6"/>
  <c r="S102" i="6"/>
  <c r="T101" i="6"/>
  <c r="S101" i="6"/>
  <c r="T100" i="6"/>
  <c r="S100" i="6"/>
  <c r="L97" i="6"/>
  <c r="O98" i="6"/>
  <c r="L98" i="6"/>
  <c r="O97" i="6"/>
  <c r="N96" i="6"/>
  <c r="L96" i="6"/>
  <c r="L95" i="6"/>
  <c r="O94" i="6"/>
  <c r="N94" i="6"/>
  <c r="L94" i="6"/>
  <c r="N93" i="6"/>
  <c r="L93" i="6"/>
  <c r="L92" i="6"/>
  <c r="L91" i="6"/>
  <c r="L89" i="6"/>
  <c r="P89" i="6" s="1"/>
  <c r="Q89" i="6" s="1"/>
  <c r="N90" i="6"/>
  <c r="L90" i="6"/>
  <c r="Z98" i="6"/>
  <c r="X98" i="6"/>
  <c r="W98" i="6"/>
  <c r="T98" i="6"/>
  <c r="S98" i="6"/>
  <c r="R98" i="6"/>
  <c r="Z97" i="6"/>
  <c r="X97" i="6"/>
  <c r="W97" i="6"/>
  <c r="T97" i="6"/>
  <c r="U97" i="6" s="1"/>
  <c r="V97" i="6" s="1"/>
  <c r="S97" i="6"/>
  <c r="R97" i="6"/>
  <c r="Z96" i="6"/>
  <c r="X96" i="6"/>
  <c r="W96" i="6"/>
  <c r="T96" i="6"/>
  <c r="U96" i="6" s="1"/>
  <c r="S96" i="6"/>
  <c r="R96" i="6"/>
  <c r="Z95" i="6"/>
  <c r="X95" i="6"/>
  <c r="W95" i="6"/>
  <c r="T95" i="6"/>
  <c r="S95" i="6"/>
  <c r="R95" i="6"/>
  <c r="Z94" i="6"/>
  <c r="X94" i="6"/>
  <c r="W94" i="6"/>
  <c r="T94" i="6"/>
  <c r="S94" i="6"/>
  <c r="R94" i="6"/>
  <c r="Z93" i="6"/>
  <c r="X93" i="6"/>
  <c r="W93" i="6"/>
  <c r="T93" i="6"/>
  <c r="S93" i="6"/>
  <c r="R93" i="6"/>
  <c r="Z92" i="6"/>
  <c r="X92" i="6"/>
  <c r="W92" i="6"/>
  <c r="T92" i="6"/>
  <c r="S92" i="6"/>
  <c r="R92" i="6"/>
  <c r="Z91" i="6"/>
  <c r="X91" i="6"/>
  <c r="W91" i="6"/>
  <c r="T91" i="6"/>
  <c r="S91" i="6"/>
  <c r="R91" i="6"/>
  <c r="M91" i="6"/>
  <c r="Z90" i="6"/>
  <c r="X90" i="6"/>
  <c r="W90" i="6"/>
  <c r="T90" i="6"/>
  <c r="S90" i="6"/>
  <c r="R90" i="6"/>
  <c r="Z89" i="6"/>
  <c r="T89" i="6"/>
  <c r="S89" i="6"/>
  <c r="R89" i="6"/>
  <c r="S118" i="6"/>
  <c r="R118" i="6"/>
  <c r="W118" i="6"/>
  <c r="T118" i="6"/>
  <c r="G117" i="6"/>
  <c r="U115" i="6" l="1"/>
  <c r="V115" i="6" s="1"/>
  <c r="T142" i="6"/>
  <c r="U142" i="6" s="1"/>
  <c r="S116" i="6"/>
  <c r="O145" i="6"/>
  <c r="P145" i="6" s="1"/>
  <c r="Q145" i="6" s="1"/>
  <c r="U118" i="6"/>
  <c r="P115" i="6"/>
  <c r="Q115" i="6" s="1"/>
  <c r="P287" i="6"/>
  <c r="Q287" i="6" s="1"/>
  <c r="P286" i="6"/>
  <c r="Q286" i="6" s="1"/>
  <c r="P281" i="6"/>
  <c r="Q281" i="6" s="1"/>
  <c r="T113" i="6"/>
  <c r="U113" i="6" s="1"/>
  <c r="V113" i="6" s="1"/>
  <c r="O113" i="6"/>
  <c r="P104" i="6"/>
  <c r="Q104" i="6" s="1"/>
  <c r="T116" i="6"/>
  <c r="O116" i="6"/>
  <c r="P93" i="6"/>
  <c r="Q93" i="6" s="1"/>
  <c r="U111" i="6"/>
  <c r="V111" i="6" s="1"/>
  <c r="O142" i="6"/>
  <c r="P109" i="6"/>
  <c r="Q109" i="6" s="1"/>
  <c r="U95" i="6"/>
  <c r="P103" i="6"/>
  <c r="Q103" i="6" s="1"/>
  <c r="P111" i="6"/>
  <c r="Q111" i="6" s="1"/>
  <c r="S117" i="6"/>
  <c r="L117" i="6"/>
  <c r="N117" i="6"/>
  <c r="P97" i="6"/>
  <c r="Q97" i="6" s="1"/>
  <c r="P102" i="6"/>
  <c r="Q102" i="6" s="1"/>
  <c r="U104" i="6"/>
  <c r="P108" i="6"/>
  <c r="Q108" i="6" s="1"/>
  <c r="P110" i="6"/>
  <c r="Q110" i="6" s="1"/>
  <c r="O114" i="6"/>
  <c r="S114" i="6"/>
  <c r="O143" i="6"/>
  <c r="U94" i="6"/>
  <c r="V96" i="6"/>
  <c r="U98" i="6"/>
  <c r="P98" i="6"/>
  <c r="Q98" i="6" s="1"/>
  <c r="U100" i="6"/>
  <c r="P107" i="6"/>
  <c r="Q107" i="6" s="1"/>
  <c r="P101" i="6"/>
  <c r="Q101" i="6" s="1"/>
  <c r="P105" i="6"/>
  <c r="Q105" i="6" s="1"/>
  <c r="O144" i="6"/>
  <c r="V154" i="6"/>
  <c r="P112" i="6"/>
  <c r="Q112" i="6" s="1"/>
  <c r="U156" i="6"/>
  <c r="U153" i="6"/>
  <c r="T143" i="6"/>
  <c r="T144" i="6"/>
  <c r="T145" i="6"/>
  <c r="S142" i="6"/>
  <c r="S143" i="6"/>
  <c r="S144" i="6"/>
  <c r="S145" i="6"/>
  <c r="S115" i="6"/>
  <c r="P106" i="6"/>
  <c r="Q106" i="6" s="1"/>
  <c r="P100" i="6"/>
  <c r="Q100" i="6" s="1"/>
  <c r="U106" i="6"/>
  <c r="P96" i="6"/>
  <c r="Q96" i="6" s="1"/>
  <c r="U103" i="6"/>
  <c r="U105" i="6"/>
  <c r="U108" i="6"/>
  <c r="U112" i="6"/>
  <c r="U101" i="6"/>
  <c r="U102" i="6"/>
  <c r="U109" i="6"/>
  <c r="P91" i="6"/>
  <c r="Q91" i="6" s="1"/>
  <c r="P92" i="6"/>
  <c r="Q92" i="6" s="1"/>
  <c r="V118" i="6"/>
  <c r="P95" i="6"/>
  <c r="Q95" i="6" s="1"/>
  <c r="P94" i="6"/>
  <c r="Q94" i="6" s="1"/>
  <c r="P90" i="6"/>
  <c r="Q90" i="6" s="1"/>
  <c r="U89" i="6"/>
  <c r="U90" i="6"/>
  <c r="U91" i="6"/>
  <c r="U92" i="6"/>
  <c r="U93" i="6"/>
  <c r="P118" i="6"/>
  <c r="Q118" i="6" s="1"/>
  <c r="T117" i="6"/>
  <c r="P113" i="6" l="1"/>
  <c r="Q113" i="6" s="1"/>
  <c r="P280" i="6"/>
  <c r="L295" i="6"/>
  <c r="U116" i="6"/>
  <c r="P142" i="6"/>
  <c r="Q142" i="6" s="1"/>
  <c r="P116" i="6"/>
  <c r="Q116" i="6" s="1"/>
  <c r="V156" i="6"/>
  <c r="V153" i="6"/>
  <c r="V93" i="6"/>
  <c r="V112" i="6"/>
  <c r="P114" i="6"/>
  <c r="Q114" i="6" s="1"/>
  <c r="V108" i="6"/>
  <c r="V142" i="6"/>
  <c r="V89" i="6"/>
  <c r="V100" i="6"/>
  <c r="V95" i="6"/>
  <c r="V92" i="6"/>
  <c r="V109" i="6"/>
  <c r="V106" i="6"/>
  <c r="V91" i="6"/>
  <c r="V102" i="6"/>
  <c r="V105" i="6"/>
  <c r="P143" i="6"/>
  <c r="Q143" i="6" s="1"/>
  <c r="V104" i="6"/>
  <c r="V90" i="6"/>
  <c r="V101" i="6"/>
  <c r="V103" i="6"/>
  <c r="P144" i="6"/>
  <c r="Q144" i="6" s="1"/>
  <c r="V98" i="6"/>
  <c r="V94" i="6"/>
  <c r="U143" i="6"/>
  <c r="U145" i="6"/>
  <c r="U144" i="6"/>
  <c r="P117" i="6"/>
  <c r="Q117" i="6" s="1"/>
  <c r="U117" i="6"/>
  <c r="V116" i="6" l="1"/>
  <c r="Q280" i="6"/>
  <c r="V143" i="6"/>
  <c r="V144" i="6"/>
  <c r="V145" i="6"/>
  <c r="V117" i="6"/>
  <c r="O184" i="6" l="1"/>
  <c r="O183" i="6"/>
  <c r="L184" i="6"/>
  <c r="L183" i="6"/>
  <c r="S184" i="6"/>
  <c r="S183" i="6"/>
  <c r="E178" i="6"/>
  <c r="E177" i="6"/>
  <c r="E176" i="6"/>
  <c r="S176" i="6" s="1"/>
  <c r="E175" i="6"/>
  <c r="I175" i="6" s="1"/>
  <c r="T184" i="6"/>
  <c r="T183" i="6"/>
  <c r="M184" i="6"/>
  <c r="J184" i="6"/>
  <c r="M183" i="6"/>
  <c r="J183" i="6"/>
  <c r="R184" i="6"/>
  <c r="R183" i="6"/>
  <c r="W183" i="6"/>
  <c r="W184" i="6"/>
  <c r="R174" i="6"/>
  <c r="I177" i="6" l="1"/>
  <c r="J177" i="6"/>
  <c r="L177" i="6"/>
  <c r="J178" i="6"/>
  <c r="L178" i="6"/>
  <c r="I178" i="6"/>
  <c r="L176" i="6"/>
  <c r="I176" i="6"/>
  <c r="J176" i="6"/>
  <c r="J175" i="6"/>
  <c r="L175" i="6"/>
  <c r="T176" i="6"/>
  <c r="U176" i="6" s="1"/>
  <c r="S175" i="6"/>
  <c r="U183" i="6"/>
  <c r="T178" i="6"/>
  <c r="S178" i="6"/>
  <c r="S177" i="6"/>
  <c r="T177" i="6"/>
  <c r="U177" i="6" s="1"/>
  <c r="V177" i="6" s="1"/>
  <c r="P184" i="6"/>
  <c r="Q184" i="6" s="1"/>
  <c r="P183" i="6"/>
  <c r="Q183" i="6" s="1"/>
  <c r="U184" i="6"/>
  <c r="U178" i="6" l="1"/>
  <c r="V178" i="6" s="1"/>
  <c r="V176" i="6"/>
  <c r="P176" i="6"/>
  <c r="Q176" i="6" s="1"/>
  <c r="P178" i="6"/>
  <c r="Q178" i="6" s="1"/>
  <c r="V183" i="6"/>
  <c r="P177" i="6"/>
  <c r="Q177" i="6" s="1"/>
  <c r="V184" i="6"/>
  <c r="T152" i="6" l="1"/>
  <c r="T151" i="6"/>
  <c r="T150" i="6"/>
  <c r="T149" i="6"/>
  <c r="T148" i="6"/>
  <c r="T147" i="6"/>
  <c r="S152" i="6"/>
  <c r="S151" i="6"/>
  <c r="S150" i="6"/>
  <c r="S149" i="6"/>
  <c r="S148" i="6"/>
  <c r="S147" i="6"/>
  <c r="S136" i="6"/>
  <c r="U152" i="6" l="1"/>
  <c r="V152" i="6" s="1"/>
  <c r="U149" i="6"/>
  <c r="U148" i="6"/>
  <c r="U150" i="6"/>
  <c r="U147" i="6"/>
  <c r="V147" i="6" s="1"/>
  <c r="U151" i="6"/>
  <c r="V149" i="6" l="1"/>
  <c r="V151" i="6"/>
  <c r="V150" i="6"/>
  <c r="V148" i="6"/>
  <c r="Q119" i="6"/>
  <c r="AA189" i="6"/>
  <c r="Y189" i="6"/>
  <c r="N189" i="6"/>
  <c r="T175" i="6"/>
  <c r="P175" i="6"/>
  <c r="Q175" i="6" s="1"/>
  <c r="W174" i="6"/>
  <c r="T174" i="6"/>
  <c r="U174" i="6" s="1"/>
  <c r="V174" i="6" s="1"/>
  <c r="S174" i="6"/>
  <c r="P174" i="6"/>
  <c r="Q174" i="6" s="1"/>
  <c r="W165" i="6"/>
  <c r="T165" i="6"/>
  <c r="U165" i="6" s="1"/>
  <c r="V165" i="6" s="1"/>
  <c r="S165" i="6"/>
  <c r="R165" i="6"/>
  <c r="P165" i="6"/>
  <c r="Q165" i="6" s="1"/>
  <c r="W164" i="6"/>
  <c r="T164" i="6"/>
  <c r="U164" i="6" s="1"/>
  <c r="V164" i="6" s="1"/>
  <c r="S164" i="6"/>
  <c r="R164" i="6"/>
  <c r="P164" i="6"/>
  <c r="Q164" i="6" s="1"/>
  <c r="W163" i="6"/>
  <c r="T163" i="6"/>
  <c r="U163" i="6" s="1"/>
  <c r="V163" i="6" s="1"/>
  <c r="S163" i="6"/>
  <c r="R163" i="6"/>
  <c r="P163" i="6"/>
  <c r="Q163" i="6" s="1"/>
  <c r="W162" i="6"/>
  <c r="T162" i="6"/>
  <c r="U162" i="6" s="1"/>
  <c r="V162" i="6" s="1"/>
  <c r="S162" i="6"/>
  <c r="R162" i="6"/>
  <c r="P162" i="6"/>
  <c r="Q162" i="6" s="1"/>
  <c r="W161" i="6"/>
  <c r="T161" i="6"/>
  <c r="U161" i="6" s="1"/>
  <c r="V161" i="6" s="1"/>
  <c r="S161" i="6"/>
  <c r="R161" i="6"/>
  <c r="P161" i="6"/>
  <c r="Q161" i="6" s="1"/>
  <c r="W160" i="6"/>
  <c r="T160" i="6"/>
  <c r="U160" i="6" s="1"/>
  <c r="V160" i="6" s="1"/>
  <c r="S160" i="6"/>
  <c r="R160" i="6"/>
  <c r="P160" i="6"/>
  <c r="Q160" i="6" s="1"/>
  <c r="W159" i="6"/>
  <c r="T159" i="6"/>
  <c r="U159" i="6" s="1"/>
  <c r="V159" i="6" s="1"/>
  <c r="S159" i="6"/>
  <c r="R159" i="6"/>
  <c r="P159" i="6"/>
  <c r="Q159" i="6" s="1"/>
  <c r="P146" i="6"/>
  <c r="Q146" i="6" s="1"/>
  <c r="T141" i="6"/>
  <c r="U141" i="6" s="1"/>
  <c r="V141" i="6" s="1"/>
  <c r="S141" i="6"/>
  <c r="O141" i="6"/>
  <c r="I141" i="6"/>
  <c r="T140" i="6"/>
  <c r="S140" i="6"/>
  <c r="I140" i="6"/>
  <c r="T139" i="6"/>
  <c r="S139" i="6"/>
  <c r="O139" i="6"/>
  <c r="T138" i="6"/>
  <c r="S138" i="6"/>
  <c r="O138" i="6"/>
  <c r="I138" i="6"/>
  <c r="T137" i="6"/>
  <c r="S137" i="6"/>
  <c r="O137" i="6"/>
  <c r="J137" i="6"/>
  <c r="T136" i="6"/>
  <c r="O136" i="6"/>
  <c r="J136" i="6"/>
  <c r="T135" i="6"/>
  <c r="S135" i="6"/>
  <c r="O135" i="6"/>
  <c r="J135" i="6"/>
  <c r="T134" i="6"/>
  <c r="S134" i="6"/>
  <c r="O134" i="6"/>
  <c r="J134" i="6"/>
  <c r="T133" i="6"/>
  <c r="U133" i="6" s="1"/>
  <c r="S133" i="6"/>
  <c r="O133" i="6"/>
  <c r="J133" i="6"/>
  <c r="T132" i="6"/>
  <c r="S132" i="6"/>
  <c r="O132" i="6"/>
  <c r="J132" i="6"/>
  <c r="T131" i="6"/>
  <c r="S131" i="6"/>
  <c r="O131" i="6"/>
  <c r="J131" i="6"/>
  <c r="T130" i="6"/>
  <c r="S130" i="6"/>
  <c r="O130" i="6"/>
  <c r="J130" i="6"/>
  <c r="T129" i="6"/>
  <c r="S129" i="6"/>
  <c r="O129" i="6"/>
  <c r="J129" i="6"/>
  <c r="T128" i="6"/>
  <c r="S128" i="6"/>
  <c r="O128" i="6"/>
  <c r="J128" i="6"/>
  <c r="T127" i="6"/>
  <c r="S127" i="6"/>
  <c r="O127" i="6"/>
  <c r="J127" i="6"/>
  <c r="T126" i="6"/>
  <c r="S126" i="6"/>
  <c r="O126" i="6"/>
  <c r="J126" i="6"/>
  <c r="T125" i="6"/>
  <c r="S125" i="6"/>
  <c r="O125" i="6"/>
  <c r="J125" i="6"/>
  <c r="T124" i="6"/>
  <c r="S124" i="6"/>
  <c r="O124" i="6"/>
  <c r="J124" i="6"/>
  <c r="T123" i="6"/>
  <c r="S123" i="6"/>
  <c r="O123" i="6"/>
  <c r="L123" i="6"/>
  <c r="J123" i="6"/>
  <c r="U122" i="6"/>
  <c r="S122" i="6"/>
  <c r="O122" i="6"/>
  <c r="L122" i="6"/>
  <c r="I122" i="6"/>
  <c r="U140" i="6" l="1"/>
  <c r="P139" i="6"/>
  <c r="Q139" i="6" s="1"/>
  <c r="P132" i="6"/>
  <c r="Q132" i="6" s="1"/>
  <c r="P136" i="6"/>
  <c r="Q136" i="6" s="1"/>
  <c r="U136" i="6"/>
  <c r="U137" i="6"/>
  <c r="P128" i="6"/>
  <c r="Q128" i="6" s="1"/>
  <c r="P135" i="6"/>
  <c r="Q135" i="6" s="1"/>
  <c r="U125" i="6"/>
  <c r="U126" i="6"/>
  <c r="U128" i="6"/>
  <c r="U129" i="6"/>
  <c r="V133" i="6"/>
  <c r="V122" i="6"/>
  <c r="P137" i="6"/>
  <c r="Q137" i="6" s="1"/>
  <c r="P125" i="6"/>
  <c r="Q125" i="6" s="1"/>
  <c r="P129" i="6"/>
  <c r="Q129" i="6" s="1"/>
  <c r="P133" i="6"/>
  <c r="Q133" i="6" s="1"/>
  <c r="X189" i="6"/>
  <c r="P122" i="6"/>
  <c r="Q122" i="6" s="1"/>
  <c r="P123" i="6"/>
  <c r="Q123" i="6" s="1"/>
  <c r="I189" i="6"/>
  <c r="P126" i="6"/>
  <c r="Q126" i="6" s="1"/>
  <c r="P130" i="6"/>
  <c r="Q130" i="6" s="1"/>
  <c r="P131" i="6"/>
  <c r="Q131" i="6" s="1"/>
  <c r="P141" i="6"/>
  <c r="Q141" i="6" s="1"/>
  <c r="Z189" i="6"/>
  <c r="P140" i="6"/>
  <c r="Q140" i="6" s="1"/>
  <c r="R189" i="6"/>
  <c r="P134" i="6"/>
  <c r="Q134" i="6" s="1"/>
  <c r="P138" i="6"/>
  <c r="Q138" i="6" s="1"/>
  <c r="P124" i="6"/>
  <c r="Q124" i="6" s="1"/>
  <c r="P127" i="6"/>
  <c r="Q127" i="6" s="1"/>
  <c r="U124" i="6"/>
  <c r="U132" i="6"/>
  <c r="U130" i="6"/>
  <c r="U134" i="6"/>
  <c r="U138" i="6"/>
  <c r="U175" i="6"/>
  <c r="U123" i="6"/>
  <c r="U127" i="6"/>
  <c r="U131" i="6"/>
  <c r="U135" i="6"/>
  <c r="U139" i="6"/>
  <c r="G64" i="6"/>
  <c r="U275" i="7" l="1"/>
  <c r="AU275" i="7"/>
  <c r="AZ275" i="7"/>
  <c r="AC275" i="7"/>
  <c r="BC275" i="7"/>
  <c r="V136" i="6"/>
  <c r="V138" i="6"/>
  <c r="V139" i="6"/>
  <c r="V140" i="6"/>
  <c r="V128" i="6"/>
  <c r="V125" i="6"/>
  <c r="V126" i="6"/>
  <c r="V137" i="6"/>
  <c r="V129" i="6"/>
  <c r="V135" i="6"/>
  <c r="V123" i="6"/>
  <c r="V124" i="6"/>
  <c r="V127" i="6"/>
  <c r="V130" i="6"/>
  <c r="V132" i="6"/>
  <c r="V131" i="6"/>
  <c r="V134" i="6"/>
  <c r="V175" i="6"/>
  <c r="S64" i="6"/>
  <c r="AQ292" i="7"/>
  <c r="T65" i="7"/>
  <c r="T66" i="7" s="1"/>
  <c r="H99" i="7"/>
  <c r="I99" i="7"/>
  <c r="M99" i="7"/>
  <c r="N99" i="7"/>
  <c r="O99" i="7"/>
  <c r="P99" i="7"/>
  <c r="Q99" i="7"/>
  <c r="R99" i="7"/>
  <c r="S99" i="7"/>
  <c r="U99" i="7"/>
  <c r="W99" i="7"/>
  <c r="X99" i="7"/>
  <c r="Y99" i="7"/>
  <c r="AC99" i="7"/>
  <c r="AD99" i="7"/>
  <c r="AE99" i="7"/>
  <c r="AF99" i="7"/>
  <c r="AG99" i="7"/>
  <c r="AH99" i="7"/>
  <c r="AI99" i="7"/>
  <c r="AJ99" i="7"/>
  <c r="AK99" i="7"/>
  <c r="AL99" i="7"/>
  <c r="AM99" i="7"/>
  <c r="AN99" i="7"/>
  <c r="AO99" i="7"/>
  <c r="AP99" i="7"/>
  <c r="AQ99" i="7"/>
  <c r="AR99" i="7"/>
  <c r="AS99" i="7"/>
  <c r="AT99" i="7"/>
  <c r="AU99" i="7"/>
  <c r="AV99" i="7"/>
  <c r="AW99" i="7"/>
  <c r="AY99" i="7"/>
  <c r="AZ99" i="7"/>
  <c r="BA99" i="7"/>
  <c r="BC99" i="7"/>
  <c r="BD99" i="7"/>
  <c r="DQ14" i="7" s="1"/>
  <c r="BE99" i="7"/>
  <c r="DQ15" i="7" s="1"/>
  <c r="BF99" i="7"/>
  <c r="DQ16" i="7" s="1"/>
  <c r="BG99" i="7"/>
  <c r="DQ17" i="7" s="1"/>
  <c r="DO99" i="7"/>
  <c r="T102" i="7"/>
  <c r="T148" i="7"/>
  <c r="DO153" i="7"/>
  <c r="T149" i="7"/>
  <c r="T150" i="7"/>
  <c r="D153" i="7"/>
  <c r="F153" i="7"/>
  <c r="G153" i="7"/>
  <c r="H153" i="7"/>
  <c r="K153" i="7"/>
  <c r="L153" i="7"/>
  <c r="M153" i="7"/>
  <c r="N153" i="7"/>
  <c r="O153" i="7"/>
  <c r="P153" i="7"/>
  <c r="Q153" i="7"/>
  <c r="R153" i="7"/>
  <c r="S153" i="7"/>
  <c r="U153" i="7"/>
  <c r="W153" i="7"/>
  <c r="X153" i="7"/>
  <c r="Y153" i="7"/>
  <c r="AC153" i="7"/>
  <c r="AD153" i="7"/>
  <c r="AE153" i="7"/>
  <c r="AF153" i="7"/>
  <c r="AG153" i="7"/>
  <c r="AH153" i="7"/>
  <c r="AI153" i="7"/>
  <c r="AJ153" i="7"/>
  <c r="AK153" i="7"/>
  <c r="AL153" i="7"/>
  <c r="AM153" i="7"/>
  <c r="AN153" i="7"/>
  <c r="AO153" i="7"/>
  <c r="AP153" i="7"/>
  <c r="AQ153" i="7"/>
  <c r="AR153" i="7"/>
  <c r="AS153" i="7"/>
  <c r="AT153" i="7"/>
  <c r="AU153" i="7"/>
  <c r="AV153" i="7"/>
  <c r="AW153" i="7"/>
  <c r="AY153" i="7"/>
  <c r="BA153" i="7"/>
  <c r="BC153" i="7"/>
  <c r="BD153" i="7"/>
  <c r="DR14" i="7" s="1"/>
  <c r="BE153" i="7"/>
  <c r="BF153" i="7"/>
  <c r="BG153" i="7"/>
  <c r="DR17" i="7" s="1"/>
  <c r="T286" i="7"/>
  <c r="T285" i="7"/>
  <c r="BE292" i="7"/>
  <c r="BD292" i="7"/>
  <c r="AW292" i="7"/>
  <c r="AP292" i="7"/>
  <c r="AO292" i="7"/>
  <c r="AM292" i="7"/>
  <c r="AL292" i="7"/>
  <c r="AK292" i="7"/>
  <c r="AI292" i="7"/>
  <c r="AH292" i="7"/>
  <c r="AG292" i="7"/>
  <c r="AE292" i="7"/>
  <c r="Y292" i="7"/>
  <c r="X292" i="7"/>
  <c r="S292" i="7"/>
  <c r="R292" i="7"/>
  <c r="Q292" i="7"/>
  <c r="O292" i="7"/>
  <c r="N292" i="7"/>
  <c r="H292" i="7"/>
  <c r="L292" i="7"/>
  <c r="K292" i="7"/>
  <c r="J292" i="7"/>
  <c r="G292" i="7"/>
  <c r="AY292" i="7"/>
  <c r="AV292" i="7"/>
  <c r="T254" i="7"/>
  <c r="DO227" i="7"/>
  <c r="BG209" i="7"/>
  <c r="DR191" i="7" s="1"/>
  <c r="BF209" i="7"/>
  <c r="DR190" i="7" s="1"/>
  <c r="BE209" i="7"/>
  <c r="BD209" i="7"/>
  <c r="AY209" i="7"/>
  <c r="AY227" i="7" s="1"/>
  <c r="AW209" i="7"/>
  <c r="AT209" i="7"/>
  <c r="AS227" i="7"/>
  <c r="AR227" i="7"/>
  <c r="AP209" i="7"/>
  <c r="AP227" i="7" s="1"/>
  <c r="AO209" i="7"/>
  <c r="AO227" i="7" s="1"/>
  <c r="AN209" i="7"/>
  <c r="AN227" i="7" s="1"/>
  <c r="AM209" i="7"/>
  <c r="AM227" i="7" s="1"/>
  <c r="AL209" i="7"/>
  <c r="AL227" i="7" s="1"/>
  <c r="AK209" i="7"/>
  <c r="AK227" i="7" s="1"/>
  <c r="AJ209" i="7"/>
  <c r="AJ227" i="7" s="1"/>
  <c r="AI209" i="7"/>
  <c r="AI227" i="7" s="1"/>
  <c r="AH209" i="7"/>
  <c r="AH227" i="7" s="1"/>
  <c r="AF209" i="7"/>
  <c r="AF227" i="7" s="1"/>
  <c r="AE209" i="7"/>
  <c r="AE227" i="7" s="1"/>
  <c r="Y209" i="7"/>
  <c r="Y227" i="7" s="1"/>
  <c r="X209" i="7"/>
  <c r="X227" i="7" s="1"/>
  <c r="W209" i="7"/>
  <c r="L209" i="7"/>
  <c r="L227" i="7" s="1"/>
  <c r="K209" i="7"/>
  <c r="K227" i="7" s="1"/>
  <c r="J209" i="7"/>
  <c r="J227" i="7" s="1"/>
  <c r="G209" i="7"/>
  <c r="G227" i="7" s="1"/>
  <c r="T208" i="7"/>
  <c r="O91" i="8"/>
  <c r="C732" i="14" l="1"/>
  <c r="C572" i="14"/>
  <c r="C481" i="14"/>
  <c r="C470" i="14"/>
  <c r="H470" i="14" s="1"/>
  <c r="C850" i="14"/>
  <c r="C739" i="14"/>
  <c r="C769" i="14"/>
  <c r="C583" i="14"/>
  <c r="H583" i="14" s="1"/>
  <c r="C582" i="14"/>
  <c r="C566" i="14"/>
  <c r="C540" i="14"/>
  <c r="H540" i="14" s="1"/>
  <c r="C480" i="14"/>
  <c r="H480" i="14" s="1"/>
  <c r="C466" i="14"/>
  <c r="C855" i="14"/>
  <c r="C577" i="14"/>
  <c r="C541" i="14"/>
  <c r="H541" i="14" s="1"/>
  <c r="C475" i="14"/>
  <c r="C770" i="14"/>
  <c r="C581" i="14"/>
  <c r="C568" i="14"/>
  <c r="H568" i="14" s="1"/>
  <c r="C539" i="14"/>
  <c r="C477" i="14"/>
  <c r="H477" i="14" s="1"/>
  <c r="C479" i="14"/>
  <c r="C857" i="14"/>
  <c r="H857" i="14" s="1"/>
  <c r="C576" i="14"/>
  <c r="C474" i="14"/>
  <c r="C859" i="14"/>
  <c r="C845" i="14"/>
  <c r="H845" i="14" s="1"/>
  <c r="H539" i="14"/>
  <c r="F539" i="14"/>
  <c r="F572" i="14"/>
  <c r="H572" i="14"/>
  <c r="H481" i="14"/>
  <c r="F481" i="14"/>
  <c r="H475" i="14"/>
  <c r="F475" i="14"/>
  <c r="H739" i="14"/>
  <c r="F739" i="14"/>
  <c r="H769" i="14"/>
  <c r="F769" i="14"/>
  <c r="F583" i="14"/>
  <c r="H582" i="14"/>
  <c r="F582" i="14"/>
  <c r="H566" i="14"/>
  <c r="F566" i="14"/>
  <c r="H466" i="14"/>
  <c r="F466" i="14"/>
  <c r="H855" i="14"/>
  <c r="F855" i="14"/>
  <c r="AT227" i="7"/>
  <c r="C728" i="14"/>
  <c r="F577" i="14"/>
  <c r="H577" i="14"/>
  <c r="H850" i="14"/>
  <c r="F850" i="14"/>
  <c r="H770" i="14"/>
  <c r="F770" i="14"/>
  <c r="F581" i="14"/>
  <c r="H581" i="14"/>
  <c r="C574" i="14"/>
  <c r="F479" i="14"/>
  <c r="H479" i="14"/>
  <c r="C472" i="14"/>
  <c r="F857" i="14"/>
  <c r="H732" i="14"/>
  <c r="F732" i="14"/>
  <c r="F470" i="14"/>
  <c r="H576" i="14"/>
  <c r="F576" i="14"/>
  <c r="F474" i="14"/>
  <c r="H474" i="14"/>
  <c r="H859" i="14"/>
  <c r="F859" i="14"/>
  <c r="F845" i="14"/>
  <c r="AU292" i="7"/>
  <c r="AD275" i="7"/>
  <c r="DU190" i="7"/>
  <c r="W227" i="7"/>
  <c r="BG292" i="7"/>
  <c r="DQ252" i="7"/>
  <c r="DU191" i="7"/>
  <c r="AW227" i="7"/>
  <c r="DQ251" i="7"/>
  <c r="DU17" i="7"/>
  <c r="DR16" i="7"/>
  <c r="DR15" i="7"/>
  <c r="DU14" i="7"/>
  <c r="DQ35" i="7"/>
  <c r="BF292" i="7"/>
  <c r="T289" i="7"/>
  <c r="T255" i="7"/>
  <c r="AT292" i="7"/>
  <c r="I292" i="7"/>
  <c r="U292" i="7"/>
  <c r="AS292" i="7"/>
  <c r="W292" i="7"/>
  <c r="P292" i="7"/>
  <c r="AF292" i="7"/>
  <c r="AJ292" i="7"/>
  <c r="AN292" i="7"/>
  <c r="AR292" i="7"/>
  <c r="AZ292" i="7"/>
  <c r="AQ227" i="7"/>
  <c r="BD227" i="7"/>
  <c r="BE227" i="7"/>
  <c r="BF227" i="7"/>
  <c r="DO173" i="7"/>
  <c r="DO539" i="7" s="1"/>
  <c r="BG227" i="7"/>
  <c r="BF173" i="7"/>
  <c r="AW173" i="7"/>
  <c r="AW539" i="7" s="1"/>
  <c r="AS173" i="7"/>
  <c r="AS539" i="7" s="1"/>
  <c r="AO173" i="7"/>
  <c r="AO539" i="7" s="1"/>
  <c r="AK173" i="7"/>
  <c r="AK539" i="7" s="1"/>
  <c r="AG173" i="7"/>
  <c r="U173" i="7"/>
  <c r="P173" i="7"/>
  <c r="BE173" i="7"/>
  <c r="BE539" i="7" s="1"/>
  <c r="AZ173" i="7"/>
  <c r="AV173" i="7"/>
  <c r="AR173" i="7"/>
  <c r="AR539" i="7" s="1"/>
  <c r="AN173" i="7"/>
  <c r="AN539" i="7" s="1"/>
  <c r="AJ173" i="7"/>
  <c r="AJ539" i="7" s="1"/>
  <c r="AF173" i="7"/>
  <c r="Y173" i="7"/>
  <c r="Y539" i="7" s="1"/>
  <c r="S173" i="7"/>
  <c r="O173" i="7"/>
  <c r="H173" i="7"/>
  <c r="BD173" i="7"/>
  <c r="BD539" i="7" s="1"/>
  <c r="AY173" i="7"/>
  <c r="AY539" i="7" s="1"/>
  <c r="AU173" i="7"/>
  <c r="AQ173" i="7"/>
  <c r="AQ539" i="7" s="1"/>
  <c r="AM173" i="7"/>
  <c r="AM539" i="7" s="1"/>
  <c r="AI173" i="7"/>
  <c r="AI539" i="7" s="1"/>
  <c r="AE173" i="7"/>
  <c r="AE539" i="7" s="1"/>
  <c r="X173" i="7"/>
  <c r="X539" i="7" s="1"/>
  <c r="R173" i="7"/>
  <c r="N173" i="7"/>
  <c r="BG173" i="7"/>
  <c r="BG539" i="7" s="1"/>
  <c r="BC173" i="7"/>
  <c r="AT173" i="7"/>
  <c r="AP173" i="7"/>
  <c r="AP539" i="7" s="1"/>
  <c r="AL173" i="7"/>
  <c r="AL539" i="7" s="1"/>
  <c r="AH173" i="7"/>
  <c r="AH539" i="7" s="1"/>
  <c r="AD173" i="7"/>
  <c r="W173" i="7"/>
  <c r="Q173" i="7"/>
  <c r="M173" i="7"/>
  <c r="BA173" i="7"/>
  <c r="AC173" i="7"/>
  <c r="G120" i="6"/>
  <c r="AB120" i="6" s="1"/>
  <c r="C209" i="7"/>
  <c r="AC292" i="7"/>
  <c r="I209" i="7"/>
  <c r="I227" i="7" s="1"/>
  <c r="Q209" i="7"/>
  <c r="Q227" i="7" s="1"/>
  <c r="BA275" i="7"/>
  <c r="BC292" i="7"/>
  <c r="F209" i="7"/>
  <c r="F227" i="7" s="1"/>
  <c r="O209" i="7"/>
  <c r="O227" i="7" s="1"/>
  <c r="S209" i="7"/>
  <c r="S227" i="7" s="1"/>
  <c r="D99" i="7"/>
  <c r="L99" i="7"/>
  <c r="L173" i="7" s="1"/>
  <c r="L539" i="7" s="1"/>
  <c r="H209" i="7"/>
  <c r="F292" i="7"/>
  <c r="J99" i="7"/>
  <c r="D292" i="7"/>
  <c r="J153" i="7"/>
  <c r="D209" i="7"/>
  <c r="D227" i="7" s="1"/>
  <c r="I153" i="7"/>
  <c r="I173" i="7" s="1"/>
  <c r="I539" i="7" s="1"/>
  <c r="E153" i="7"/>
  <c r="M209" i="7"/>
  <c r="M227" i="7" s="1"/>
  <c r="E209" i="7"/>
  <c r="M292" i="7"/>
  <c r="C289" i="7"/>
  <c r="N209" i="7"/>
  <c r="N227" i="7" s="1"/>
  <c r="R209" i="7"/>
  <c r="R227" i="7" s="1"/>
  <c r="E292" i="7"/>
  <c r="F99" i="7"/>
  <c r="F173" i="7" s="1"/>
  <c r="F539" i="7" s="1"/>
  <c r="T153" i="7"/>
  <c r="T99" i="7"/>
  <c r="E99" i="7"/>
  <c r="C153" i="7"/>
  <c r="K99" i="7"/>
  <c r="K173" i="7" s="1"/>
  <c r="K539" i="7" s="1"/>
  <c r="G99" i="7"/>
  <c r="G173" i="7" s="1"/>
  <c r="G539" i="7" s="1"/>
  <c r="C99" i="7"/>
  <c r="P209" i="7"/>
  <c r="P227" i="7" s="1"/>
  <c r="S539" i="7" l="1"/>
  <c r="F568" i="14"/>
  <c r="F480" i="14"/>
  <c r="AT539" i="7"/>
  <c r="R539" i="7"/>
  <c r="F540" i="14"/>
  <c r="F541" i="14"/>
  <c r="W539" i="7"/>
  <c r="N539" i="7"/>
  <c r="BF539" i="7"/>
  <c r="C637" i="14"/>
  <c r="F477" i="14"/>
  <c r="I477" i="14" s="1"/>
  <c r="C722" i="14"/>
  <c r="P539" i="7"/>
  <c r="C863" i="14"/>
  <c r="C851" i="14"/>
  <c r="Q539" i="7"/>
  <c r="O539" i="7"/>
  <c r="C636" i="14"/>
  <c r="H636" i="14" s="1"/>
  <c r="C565" i="14"/>
  <c r="H565" i="14" s="1"/>
  <c r="C567" i="14"/>
  <c r="F567" i="14" s="1"/>
  <c r="C463" i="14"/>
  <c r="H463" i="14" s="1"/>
  <c r="C465" i="14"/>
  <c r="H465" i="14" s="1"/>
  <c r="C721" i="14"/>
  <c r="C854" i="14"/>
  <c r="H854" i="14" s="1"/>
  <c r="C720" i="14"/>
  <c r="F720" i="14" s="1"/>
  <c r="M539" i="7"/>
  <c r="AF539" i="7"/>
  <c r="C862" i="14"/>
  <c r="I859" i="14"/>
  <c r="I581" i="14"/>
  <c r="I850" i="14"/>
  <c r="I466" i="14"/>
  <c r="I583" i="14"/>
  <c r="I739" i="14"/>
  <c r="I481" i="14"/>
  <c r="I541" i="14"/>
  <c r="I540" i="14"/>
  <c r="E558" i="14"/>
  <c r="F558" i="14" s="1"/>
  <c r="I558" i="14" s="1"/>
  <c r="I539" i="14"/>
  <c r="I479" i="14"/>
  <c r="I568" i="14"/>
  <c r="I770" i="14"/>
  <c r="I582" i="14"/>
  <c r="H637" i="14"/>
  <c r="F637" i="14"/>
  <c r="D173" i="7"/>
  <c r="D539" i="7" s="1"/>
  <c r="C464" i="14"/>
  <c r="H472" i="14"/>
  <c r="F472" i="14"/>
  <c r="H728" i="14"/>
  <c r="F728" i="14"/>
  <c r="C723" i="14"/>
  <c r="H721" i="14"/>
  <c r="F721" i="14"/>
  <c r="H720" i="14"/>
  <c r="H862" i="14"/>
  <c r="F862" i="14"/>
  <c r="I576" i="14"/>
  <c r="I732" i="14"/>
  <c r="I566" i="14"/>
  <c r="F565" i="14"/>
  <c r="C569" i="14"/>
  <c r="H567" i="14"/>
  <c r="H574" i="14"/>
  <c r="F574" i="14"/>
  <c r="C467" i="14"/>
  <c r="H863" i="14"/>
  <c r="F863" i="14"/>
  <c r="H851" i="14"/>
  <c r="F851" i="14"/>
  <c r="H722" i="14"/>
  <c r="F722" i="14"/>
  <c r="I845" i="14"/>
  <c r="I474" i="14"/>
  <c r="I470" i="14"/>
  <c r="I857" i="14"/>
  <c r="I577" i="14"/>
  <c r="I855" i="14"/>
  <c r="I480" i="14"/>
  <c r="I769" i="14"/>
  <c r="E776" i="14"/>
  <c r="F776" i="14" s="1"/>
  <c r="I776" i="14" s="1"/>
  <c r="I475" i="14"/>
  <c r="I572" i="14"/>
  <c r="DU15" i="7"/>
  <c r="BA292" i="7"/>
  <c r="DU252" i="7"/>
  <c r="AD292" i="7"/>
  <c r="DU251" i="7"/>
  <c r="DU16" i="7"/>
  <c r="H227" i="7"/>
  <c r="H539" i="7" s="1"/>
  <c r="DR35" i="7"/>
  <c r="E227" i="7"/>
  <c r="C227" i="7"/>
  <c r="T173" i="7"/>
  <c r="C173" i="7"/>
  <c r="E173" i="7"/>
  <c r="E539" i="7" s="1"/>
  <c r="J173" i="7"/>
  <c r="J539" i="7" s="1"/>
  <c r="T120" i="6"/>
  <c r="U120" i="6" s="1"/>
  <c r="S120" i="6"/>
  <c r="G250" i="6"/>
  <c r="G261" i="6"/>
  <c r="G229" i="6"/>
  <c r="T209" i="7"/>
  <c r="BC209" i="7"/>
  <c r="U209" i="7"/>
  <c r="AU209" i="7"/>
  <c r="AV209" i="7"/>
  <c r="C292" i="7"/>
  <c r="H2" i="7" s="1"/>
  <c r="O102" i="8"/>
  <c r="O101" i="8"/>
  <c r="O100" i="8"/>
  <c r="O99" i="8"/>
  <c r="O98" i="8"/>
  <c r="O97" i="8"/>
  <c r="O94" i="8"/>
  <c r="O93" i="8"/>
  <c r="O92" i="8"/>
  <c r="O90" i="8"/>
  <c r="O89" i="8"/>
  <c r="O88" i="8"/>
  <c r="O87" i="8"/>
  <c r="O86" i="8"/>
  <c r="O85" i="8"/>
  <c r="O84" i="8"/>
  <c r="O83" i="8"/>
  <c r="O82" i="8"/>
  <c r="O81" i="8"/>
  <c r="F463" i="14" l="1"/>
  <c r="C726" i="14"/>
  <c r="C740" i="14"/>
  <c r="F636" i="14"/>
  <c r="F465" i="14"/>
  <c r="I465" i="14" s="1"/>
  <c r="C738" i="14"/>
  <c r="H738" i="14" s="1"/>
  <c r="C539" i="7"/>
  <c r="F854" i="14"/>
  <c r="I854" i="14" s="1"/>
  <c r="H903" i="14"/>
  <c r="I722" i="14"/>
  <c r="I728" i="14"/>
  <c r="I565" i="14"/>
  <c r="DU64" i="7"/>
  <c r="I862" i="14"/>
  <c r="E870" i="14"/>
  <c r="F870" i="14" s="1"/>
  <c r="I870" i="14" s="1"/>
  <c r="F723" i="14"/>
  <c r="H723" i="14"/>
  <c r="H726" i="14"/>
  <c r="F726" i="14"/>
  <c r="F467" i="14"/>
  <c r="H467" i="14"/>
  <c r="I567" i="14"/>
  <c r="H464" i="14"/>
  <c r="F464" i="14"/>
  <c r="F740" i="14"/>
  <c r="H740" i="14"/>
  <c r="I863" i="14"/>
  <c r="H569" i="14"/>
  <c r="F569" i="14"/>
  <c r="I720" i="14"/>
  <c r="F738" i="14"/>
  <c r="I636" i="14"/>
  <c r="E661" i="14"/>
  <c r="F661" i="14" s="1"/>
  <c r="I661" i="14" s="1"/>
  <c r="I851" i="14"/>
  <c r="I574" i="14"/>
  <c r="I721" i="14"/>
  <c r="I472" i="14"/>
  <c r="I463" i="14"/>
  <c r="I637" i="14"/>
  <c r="AZ370" i="7"/>
  <c r="AZ492" i="7" s="1"/>
  <c r="AD370" i="7"/>
  <c r="AC370" i="7"/>
  <c r="AC492" i="7" s="1"/>
  <c r="U370" i="7"/>
  <c r="E3" i="7"/>
  <c r="T292" i="7"/>
  <c r="BC227" i="7"/>
  <c r="BC539" i="7" s="1"/>
  <c r="AU227" i="7"/>
  <c r="AU539" i="7" s="1"/>
  <c r="T227" i="7"/>
  <c r="T539" i="7" s="1"/>
  <c r="AV227" i="7"/>
  <c r="AV539" i="7" s="1"/>
  <c r="U227" i="7"/>
  <c r="E2" i="7"/>
  <c r="S229" i="6"/>
  <c r="T229" i="6"/>
  <c r="W229" i="6"/>
  <c r="AB229" i="6"/>
  <c r="G119" i="6"/>
  <c r="S119" i="6" s="1"/>
  <c r="S261" i="6"/>
  <c r="P261" i="6"/>
  <c r="AB261" i="6"/>
  <c r="T261" i="6"/>
  <c r="U261" i="6" s="1"/>
  <c r="V261" i="6" s="1"/>
  <c r="AB250" i="6"/>
  <c r="T250" i="6"/>
  <c r="U250" i="6" s="1"/>
  <c r="V250" i="6" s="1"/>
  <c r="S250" i="6"/>
  <c r="W250" i="6"/>
  <c r="V120" i="6"/>
  <c r="G146" i="6"/>
  <c r="G157" i="6"/>
  <c r="AZ209" i="7"/>
  <c r="AC209" i="7"/>
  <c r="AD209" i="7"/>
  <c r="C922" i="14" l="1"/>
  <c r="C736" i="14"/>
  <c r="C731" i="14"/>
  <c r="C730" i="14"/>
  <c r="F730" i="14" s="1"/>
  <c r="C917" i="14"/>
  <c r="F715" i="14"/>
  <c r="I738" i="14"/>
  <c r="I903" i="14"/>
  <c r="I467" i="14"/>
  <c r="I723" i="14"/>
  <c r="H715" i="14"/>
  <c r="F903" i="14"/>
  <c r="I740" i="14"/>
  <c r="I726" i="14"/>
  <c r="H731" i="14"/>
  <c r="F731" i="14"/>
  <c r="F922" i="14"/>
  <c r="H922" i="14"/>
  <c r="C928" i="14"/>
  <c r="H736" i="14"/>
  <c r="F736" i="14"/>
  <c r="I569" i="14"/>
  <c r="F917" i="14"/>
  <c r="H917" i="14"/>
  <c r="I464" i="14"/>
  <c r="AD492" i="7"/>
  <c r="U492" i="7"/>
  <c r="U539" i="7" s="1"/>
  <c r="BA370" i="7"/>
  <c r="BA492" i="7" s="1"/>
  <c r="N3" i="7"/>
  <c r="AZ227" i="7"/>
  <c r="AZ539" i="7" s="1"/>
  <c r="AC227" i="7"/>
  <c r="AC539" i="7" s="1"/>
  <c r="AD227" i="7"/>
  <c r="T119" i="6"/>
  <c r="U119" i="6" s="1"/>
  <c r="AB119" i="6"/>
  <c r="S295" i="6"/>
  <c r="W295" i="6"/>
  <c r="T295" i="6"/>
  <c r="U229" i="6"/>
  <c r="W119" i="6"/>
  <c r="Q261" i="6"/>
  <c r="Q295" i="6" s="1"/>
  <c r="P295" i="6"/>
  <c r="AB295" i="6"/>
  <c r="S146" i="6"/>
  <c r="AB146" i="6"/>
  <c r="T146" i="6"/>
  <c r="W146" i="6"/>
  <c r="T157" i="6"/>
  <c r="U157" i="6" s="1"/>
  <c r="V157" i="6" s="1"/>
  <c r="P157" i="6"/>
  <c r="Q157" i="6" s="1"/>
  <c r="S157" i="6"/>
  <c r="AB157" i="6"/>
  <c r="BA209" i="7"/>
  <c r="AG209" i="7"/>
  <c r="AD539" i="7" l="1"/>
  <c r="H730" i="14"/>
  <c r="I730" i="14" s="1"/>
  <c r="C733" i="14"/>
  <c r="H733" i="14" s="1"/>
  <c r="C735" i="14"/>
  <c r="F735" i="14" s="1"/>
  <c r="I715" i="14"/>
  <c r="I922" i="14"/>
  <c r="I731" i="14"/>
  <c r="H735" i="14"/>
  <c r="F928" i="14"/>
  <c r="F1329" i="14" s="1"/>
  <c r="H928" i="14"/>
  <c r="H1329" i="14" s="1"/>
  <c r="I917" i="14"/>
  <c r="I736" i="14"/>
  <c r="AG227" i="7"/>
  <c r="AG539" i="7" s="1"/>
  <c r="BA227" i="7"/>
  <c r="BA539" i="7" s="1"/>
  <c r="DQ70" i="7" s="1"/>
  <c r="V229" i="6"/>
  <c r="V295" i="6" s="1"/>
  <c r="U295" i="6"/>
  <c r="W189" i="6"/>
  <c r="V119" i="6"/>
  <c r="U146" i="6"/>
  <c r="T189" i="6"/>
  <c r="AB189" i="6"/>
  <c r="S189" i="6"/>
  <c r="O7" i="8"/>
  <c r="O8" i="8"/>
  <c r="O11" i="8"/>
  <c r="O43" i="8"/>
  <c r="O44" i="8"/>
  <c r="O47" i="8"/>
  <c r="O68" i="8"/>
  <c r="O69" i="8"/>
  <c r="O70" i="8"/>
  <c r="O71" i="8"/>
  <c r="O73" i="8"/>
  <c r="O74" i="8"/>
  <c r="P11" i="6"/>
  <c r="Q11" i="6" s="1"/>
  <c r="R11" i="6"/>
  <c r="S11" i="6"/>
  <c r="T11" i="6"/>
  <c r="W11" i="6"/>
  <c r="X11" i="6"/>
  <c r="Z11" i="6"/>
  <c r="P12" i="6"/>
  <c r="Q12" i="6" s="1"/>
  <c r="R12" i="6"/>
  <c r="S12" i="6"/>
  <c r="T12" i="6"/>
  <c r="W12" i="6"/>
  <c r="X12" i="6"/>
  <c r="Z12" i="6"/>
  <c r="P13" i="6"/>
  <c r="Q13" i="6" s="1"/>
  <c r="R13" i="6"/>
  <c r="S13" i="6"/>
  <c r="T13" i="6"/>
  <c r="W13" i="6"/>
  <c r="X13" i="6"/>
  <c r="Z13" i="6"/>
  <c r="P14" i="6"/>
  <c r="Q14" i="6" s="1"/>
  <c r="R14" i="6"/>
  <c r="S14" i="6"/>
  <c r="T14" i="6"/>
  <c r="W14" i="6"/>
  <c r="X14" i="6"/>
  <c r="Z14" i="6"/>
  <c r="P15" i="6"/>
  <c r="Q15" i="6" s="1"/>
  <c r="R15" i="6"/>
  <c r="S15" i="6"/>
  <c r="T15" i="6"/>
  <c r="W15" i="6"/>
  <c r="X15" i="6"/>
  <c r="Z15" i="6"/>
  <c r="I17" i="6"/>
  <c r="O17" i="6"/>
  <c r="S17" i="6"/>
  <c r="T17" i="6"/>
  <c r="U17" i="6" s="1"/>
  <c r="V17" i="6" s="1"/>
  <c r="I18" i="6"/>
  <c r="O18" i="6"/>
  <c r="S18" i="6"/>
  <c r="T18" i="6"/>
  <c r="I19" i="6"/>
  <c r="O19" i="6"/>
  <c r="S19" i="6"/>
  <c r="T19" i="6"/>
  <c r="U19" i="6" s="1"/>
  <c r="V19" i="6" s="1"/>
  <c r="I20" i="6"/>
  <c r="O20" i="6"/>
  <c r="S20" i="6"/>
  <c r="T20" i="6"/>
  <c r="U20" i="6" s="1"/>
  <c r="V20" i="6" s="1"/>
  <c r="I21" i="6"/>
  <c r="O21" i="6"/>
  <c r="S21" i="6"/>
  <c r="T21" i="6"/>
  <c r="U21" i="6" s="1"/>
  <c r="V21" i="6" s="1"/>
  <c r="I22" i="6"/>
  <c r="O22" i="6"/>
  <c r="S22" i="6"/>
  <c r="T22" i="6"/>
  <c r="U22" i="6" s="1"/>
  <c r="V22" i="6" s="1"/>
  <c r="I23" i="6"/>
  <c r="O23" i="6"/>
  <c r="S23" i="6"/>
  <c r="T23" i="6"/>
  <c r="U23" i="6" s="1"/>
  <c r="V23" i="6" s="1"/>
  <c r="I25" i="6"/>
  <c r="L25" i="6"/>
  <c r="S25" i="6"/>
  <c r="T25" i="6"/>
  <c r="U25" i="6" s="1"/>
  <c r="V25" i="6" s="1"/>
  <c r="I26" i="6"/>
  <c r="L26" i="6"/>
  <c r="O26" i="6"/>
  <c r="S26" i="6"/>
  <c r="T26" i="6"/>
  <c r="U26" i="6" s="1"/>
  <c r="J27" i="6"/>
  <c r="L27" i="6"/>
  <c r="O27" i="6"/>
  <c r="S27" i="6"/>
  <c r="T27" i="6"/>
  <c r="U27" i="6" s="1"/>
  <c r="J28" i="6"/>
  <c r="L28" i="6"/>
  <c r="O28" i="6"/>
  <c r="S28" i="6"/>
  <c r="T28" i="6"/>
  <c r="J29" i="6"/>
  <c r="L29" i="6"/>
  <c r="M29" i="6"/>
  <c r="S29" i="6"/>
  <c r="T29" i="6"/>
  <c r="U29" i="6" s="1"/>
  <c r="V29" i="6" s="1"/>
  <c r="I30" i="6"/>
  <c r="L30" i="6"/>
  <c r="M30" i="6"/>
  <c r="S30" i="6"/>
  <c r="T30" i="6"/>
  <c r="U30" i="6" s="1"/>
  <c r="V30" i="6" s="1"/>
  <c r="J31" i="6"/>
  <c r="L31" i="6"/>
  <c r="M31" i="6"/>
  <c r="S31" i="6"/>
  <c r="T31" i="6"/>
  <c r="U31" i="6" s="1"/>
  <c r="J32" i="6"/>
  <c r="O32" i="6"/>
  <c r="S32" i="6"/>
  <c r="T32" i="6"/>
  <c r="U32" i="6" s="1"/>
  <c r="J33" i="6"/>
  <c r="O33" i="6"/>
  <c r="S33" i="6"/>
  <c r="T33" i="6"/>
  <c r="U33" i="6" s="1"/>
  <c r="J34" i="6"/>
  <c r="O34" i="6"/>
  <c r="S34" i="6"/>
  <c r="T34" i="6"/>
  <c r="U34" i="6" s="1"/>
  <c r="J35" i="6"/>
  <c r="L35" i="6"/>
  <c r="O35" i="6"/>
  <c r="S35" i="6"/>
  <c r="T35" i="6"/>
  <c r="J36" i="6"/>
  <c r="L36" i="6"/>
  <c r="O36" i="6"/>
  <c r="S36" i="6"/>
  <c r="T36" i="6"/>
  <c r="J37" i="6"/>
  <c r="O37" i="6"/>
  <c r="S37" i="6"/>
  <c r="T37" i="6"/>
  <c r="U37" i="6" s="1"/>
  <c r="V37" i="6" s="1"/>
  <c r="J38" i="6"/>
  <c r="O38" i="6"/>
  <c r="S38" i="6"/>
  <c r="T38" i="6"/>
  <c r="J39" i="6"/>
  <c r="O39" i="6"/>
  <c r="S39" i="6"/>
  <c r="T39" i="6"/>
  <c r="U39" i="6" s="1"/>
  <c r="I40" i="6"/>
  <c r="O40" i="6"/>
  <c r="S40" i="6"/>
  <c r="T40" i="6"/>
  <c r="I41" i="6"/>
  <c r="O41" i="6"/>
  <c r="S41" i="6"/>
  <c r="T41" i="6"/>
  <c r="I42" i="6"/>
  <c r="O42" i="6"/>
  <c r="S42" i="6"/>
  <c r="T42" i="6"/>
  <c r="I43" i="6"/>
  <c r="O43" i="6"/>
  <c r="S43" i="6"/>
  <c r="T43" i="6"/>
  <c r="I44" i="6"/>
  <c r="O44" i="6"/>
  <c r="S44" i="6"/>
  <c r="T44" i="6"/>
  <c r="AA78" i="6"/>
  <c r="I46" i="6"/>
  <c r="L46" i="6"/>
  <c r="O46" i="6"/>
  <c r="S46" i="6"/>
  <c r="T46" i="6"/>
  <c r="U46" i="6" s="1"/>
  <c r="V46" i="6" s="1"/>
  <c r="W46" i="6"/>
  <c r="J47" i="6"/>
  <c r="L47" i="6"/>
  <c r="O47" i="6"/>
  <c r="S47" i="6"/>
  <c r="T47" i="6"/>
  <c r="U47" i="6" s="1"/>
  <c r="W47" i="6"/>
  <c r="J48" i="6"/>
  <c r="O48" i="6"/>
  <c r="S48" i="6"/>
  <c r="T48" i="6"/>
  <c r="W48" i="6"/>
  <c r="J49" i="6"/>
  <c r="O49" i="6"/>
  <c r="S49" i="6"/>
  <c r="T49" i="6"/>
  <c r="U49" i="6" s="1"/>
  <c r="W49" i="6"/>
  <c r="J50" i="6"/>
  <c r="O50" i="6"/>
  <c r="S50" i="6"/>
  <c r="T50" i="6"/>
  <c r="W50" i="6"/>
  <c r="J51" i="6"/>
  <c r="O51" i="6"/>
  <c r="S51" i="6"/>
  <c r="T51" i="6"/>
  <c r="W51" i="6"/>
  <c r="J52" i="6"/>
  <c r="O52" i="6"/>
  <c r="S52" i="6"/>
  <c r="T52" i="6"/>
  <c r="W52" i="6"/>
  <c r="J53" i="6"/>
  <c r="O53" i="6"/>
  <c r="S53" i="6"/>
  <c r="T53" i="6"/>
  <c r="W53" i="6"/>
  <c r="J54" i="6"/>
  <c r="O54" i="6"/>
  <c r="S54" i="6"/>
  <c r="T54" i="6"/>
  <c r="U54" i="6" s="1"/>
  <c r="V54" i="6" s="1"/>
  <c r="W54" i="6"/>
  <c r="J55" i="6"/>
  <c r="O55" i="6"/>
  <c r="S55" i="6"/>
  <c r="T55" i="6"/>
  <c r="W55" i="6"/>
  <c r="J56" i="6"/>
  <c r="O56" i="6"/>
  <c r="S56" i="6"/>
  <c r="T56" i="6"/>
  <c r="W56" i="6"/>
  <c r="J57" i="6"/>
  <c r="O57" i="6"/>
  <c r="S57" i="6"/>
  <c r="T57" i="6"/>
  <c r="W57" i="6"/>
  <c r="J58" i="6"/>
  <c r="O58" i="6"/>
  <c r="S58" i="6"/>
  <c r="T58" i="6"/>
  <c r="W58" i="6"/>
  <c r="J59" i="6"/>
  <c r="O59" i="6"/>
  <c r="S59" i="6"/>
  <c r="T59" i="6"/>
  <c r="W59" i="6"/>
  <c r="I60" i="6"/>
  <c r="O60" i="6"/>
  <c r="S60" i="6"/>
  <c r="T60" i="6"/>
  <c r="U60" i="6" s="1"/>
  <c r="V60" i="6" s="1"/>
  <c r="W60" i="6"/>
  <c r="I61" i="6"/>
  <c r="O61" i="6"/>
  <c r="S61" i="6"/>
  <c r="T61" i="6"/>
  <c r="U61" i="6" s="1"/>
  <c r="W61" i="6"/>
  <c r="I62" i="6"/>
  <c r="O62" i="6"/>
  <c r="S62" i="6"/>
  <c r="T62" i="6"/>
  <c r="W62" i="6"/>
  <c r="I63" i="6"/>
  <c r="O63" i="6"/>
  <c r="S63" i="6"/>
  <c r="T63" i="6"/>
  <c r="U63" i="6" s="1"/>
  <c r="W63" i="6"/>
  <c r="P64" i="6"/>
  <c r="Q64" i="6" s="1"/>
  <c r="T64" i="6"/>
  <c r="W64" i="6"/>
  <c r="P66" i="6"/>
  <c r="Q66" i="6" s="1"/>
  <c r="R66" i="6"/>
  <c r="S66" i="6"/>
  <c r="T66" i="6"/>
  <c r="W66" i="6"/>
  <c r="P67" i="6"/>
  <c r="Q67" i="6" s="1"/>
  <c r="R67" i="6"/>
  <c r="S67" i="6"/>
  <c r="T67" i="6"/>
  <c r="W67" i="6"/>
  <c r="P68" i="6"/>
  <c r="Q68" i="6" s="1"/>
  <c r="R68" i="6"/>
  <c r="S68" i="6"/>
  <c r="T68" i="6"/>
  <c r="W68" i="6"/>
  <c r="P69" i="6"/>
  <c r="Q69" i="6" s="1"/>
  <c r="R69" i="6"/>
  <c r="S69" i="6"/>
  <c r="T69" i="6"/>
  <c r="W69" i="6"/>
  <c r="P70" i="6"/>
  <c r="Q70" i="6" s="1"/>
  <c r="R70" i="6"/>
  <c r="S70" i="6"/>
  <c r="T70" i="6"/>
  <c r="W70" i="6"/>
  <c r="P71" i="6"/>
  <c r="Q71" i="6" s="1"/>
  <c r="R71" i="6"/>
  <c r="S71" i="6"/>
  <c r="T71" i="6"/>
  <c r="W71" i="6"/>
  <c r="P72" i="6"/>
  <c r="Q72" i="6" s="1"/>
  <c r="R72" i="6"/>
  <c r="S72" i="6"/>
  <c r="T72" i="6"/>
  <c r="W72" i="6"/>
  <c r="P73" i="6"/>
  <c r="Q73" i="6" s="1"/>
  <c r="S73" i="6"/>
  <c r="T73" i="6"/>
  <c r="W73" i="6"/>
  <c r="I74" i="6"/>
  <c r="J74" i="6"/>
  <c r="L74" i="6"/>
  <c r="S74" i="6"/>
  <c r="T74" i="6"/>
  <c r="N78" i="6"/>
  <c r="Y78" i="6"/>
  <c r="AB78" i="6"/>
  <c r="F733" i="14" l="1"/>
  <c r="DR72" i="7"/>
  <c r="DS70" i="7"/>
  <c r="DQ72" i="7" s="1"/>
  <c r="C743" i="14"/>
  <c r="C747" i="14"/>
  <c r="F747" i="14" s="1"/>
  <c r="I747" i="14" s="1"/>
  <c r="C744" i="14"/>
  <c r="I733" i="14"/>
  <c r="I735" i="14"/>
  <c r="I928" i="14"/>
  <c r="I1329" i="14" s="1"/>
  <c r="U15" i="6"/>
  <c r="V14" i="6"/>
  <c r="U11" i="6"/>
  <c r="U57" i="6"/>
  <c r="V57" i="6" s="1"/>
  <c r="U58" i="6"/>
  <c r="V58" i="6" s="1"/>
  <c r="V146" i="6"/>
  <c r="U189" i="6"/>
  <c r="M189" i="6"/>
  <c r="P156" i="6"/>
  <c r="Q156" i="6" s="1"/>
  <c r="P155" i="6"/>
  <c r="Q155" i="6" s="1"/>
  <c r="P154" i="6"/>
  <c r="Q154" i="6" s="1"/>
  <c r="P153" i="6"/>
  <c r="Q153" i="6" s="1"/>
  <c r="L189" i="6"/>
  <c r="V63" i="6"/>
  <c r="P58" i="6"/>
  <c r="Q58" i="6" s="1"/>
  <c r="V11" i="6"/>
  <c r="P38" i="6"/>
  <c r="Q38" i="6" s="1"/>
  <c r="P47" i="6"/>
  <c r="Q47" i="6" s="1"/>
  <c r="P34" i="6"/>
  <c r="Q34" i="6" s="1"/>
  <c r="P18" i="6"/>
  <c r="Q18" i="6" s="1"/>
  <c r="P32" i="6"/>
  <c r="Q32" i="6" s="1"/>
  <c r="U74" i="6"/>
  <c r="V74" i="6" s="1"/>
  <c r="P61" i="6"/>
  <c r="Q61" i="6" s="1"/>
  <c r="P44" i="6"/>
  <c r="Q44" i="6" s="1"/>
  <c r="P43" i="6"/>
  <c r="Q43" i="6" s="1"/>
  <c r="P42" i="6"/>
  <c r="Q42" i="6" s="1"/>
  <c r="P41" i="6"/>
  <c r="Q41" i="6" s="1"/>
  <c r="P40" i="6"/>
  <c r="Q40" i="6" s="1"/>
  <c r="X78" i="6"/>
  <c r="P60" i="6"/>
  <c r="Q60" i="6" s="1"/>
  <c r="V39" i="6"/>
  <c r="P55" i="6"/>
  <c r="Q55" i="6" s="1"/>
  <c r="P53" i="6"/>
  <c r="Q53" i="6" s="1"/>
  <c r="U14" i="6"/>
  <c r="P54" i="6"/>
  <c r="Q54" i="6" s="1"/>
  <c r="P31" i="6"/>
  <c r="Q31" i="6" s="1"/>
  <c r="U13" i="6"/>
  <c r="V13" i="6"/>
  <c r="U64" i="6"/>
  <c r="V64" i="6" s="1"/>
  <c r="P57" i="6"/>
  <c r="Q57" i="6" s="1"/>
  <c r="P50" i="6"/>
  <c r="Q50" i="6" s="1"/>
  <c r="V26" i="6"/>
  <c r="U38" i="6"/>
  <c r="V38" i="6" s="1"/>
  <c r="U50" i="6"/>
  <c r="V50" i="6" s="1"/>
  <c r="U44" i="6"/>
  <c r="V44" i="6" s="1"/>
  <c r="U43" i="6"/>
  <c r="V43" i="6" s="1"/>
  <c r="U42" i="6"/>
  <c r="V42" i="6" s="1"/>
  <c r="U41" i="6"/>
  <c r="V41" i="6" s="1"/>
  <c r="U40" i="6"/>
  <c r="V40" i="6" s="1"/>
  <c r="U36" i="6"/>
  <c r="V36" i="6" s="1"/>
  <c r="P27" i="6"/>
  <c r="Q27" i="6" s="1"/>
  <c r="U53" i="6"/>
  <c r="V53" i="6" s="1"/>
  <c r="P51" i="6"/>
  <c r="Q51" i="6" s="1"/>
  <c r="P33" i="6"/>
  <c r="Q33" i="6" s="1"/>
  <c r="U18" i="6"/>
  <c r="V18" i="6" s="1"/>
  <c r="V12" i="6"/>
  <c r="U12" i="6"/>
  <c r="R78" i="6"/>
  <c r="P63" i="6"/>
  <c r="Q63" i="6" s="1"/>
  <c r="P46" i="6"/>
  <c r="Q46" i="6" s="1"/>
  <c r="P39" i="6"/>
  <c r="Q39" i="6" s="1"/>
  <c r="P35" i="6"/>
  <c r="Q35" i="6" s="1"/>
  <c r="V33" i="6"/>
  <c r="V31" i="6"/>
  <c r="P30" i="6"/>
  <c r="Q30" i="6" s="1"/>
  <c r="P26" i="6"/>
  <c r="Q26" i="6" s="1"/>
  <c r="P25" i="6"/>
  <c r="Q25" i="6" s="1"/>
  <c r="P23" i="6"/>
  <c r="Q23" i="6" s="1"/>
  <c r="P22" i="6"/>
  <c r="Q22" i="6" s="1"/>
  <c r="P21" i="6"/>
  <c r="Q21" i="6" s="1"/>
  <c r="P20" i="6"/>
  <c r="Q20" i="6" s="1"/>
  <c r="P19" i="6"/>
  <c r="Q19" i="6" s="1"/>
  <c r="P17" i="6"/>
  <c r="Q17" i="6" s="1"/>
  <c r="V15" i="6"/>
  <c r="P62" i="6"/>
  <c r="Q62" i="6" s="1"/>
  <c r="P59" i="6"/>
  <c r="Q59" i="6" s="1"/>
  <c r="V49" i="6"/>
  <c r="V47" i="6"/>
  <c r="P74" i="6"/>
  <c r="Q74" i="6" s="1"/>
  <c r="U71" i="6"/>
  <c r="V71" i="6" s="1"/>
  <c r="U67" i="6"/>
  <c r="V67" i="6" s="1"/>
  <c r="U62" i="6"/>
  <c r="V62" i="6" s="1"/>
  <c r="Z78" i="6"/>
  <c r="O78" i="6"/>
  <c r="P49" i="6"/>
  <c r="Q49" i="6" s="1"/>
  <c r="I78" i="6"/>
  <c r="U70" i="6"/>
  <c r="V70" i="6" s="1"/>
  <c r="U66" i="6"/>
  <c r="V66" i="6" s="1"/>
  <c r="P37" i="6"/>
  <c r="Q37" i="6" s="1"/>
  <c r="U35" i="6"/>
  <c r="V35" i="6" s="1"/>
  <c r="V27" i="6"/>
  <c r="U72" i="6"/>
  <c r="V72" i="6" s="1"/>
  <c r="U68" i="6"/>
  <c r="V68" i="6" s="1"/>
  <c r="M78" i="6"/>
  <c r="U73" i="6"/>
  <c r="V73" i="6" s="1"/>
  <c r="U69" i="6"/>
  <c r="V69" i="6" s="1"/>
  <c r="U59" i="6"/>
  <c r="V59" i="6" s="1"/>
  <c r="U55" i="6"/>
  <c r="V55" i="6" s="1"/>
  <c r="U51" i="6"/>
  <c r="V51" i="6" s="1"/>
  <c r="P56" i="6"/>
  <c r="Q56" i="6" s="1"/>
  <c r="P52" i="6"/>
  <c r="Q52" i="6" s="1"/>
  <c r="P48" i="6"/>
  <c r="Q48" i="6" s="1"/>
  <c r="V34" i="6"/>
  <c r="V32" i="6"/>
  <c r="P29" i="6"/>
  <c r="Q29" i="6" s="1"/>
  <c r="P28" i="6"/>
  <c r="Q28" i="6" s="1"/>
  <c r="V61" i="6"/>
  <c r="U56" i="6"/>
  <c r="V56" i="6" s="1"/>
  <c r="U52" i="6"/>
  <c r="V52" i="6" s="1"/>
  <c r="U48" i="6"/>
  <c r="V48" i="6" s="1"/>
  <c r="P36" i="6"/>
  <c r="Q36" i="6" s="1"/>
  <c r="U28" i="6"/>
  <c r="V28" i="6" s="1"/>
  <c r="DS72" i="7" l="1"/>
  <c r="H743" i="14"/>
  <c r="F743" i="14"/>
  <c r="H744" i="14"/>
  <c r="F744" i="14"/>
  <c r="V189" i="6"/>
  <c r="P150" i="6"/>
  <c r="Q150" i="6" s="1"/>
  <c r="P151" i="6"/>
  <c r="Q151" i="6" s="1"/>
  <c r="P149" i="6"/>
  <c r="Q149" i="6" s="1"/>
  <c r="P147" i="6"/>
  <c r="J189" i="6"/>
  <c r="O189" i="6"/>
  <c r="P152" i="6"/>
  <c r="Q152" i="6" s="1"/>
  <c r="P148" i="6"/>
  <c r="Q148" i="6" s="1"/>
  <c r="W78" i="6"/>
  <c r="L78" i="6"/>
  <c r="J78" i="6"/>
  <c r="Q78" i="6"/>
  <c r="E766" i="14" l="1"/>
  <c r="F766" i="14" s="1"/>
  <c r="I766" i="14" s="1"/>
  <c r="I744" i="14"/>
  <c r="I743" i="14"/>
  <c r="H809" i="14"/>
  <c r="H1362" i="14" s="1"/>
  <c r="H13" i="14" s="1"/>
  <c r="H21" i="14" s="1"/>
  <c r="Q147" i="6"/>
  <c r="P189" i="6"/>
  <c r="S78" i="6"/>
  <c r="T78" i="6"/>
  <c r="P78" i="6"/>
  <c r="F809" i="14" l="1"/>
  <c r="F1362" i="14" s="1"/>
  <c r="F13" i="14" s="1"/>
  <c r="F21" i="14" s="1"/>
  <c r="I809" i="14"/>
  <c r="I1362" i="14" s="1"/>
  <c r="I13" i="14" s="1"/>
  <c r="I21" i="14" s="1"/>
  <c r="Q189" i="6"/>
  <c r="U78" i="6"/>
  <c r="V78" i="6"/>
  <c r="O8" i="13" l="1"/>
  <c r="O16" i="13" l="1"/>
  <c r="F25" i="13" s="1"/>
  <c r="W25" i="13" s="1"/>
  <c r="O25" i="13" s="1"/>
  <c r="O11" i="13"/>
  <c r="O35" i="13"/>
  <c r="O43" i="13" s="1"/>
  <c r="F52" i="13" s="1"/>
  <c r="W52" i="13" s="1"/>
  <c r="L22" i="13" l="1"/>
  <c r="L49" i="13"/>
  <c r="O38" i="13"/>
  <c r="O52" i="13"/>
</calcChain>
</file>

<file path=xl/sharedStrings.xml><?xml version="1.0" encoding="utf-8"?>
<sst xmlns="http://schemas.openxmlformats.org/spreadsheetml/2006/main" count="11129" uniqueCount="2705">
  <si>
    <t>เจ้าของโครงการ :   มหาวิทยาลัยเทคโนโรยีราชมงคลอีสาน</t>
  </si>
  <si>
    <t xml:space="preserve"> </t>
  </si>
  <si>
    <t xml:space="preserve"> รายการแสดงราคา : งานก่อสร้างอาคาร</t>
  </si>
  <si>
    <t>ลำดับที่</t>
  </si>
  <si>
    <t>รายการ</t>
  </si>
  <si>
    <t>จำนวน</t>
  </si>
  <si>
    <t>หน่วย</t>
  </si>
  <si>
    <t>ค่าวัสดุ</t>
  </si>
  <si>
    <t>ค่าแรงงาน</t>
  </si>
  <si>
    <t>รวมค่าวัสดุและค่าแรงงาน</t>
  </si>
  <si>
    <t>หมายเหตุ</t>
  </si>
  <si>
    <t>ราคาต่อหน่วย</t>
  </si>
  <si>
    <t>จำนวนเงิน</t>
  </si>
  <si>
    <t>งานเตรียมพื้นที่ก่อสร้าง</t>
  </si>
  <si>
    <t>ม.</t>
  </si>
  <si>
    <t>ชุด</t>
  </si>
  <si>
    <t>ตร.ม.</t>
  </si>
  <si>
    <t>หมวดงานโครงสร้าง</t>
  </si>
  <si>
    <t>F1</t>
  </si>
  <si>
    <t>กก.</t>
  </si>
  <si>
    <t>F3</t>
  </si>
  <si>
    <t>F4</t>
  </si>
  <si>
    <t>F5</t>
  </si>
  <si>
    <t>F6</t>
  </si>
  <si>
    <t>F7</t>
  </si>
  <si>
    <t>Truss 1</t>
  </si>
  <si>
    <t>Truss 2</t>
  </si>
  <si>
    <t>ตัว</t>
  </si>
  <si>
    <t>รวมราคาหมวดงานโครงสร้าง</t>
  </si>
  <si>
    <t>งานผิวพื้น</t>
  </si>
  <si>
    <t xml:space="preserve"> - ทำระบบกันซึม CEMENT BASE (ห้องน้ำ)</t>
  </si>
  <si>
    <t>งานผนังและผิวผนัง</t>
  </si>
  <si>
    <t>งานผนัง</t>
  </si>
  <si>
    <t xml:space="preserve"> - เสาเอ็น+ทับหลัง</t>
  </si>
  <si>
    <t>งานผิวผนัง</t>
  </si>
  <si>
    <t>งานทาสีผนัง</t>
  </si>
  <si>
    <t>งานฝ้าเพดาน</t>
  </si>
  <si>
    <t xml:space="preserve"> - C1 ฝ้า GYPSUM BOARD ขอบลาด หนา 9 มม. โครงคร่าว GALVANIZED หนา 1.2 มม.</t>
  </si>
  <si>
    <t xml:space="preserve"> - C2 ฝ้า GYPSUM BOARD กันชื้น ขอบลาด หนา 9 มม. โครงคร่าว GALVANIZED หนา 1.2 มม.</t>
  </si>
  <si>
    <t xml:space="preserve"> - งานทาสี สำหรับฝ้าเพดาน</t>
  </si>
  <si>
    <t xml:space="preserve">งานสุขภัณฑ์ พร้อมอุปกรณ์ครบชุด  </t>
  </si>
  <si>
    <t xml:space="preserve"> - งานหล่อเคาน์เตอร์</t>
  </si>
  <si>
    <t>ถุง</t>
  </si>
  <si>
    <t>ลบ.ม.</t>
  </si>
  <si>
    <t>งาน</t>
  </si>
  <si>
    <t xml:space="preserve"> - ชุดผนังห้องน้ำสำเร็จรูป </t>
  </si>
  <si>
    <t xml:space="preserve"> - TOP หินแกรนิตสีดำ</t>
  </si>
  <si>
    <t xml:space="preserve">ประตู - หน้าต่าง </t>
  </si>
  <si>
    <t>ประตู</t>
  </si>
  <si>
    <t>หน้าต่าง</t>
  </si>
  <si>
    <t>3.2.1</t>
  </si>
  <si>
    <t>3.2.2</t>
  </si>
  <si>
    <t>3.2.3</t>
  </si>
  <si>
    <t>3.2.4</t>
  </si>
  <si>
    <t>3.2.5</t>
  </si>
  <si>
    <t>3.2.6</t>
  </si>
  <si>
    <t>หลังคา METAL SHEET</t>
  </si>
  <si>
    <t>เมตร</t>
  </si>
  <si>
    <t>หมวดงานระบบสุขาภิบาล</t>
  </si>
  <si>
    <t>หมวดงานระบบไฟฟ้า</t>
  </si>
  <si>
    <t>งานระบบปรับอากาศ</t>
  </si>
  <si>
    <t>รวมราคาหมวดงานครุภัณฑ์</t>
  </si>
  <si>
    <t>Sum Total</t>
  </si>
  <si>
    <t>set</t>
  </si>
  <si>
    <t>หมวดงานโครงสร้างบันได</t>
  </si>
  <si>
    <t>kg.</t>
  </si>
  <si>
    <t xml:space="preserve"> (B) OD 27.2 x 2 mm. x 1.24 Kg/M.</t>
  </si>
  <si>
    <t xml:space="preserve"> (A) OD 60.5 x 3.2 mm. x 3.30 Kg/M.</t>
  </si>
  <si>
    <t>Steel Purlin C- 150 x 75 x 25 x 3.2 mm. 8.01 Kg/M.</t>
  </si>
  <si>
    <t xml:space="preserve"> (B) OD 139.8 x 6 mm. x 19.80 Kg/M.</t>
  </si>
  <si>
    <t xml:space="preserve"> (A) OD 216.3 x 6 mm. x 31.10 Kg/M.</t>
  </si>
  <si>
    <t xml:space="preserve">หมวดงานโครงสร้าง ชั้น หลังคา ระดับ +13.30 ม. </t>
  </si>
  <si>
    <t>Sq.m.</t>
  </si>
  <si>
    <t>m.</t>
  </si>
  <si>
    <t>2,C6</t>
  </si>
  <si>
    <t>2,C5</t>
  </si>
  <si>
    <t>2,C4</t>
  </si>
  <si>
    <t>2,C3</t>
  </si>
  <si>
    <t>2,B30</t>
  </si>
  <si>
    <t>2,B29</t>
  </si>
  <si>
    <t>2,B28</t>
  </si>
  <si>
    <t>2,B27</t>
  </si>
  <si>
    <t>2,B26</t>
  </si>
  <si>
    <t>2,B25A</t>
  </si>
  <si>
    <t>2,B23A</t>
  </si>
  <si>
    <t>2,B23</t>
  </si>
  <si>
    <t>2,B22</t>
  </si>
  <si>
    <t>2,B21A</t>
  </si>
  <si>
    <t>2,B21</t>
  </si>
  <si>
    <t>2,B20B</t>
  </si>
  <si>
    <t>2,B20A</t>
  </si>
  <si>
    <t>2,B20</t>
  </si>
  <si>
    <t>2,B19</t>
  </si>
  <si>
    <t>2,B2</t>
  </si>
  <si>
    <t>Wire Mesh Dia 4 mm. @ 0.20 m.</t>
  </si>
  <si>
    <t>1,C6</t>
  </si>
  <si>
    <t>1,C5</t>
  </si>
  <si>
    <t>1,C4A</t>
  </si>
  <si>
    <t>1,C4</t>
  </si>
  <si>
    <t>1,C3</t>
  </si>
  <si>
    <t>B.18</t>
  </si>
  <si>
    <t>B.15</t>
  </si>
  <si>
    <t>B.14</t>
  </si>
  <si>
    <t>B.13</t>
  </si>
  <si>
    <t>B.12</t>
  </si>
  <si>
    <t>B.9</t>
  </si>
  <si>
    <t>B.8</t>
  </si>
  <si>
    <t>B.7</t>
  </si>
  <si>
    <t>B.6A</t>
  </si>
  <si>
    <t>B.6</t>
  </si>
  <si>
    <t>B.5</t>
  </si>
  <si>
    <t>B.4</t>
  </si>
  <si>
    <t>B.3</t>
  </si>
  <si>
    <t>B.2</t>
  </si>
  <si>
    <t>B.1</t>
  </si>
  <si>
    <t>Nos.</t>
  </si>
  <si>
    <t>C6</t>
  </si>
  <si>
    <t>C5</t>
  </si>
  <si>
    <t>C4A</t>
  </si>
  <si>
    <t>C4</t>
  </si>
  <si>
    <t>C3A</t>
  </si>
  <si>
    <t>C3</t>
  </si>
  <si>
    <t>C1</t>
  </si>
  <si>
    <t>Footing (F.6)</t>
  </si>
  <si>
    <t>Footing (F.5)</t>
  </si>
  <si>
    <t>Footing (F.4)</t>
  </si>
  <si>
    <t>Footing (F.3)</t>
  </si>
  <si>
    <t>Footing (F.1)</t>
  </si>
  <si>
    <t>(Sq.m.)</t>
  </si>
  <si>
    <t>(Nos)</t>
  </si>
  <si>
    <t>(Cu.m.)</t>
  </si>
  <si>
    <t>(Kg.)</t>
  </si>
  <si>
    <t>(ft2.)</t>
  </si>
  <si>
    <t>(m.)</t>
  </si>
  <si>
    <t>high</t>
  </si>
  <si>
    <t>long</t>
  </si>
  <si>
    <t>wide</t>
  </si>
  <si>
    <t>240 KSC.</t>
  </si>
  <si>
    <t>25 mm.</t>
  </si>
  <si>
    <t>20 mm.</t>
  </si>
  <si>
    <t>16 mm.</t>
  </si>
  <si>
    <t>12 mm.</t>
  </si>
  <si>
    <t>9 mm.</t>
  </si>
  <si>
    <t>6 mm.</t>
  </si>
  <si>
    <t>0.40 x 0.40 m.</t>
  </si>
  <si>
    <t>Cube Strength</t>
  </si>
  <si>
    <t>1.3.5</t>
  </si>
  <si>
    <t>DB.25</t>
  </si>
  <si>
    <t>DB.20</t>
  </si>
  <si>
    <t>DB.16</t>
  </si>
  <si>
    <t>DB.12</t>
  </si>
  <si>
    <t>RB.9</t>
  </si>
  <si>
    <t>RB.6</t>
  </si>
  <si>
    <t>500 Kg./Sq.m.</t>
  </si>
  <si>
    <t>คอร.</t>
  </si>
  <si>
    <t>Filling</t>
  </si>
  <si>
    <t>Excavation</t>
  </si>
  <si>
    <t>Work</t>
  </si>
  <si>
    <t>Structure</t>
  </si>
  <si>
    <t>Lean</t>
  </si>
  <si>
    <t>Wire</t>
  </si>
  <si>
    <t>Weigth</t>
  </si>
  <si>
    <t>unit</t>
  </si>
  <si>
    <t>amount</t>
  </si>
  <si>
    <t>Wire Mesh</t>
  </si>
  <si>
    <t>HC Slap</t>
  </si>
  <si>
    <t>เสาเข็ม</t>
  </si>
  <si>
    <t>Earth</t>
  </si>
  <si>
    <t>Sand</t>
  </si>
  <si>
    <t>Nails</t>
  </si>
  <si>
    <t>Form</t>
  </si>
  <si>
    <t>Concrete</t>
  </si>
  <si>
    <t>Bending</t>
  </si>
  <si>
    <t>Total</t>
  </si>
  <si>
    <t>Deform Bars (SD.30)</t>
  </si>
  <si>
    <t>Round Bars (SR.24)</t>
  </si>
  <si>
    <t>Quantity</t>
  </si>
  <si>
    <t>DESCRIPTION</t>
  </si>
  <si>
    <t>Item</t>
  </si>
  <si>
    <t>THANAPAT 360 PROJECT</t>
  </si>
  <si>
    <t>Home 3 Story</t>
  </si>
  <si>
    <t>รวมปริมาณงานทั้งหมด</t>
  </si>
  <si>
    <t>รวม</t>
  </si>
  <si>
    <t xml:space="preserve"> ผนังภายนอก</t>
  </si>
  <si>
    <t>งานชั้นที่  2</t>
  </si>
  <si>
    <t>งานชั้นที่  1</t>
  </si>
  <si>
    <t>(ชุด)</t>
  </si>
  <si>
    <t>(ตร.ม.)</t>
  </si>
  <si>
    <t>(ม.)</t>
  </si>
  <si>
    <t>คสล.</t>
  </si>
  <si>
    <t>กันชื้น</t>
  </si>
  <si>
    <t>ภายนอก</t>
  </si>
  <si>
    <t>ภายใน</t>
  </si>
  <si>
    <t xml:space="preserve">ฉาบปูนเรียบ </t>
  </si>
  <si>
    <t xml:space="preserve">ฝ้ายิบซัมบอร์ด </t>
  </si>
  <si>
    <t>ฝ้ายิบซัมบอร์ด</t>
  </si>
  <si>
    <t>ปรับระดับ</t>
  </si>
  <si>
    <t>W15</t>
  </si>
  <si>
    <t>W14</t>
  </si>
  <si>
    <t>W13</t>
  </si>
  <si>
    <t>W12</t>
  </si>
  <si>
    <t>W11</t>
  </si>
  <si>
    <t>W10</t>
  </si>
  <si>
    <t>W9</t>
  </si>
  <si>
    <t>W8</t>
  </si>
  <si>
    <t>W7</t>
  </si>
  <si>
    <t>W6</t>
  </si>
  <si>
    <t>W5</t>
  </si>
  <si>
    <t>W4</t>
  </si>
  <si>
    <t>W3</t>
  </si>
  <si>
    <t>W2</t>
  </si>
  <si>
    <t>W1</t>
  </si>
  <si>
    <t>D4</t>
  </si>
  <si>
    <t>D3</t>
  </si>
  <si>
    <t>D2</t>
  </si>
  <si>
    <t>D1</t>
  </si>
  <si>
    <t>สีทาฝ้าเพดาน</t>
  </si>
  <si>
    <t>สีทาภายนอก</t>
  </si>
  <si>
    <t>สีทาภายใน</t>
  </si>
  <si>
    <t>C2</t>
  </si>
  <si>
    <t>0.30 ม.</t>
  </si>
  <si>
    <t>0.20 ม.</t>
  </si>
  <si>
    <t>0.10 ม.</t>
  </si>
  <si>
    <t>ฉาบยิปซั่ม</t>
  </si>
  <si>
    <t>ผนังตกแต่ง</t>
  </si>
  <si>
    <t>ฉาบปูนเรียบ</t>
  </si>
  <si>
    <t xml:space="preserve"> กรุกระเบื้อง</t>
  </si>
  <si>
    <t>กรุกระเบื้อง</t>
  </si>
  <si>
    <t>ผนังยิปซั่ม</t>
  </si>
  <si>
    <t>ก่ออิฐมวลเบา</t>
  </si>
  <si>
    <t>ผนัง คสล.</t>
  </si>
  <si>
    <t>ก่ออิฐมอญ</t>
  </si>
  <si>
    <t>ปูนทราย</t>
  </si>
  <si>
    <t>F13</t>
  </si>
  <si>
    <t>F12</t>
  </si>
  <si>
    <t>F11</t>
  </si>
  <si>
    <t>F10</t>
  </si>
  <si>
    <t>F9</t>
  </si>
  <si>
    <t>F8</t>
  </si>
  <si>
    <t>F2</t>
  </si>
  <si>
    <t>งานประตู+หน้าต่าง</t>
  </si>
  <si>
    <t>งานทาสี</t>
  </si>
  <si>
    <t>ทับหลัง</t>
  </si>
  <si>
    <t>เสาเอ็น</t>
  </si>
  <si>
    <t>ลำดับ</t>
  </si>
  <si>
    <t>งานสุขภัณฑ์ ชั้น 2</t>
  </si>
  <si>
    <t>งานสุขภัณฑ์ ชั้น 1</t>
  </si>
  <si>
    <t>หมวดงานสถาปัตยกรรม</t>
  </si>
  <si>
    <t>หมวดงานครุภัณฑ์</t>
  </si>
  <si>
    <t>ห้องน้ำชาย 1 WC</t>
  </si>
  <si>
    <t xml:space="preserve">ห้องน้ำหญิง 1 WC </t>
  </si>
  <si>
    <t>HALL CORRIDOR</t>
  </si>
  <si>
    <t>ห้องน้ำชาย 2 WC</t>
  </si>
  <si>
    <t xml:space="preserve">ห้องน้ำหญิง 2 WC </t>
  </si>
  <si>
    <t>F14</t>
  </si>
  <si>
    <t>F15</t>
  </si>
  <si>
    <t>F16</t>
  </si>
  <si>
    <t>F17</t>
  </si>
  <si>
    <t>งานชั้นที่  3</t>
  </si>
  <si>
    <t>งานชั้น หลังคา</t>
  </si>
  <si>
    <t>หลังคา</t>
  </si>
  <si>
    <t>งานสุขภัณฑ์ ชั้น 3</t>
  </si>
  <si>
    <t>อาคารอุตสาหกรรมการบิน</t>
  </si>
  <si>
    <t>อาคารส่วนกลาง</t>
  </si>
  <si>
    <t xml:space="preserve">หมวดงานโครงสร้างคาน,เสาและพื้นชั้น 2 </t>
  </si>
  <si>
    <t xml:space="preserve">หมวดงานโครงสร้างเสา ชั้น ตอม่อ </t>
  </si>
  <si>
    <t xml:space="preserve">หมวดงานโครงสร้างคาน,เสาและพื้นชั้น 1  </t>
  </si>
  <si>
    <t>2,HCS.1</t>
  </si>
  <si>
    <t>R-01</t>
  </si>
  <si>
    <t>งานชั้นที่  หลังคา</t>
  </si>
  <si>
    <t>AIRCRART/HANGAR (FLOOR HARDENER)</t>
  </si>
  <si>
    <t>อาคารระบบราง</t>
  </si>
  <si>
    <t>1,HCS.1</t>
  </si>
  <si>
    <t xml:space="preserve">หมวดงานโครงสร้าง ชั้น หลังคา </t>
  </si>
  <si>
    <t>ST-01</t>
  </si>
  <si>
    <t>ST-02</t>
  </si>
  <si>
    <t>ST-03</t>
  </si>
  <si>
    <t>ST-04</t>
  </si>
  <si>
    <t>3,RB1</t>
  </si>
  <si>
    <t>3,RB2</t>
  </si>
  <si>
    <t>3,RB3</t>
  </si>
  <si>
    <t>3,RB3A</t>
  </si>
  <si>
    <t>3,RB4</t>
  </si>
  <si>
    <t>3,RB5</t>
  </si>
  <si>
    <t>3,HCS.3</t>
  </si>
  <si>
    <t>2,HCS.2</t>
  </si>
  <si>
    <t>LIFT-0.1</t>
  </si>
  <si>
    <t>LIFT-0.2</t>
  </si>
  <si>
    <t>หมวดงานโครงสร้างช่องลิฟท์</t>
  </si>
  <si>
    <t>1,BST.01</t>
  </si>
  <si>
    <t>1,BST.02</t>
  </si>
  <si>
    <t>1,BST.03</t>
  </si>
  <si>
    <t>1,BST.04</t>
  </si>
  <si>
    <t>หมวดงานถังเก็บน้ำใต้ดิน</t>
  </si>
  <si>
    <t xml:space="preserve">1,W </t>
  </si>
  <si>
    <t>1,DP1</t>
  </si>
  <si>
    <t>งานฐานรากเสาเข็ม</t>
  </si>
  <si>
    <t>Deform Bars (SD.40)</t>
  </si>
  <si>
    <t>Footing (F.1A)</t>
  </si>
  <si>
    <t>Footing (F.2)</t>
  </si>
  <si>
    <t>Footing (F.4A)</t>
  </si>
  <si>
    <t>Footing (F.12A)</t>
  </si>
  <si>
    <t>Footing (F.12B)</t>
  </si>
  <si>
    <t>GB.1</t>
  </si>
  <si>
    <t>GB.2</t>
  </si>
  <si>
    <t>GB.3</t>
  </si>
  <si>
    <t>GB.4</t>
  </si>
  <si>
    <t>GB.5</t>
  </si>
  <si>
    <t>GB.6</t>
  </si>
  <si>
    <t>GB.7</t>
  </si>
  <si>
    <t>1,C1</t>
  </si>
  <si>
    <t>1,C2</t>
  </si>
  <si>
    <t>1,CX</t>
  </si>
  <si>
    <t>2,BST.01</t>
  </si>
  <si>
    <t>2,BST.02</t>
  </si>
  <si>
    <t>2,BST.03</t>
  </si>
  <si>
    <t>2,BST.04</t>
  </si>
  <si>
    <t>3,C1</t>
  </si>
  <si>
    <t>3,C2</t>
  </si>
  <si>
    <t>3,C4</t>
  </si>
  <si>
    <t>3,C5</t>
  </si>
  <si>
    <t>RB.19</t>
  </si>
  <si>
    <t>19 mm.</t>
  </si>
  <si>
    <t>Wire Mesh RB 6 mm. @ 0.15 m.</t>
  </si>
  <si>
    <t>1,HANGAR</t>
  </si>
  <si>
    <t xml:space="preserve">1,TRAIN SHED </t>
  </si>
  <si>
    <t xml:space="preserve">หมวดงานโครงสร้างคาน,เสาชั้น 1  </t>
  </si>
  <si>
    <t>แบบสรุปราคากลางงานก่อสร้างอาคาร</t>
  </si>
  <si>
    <t>ชื่อโครงการ</t>
  </si>
  <si>
    <t>สถานที่ก่อสร้าง</t>
  </si>
  <si>
    <t>แบบเลขที่</t>
  </si>
  <si>
    <t>เจ้าของโครงการ</t>
  </si>
  <si>
    <t>-</t>
  </si>
  <si>
    <t>ค่าก่อสร้าง</t>
  </si>
  <si>
    <t>สรุป</t>
  </si>
  <si>
    <t>รวมค่าก่อสร้างทั้งโครงการ / งานก่อสร้าง</t>
  </si>
  <si>
    <t>แบบสรุปค่าก่อสร้าง</t>
  </si>
  <si>
    <t>แบบ ปร.4  ที่แนบ</t>
  </si>
  <si>
    <t>หน่วย : บาท</t>
  </si>
  <si>
    <t>ค่างานต้นทุน</t>
  </si>
  <si>
    <t>Factor F</t>
  </si>
  <si>
    <t>เงื่อนไขการใช้ตาราง Factor F</t>
  </si>
  <si>
    <t>เงินประกันผลงานหัก   5      %</t>
  </si>
  <si>
    <t>ภาษีมูลค่าเพิ่ม           7      %</t>
  </si>
  <si>
    <t>รวมค่าก่อสร้าง</t>
  </si>
  <si>
    <t>แบบสรุปค่าครุภัณฑ์จัดซื้อ</t>
  </si>
  <si>
    <t>กลุ่มงาน / งาน</t>
  </si>
  <si>
    <t>ค่างาน</t>
  </si>
  <si>
    <t>ภาษีมูลค่าเพิ่ม</t>
  </si>
  <si>
    <t>สรุปปริมาณงานทั้งหมด</t>
  </si>
  <si>
    <t xml:space="preserve"> เฉลียง</t>
  </si>
  <si>
    <t>ลานอเนกประสงค์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</si>
  <si>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</si>
  <si>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</si>
  <si>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</si>
  <si>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</si>
  <si>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</si>
  <si>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</si>
  <si>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</si>
  <si>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</si>
  <si>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</si>
  <si>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</si>
  <si>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ห้องระบบ 1</t>
  </si>
  <si>
    <t>ห้องระบบ 2</t>
  </si>
  <si>
    <t>ห้องระบบ 3</t>
  </si>
  <si>
    <t>ห้องระบบ 4</t>
  </si>
  <si>
    <t>ห้องน้ำชาย 1</t>
  </si>
  <si>
    <t>ห้องน้ำหญิง 1</t>
  </si>
  <si>
    <t>ห้องน้ำผู้พิการ</t>
  </si>
  <si>
    <t>ห้องน้ำชาย 2</t>
  </si>
  <si>
    <t>ห้องน้ำหญิง 2</t>
  </si>
  <si>
    <t>ทรายล้าง</t>
  </si>
  <si>
    <t>HARDENER</t>
  </si>
  <si>
    <t xml:space="preserve">FLOOR </t>
  </si>
  <si>
    <t>ก/บ</t>
  </si>
  <si>
    <t>ขัดมันเรียบ</t>
  </si>
  <si>
    <t>หินขัด</t>
  </si>
  <si>
    <t>D15</t>
  </si>
  <si>
    <t>D16</t>
  </si>
  <si>
    <t>D17</t>
  </si>
  <si>
    <t>D18</t>
  </si>
  <si>
    <t xml:space="preserve"> ทางเดิน</t>
  </si>
  <si>
    <t>หลังคา SKY LIGHT</t>
  </si>
  <si>
    <t>metal sheet</t>
  </si>
  <si>
    <t>ครอบ</t>
  </si>
  <si>
    <t>ราง</t>
  </si>
  <si>
    <t>ฉนวน</t>
  </si>
  <si>
    <t>sky light</t>
  </si>
  <si>
    <t>ห้องเรียน 1</t>
  </si>
  <si>
    <t>ห้องเรียน 2</t>
  </si>
  <si>
    <t>ห้องเรียน 3</t>
  </si>
  <si>
    <t>ห้องเรียน 4</t>
  </si>
  <si>
    <t>ห้องเรียน 5</t>
  </si>
  <si>
    <t>ห้องเรียน 6</t>
  </si>
  <si>
    <t>ห้องเรียน 7</t>
  </si>
  <si>
    <t>ห้องเรียน 8</t>
  </si>
  <si>
    <t>ห้องเรียน 9</t>
  </si>
  <si>
    <t>ห้องเรียน 10</t>
  </si>
  <si>
    <t>ห้องเรียน 11</t>
  </si>
  <si>
    <t>ห้องเรียน 12</t>
  </si>
  <si>
    <t>ห้องเรียน 13</t>
  </si>
  <si>
    <t>ห้องสมุด</t>
  </si>
  <si>
    <t>Slab</t>
  </si>
  <si>
    <t>ห้องระบบ 5</t>
  </si>
  <si>
    <t xml:space="preserve"> โถงบันได ST-03</t>
  </si>
  <si>
    <t>ขัดหยาบ</t>
  </si>
  <si>
    <t>ห้องเก็บของ</t>
  </si>
  <si>
    <t>ห้องเรียน 14</t>
  </si>
  <si>
    <t>ห้องเรียน 15</t>
  </si>
  <si>
    <t>ห้องเรียน 16</t>
  </si>
  <si>
    <t>ห้องเรียน 17</t>
  </si>
  <si>
    <t>ห้องเรียน 18</t>
  </si>
  <si>
    <t>ห้องเรียน 19</t>
  </si>
  <si>
    <t>ห้องเรียน 20</t>
  </si>
  <si>
    <t>ห้องเรียน 21</t>
  </si>
  <si>
    <t>ห้องเรียน 22</t>
  </si>
  <si>
    <t>ห้องเรียน 23</t>
  </si>
  <si>
    <t>ห้องเรียน 24</t>
  </si>
  <si>
    <t>ห้องเรียน 25</t>
  </si>
  <si>
    <t>ห้องเรียน 26</t>
  </si>
  <si>
    <t>ห้องเรียน 27</t>
  </si>
  <si>
    <t>ห้องเรียน 28</t>
  </si>
  <si>
    <t>ครึ่งแผ่น</t>
  </si>
  <si>
    <t>เต็มแผ่น</t>
  </si>
  <si>
    <t>A</t>
  </si>
  <si>
    <t>ฉาบปูนเรียบอิฐมอญ</t>
  </si>
  <si>
    <t>อิฐมวลเบา</t>
  </si>
  <si>
    <t>PT2</t>
  </si>
  <si>
    <t>PT1</t>
  </si>
  <si>
    <t>B</t>
  </si>
  <si>
    <t xml:space="preserve"> - F1 พื้น คสล. ขัดมันเรียบ</t>
  </si>
  <si>
    <t xml:space="preserve"> - F5 พื้น คสล. ทำผิวหินแกร่ง (Floor Hardener)</t>
  </si>
  <si>
    <t xml:space="preserve"> - งานก่ออิฐมอญเต็มแผ่น (B)</t>
  </si>
  <si>
    <t xml:space="preserve"> - งานก่ออิฐมอญครึ่งแผ่น (A)</t>
  </si>
  <si>
    <t xml:space="preserve">     • STOP VALVE 1/2" </t>
  </si>
  <si>
    <t xml:space="preserve"> - สายชำระพร้อมสต๊อปวาล์ว</t>
  </si>
  <si>
    <t xml:space="preserve"> - อ่างล้างหน้าแบบฝังเคาน์เตอร์ </t>
  </si>
  <si>
    <t xml:space="preserve">     • ก๊อกน้ำเดี่ยวอ่างล้างหน้า </t>
  </si>
  <si>
    <t xml:space="preserve">     • ท่อน้ำทิ้งอ่างล้างหน้า </t>
  </si>
  <si>
    <t xml:space="preserve">     • สะดืออ่างล้างหน้าแบบกด </t>
  </si>
  <si>
    <t xml:space="preserve">     • สายน้ำดีอ่างล้างหน้าสแตนเลสถักยาว 16" </t>
  </si>
  <si>
    <t xml:space="preserve"> - ชุดฝักบัวก้านแข็งพร้อมฝักบัวสายอ่อน </t>
  </si>
  <si>
    <t xml:space="preserve"> - ที่วางสบู่ </t>
  </si>
  <si>
    <t xml:space="preserve"> - ก๊อกล้างพื้น </t>
  </si>
  <si>
    <t xml:space="preserve"> - ตะแกรงระบายน้ำที่พื้น </t>
  </si>
  <si>
    <t>พื้นทางเดิน</t>
  </si>
  <si>
    <t xml:space="preserve"> - TEMPERED GLASS หนา 10 mm.</t>
  </si>
  <si>
    <t>Sq.ft</t>
  </si>
  <si>
    <t xml:space="preserve"> - PLATE 100x100x6 mm.</t>
  </si>
  <si>
    <t>Sheet</t>
  </si>
  <si>
    <t xml:space="preserve"> - ACCESSORIE </t>
  </si>
  <si>
    <t>Job.</t>
  </si>
  <si>
    <t>งานราวบันไดและราวกันตกกระจก</t>
  </si>
  <si>
    <t xml:space="preserve">     • ปูนซีเมนต์</t>
  </si>
  <si>
    <t xml:space="preserve">     • ทรายหยาบ</t>
  </si>
  <si>
    <t xml:space="preserve">     • หิน</t>
  </si>
  <si>
    <t xml:space="preserve">     • เหล็กเส้นกลมผิวเรียบ (RB) ขนาด 9 มม. SR24</t>
  </si>
  <si>
    <t xml:space="preserve">     • ไม้แบบหล่อคอนกรีต</t>
  </si>
  <si>
    <t xml:space="preserve"> - C3 ฝ้าท้องพื้น คสล.ฉาบเรียบ </t>
  </si>
  <si>
    <t xml:space="preserve"> โถงบันได ST-01</t>
  </si>
  <si>
    <t>ห้อง Workshop 1</t>
  </si>
  <si>
    <t>ห้อง Workshop 2</t>
  </si>
  <si>
    <t>ห้อง Workshop 3</t>
  </si>
  <si>
    <t>ห้อง Workshop 4</t>
  </si>
  <si>
    <t>ห้อง Workshop 5</t>
  </si>
  <si>
    <t>ห้อง Workshop 6</t>
  </si>
  <si>
    <t xml:space="preserve">ห้องน้ำชาย </t>
  </si>
  <si>
    <t xml:space="preserve">ห้องน้ำหญิง </t>
  </si>
  <si>
    <t>ห้องน้ำคนพิการ</t>
  </si>
  <si>
    <t xml:space="preserve"> - ราวจับตัวแอล</t>
  </si>
  <si>
    <t xml:space="preserve"> - ราวจับตัวที</t>
  </si>
  <si>
    <t>งานสุขภัณฑ์ (ห้องน้ำชาย 1-2,ห้องน้ำหญิง1-2,ห้องน้ำผู้พิการ)</t>
  </si>
  <si>
    <t xml:space="preserve"> - โถสุขภัณฑ์ฟลัชวาล์ว</t>
  </si>
  <si>
    <t xml:space="preserve"> - โถปัสสาวะชายพร้อมฟลัชวาล์ว</t>
  </si>
  <si>
    <t>ข้าง</t>
  </si>
  <si>
    <t>ครอบข้าง</t>
  </si>
  <si>
    <t xml:space="preserve">มหาวิทยาลัยเทคโนโลยีราชมงคลอีสาน </t>
  </si>
  <si>
    <t xml:space="preserve">มหาวิทยาลัยเทคโนโลยีราชมงคลอีสาน ตำบลหนองระเวียง อำเภอเมืองนครราชสีมา จังหวัดนครราชสีมา </t>
  </si>
  <si>
    <t xml:space="preserve"> สถานที่ : มหาวิทยาลัยเทคโนโลยีราชมงคลอีสาน ตำบลหนองระเวียง อำเภอเมืองนครราชสีมา จังหวัดนครราชสีมา </t>
  </si>
  <si>
    <t>จั่ว</t>
  </si>
  <si>
    <t>ครอบจั่ว</t>
  </si>
  <si>
    <t>siding</t>
  </si>
  <si>
    <t>มุม</t>
  </si>
  <si>
    <t>ครอบมุม</t>
  </si>
  <si>
    <t>ชายล่าง</t>
  </si>
  <si>
    <t>ครอบชายล่าง</t>
  </si>
  <si>
    <t>หน้าต่างเกล็ดระบายอากาศ</t>
  </si>
  <si>
    <t>FLASHING ครอบหลังคา METAL SHEET</t>
  </si>
  <si>
    <t xml:space="preserve">  - ครอบจั่ว</t>
  </si>
  <si>
    <t xml:space="preserve">  - ครอบข้าง</t>
  </si>
  <si>
    <t xml:space="preserve">  - ครอบมุม</t>
  </si>
  <si>
    <t xml:space="preserve">  - ครอบชายล่าง</t>
  </si>
  <si>
    <t>อาคาร (B)</t>
  </si>
  <si>
    <t xml:space="preserve"> อาคาร (A)</t>
  </si>
  <si>
    <t>หมวดงานระบบสุขาภิบาลและดับเพลิง</t>
  </si>
  <si>
    <t>ชั้นที่ 1</t>
  </si>
  <si>
    <t>ระบบน้ำประปา</t>
  </si>
  <si>
    <t>4.1.1</t>
  </si>
  <si>
    <t>CW PIPE (PP-R PN10)</t>
  </si>
  <si>
    <t xml:space="preserve"> -  Dia. 1/2" </t>
  </si>
  <si>
    <t xml:space="preserve"> -  Dia. 3/4" </t>
  </si>
  <si>
    <t xml:space="preserve"> -  Dia. 1" </t>
  </si>
  <si>
    <t xml:space="preserve"> -  Dia. 1-1/2" </t>
  </si>
  <si>
    <t xml:space="preserve"> -  Dia. 2" </t>
  </si>
  <si>
    <t xml:space="preserve"> -  Dia. 2 1/2" </t>
  </si>
  <si>
    <t xml:space="preserve"> -  Dia. 3" </t>
  </si>
  <si>
    <t xml:space="preserve"> -  Dia. 4" </t>
  </si>
  <si>
    <t xml:space="preserve">  - อุปกรณ์ข้อต่อท่อ</t>
  </si>
  <si>
    <t>เหมา</t>
  </si>
  <si>
    <t xml:space="preserve">  - ที่แขวนและยึดท่อ</t>
  </si>
  <si>
    <t xml:space="preserve">  - ทดสอบ ทำความสะอาด ทาสี ทำสัญลักษณ์ท่อ</t>
  </si>
  <si>
    <t>4.1.2</t>
  </si>
  <si>
    <t xml:space="preserve">GATE VALVE (CLASS 125) </t>
  </si>
  <si>
    <t xml:space="preserve"> Dia. 2 1/2" </t>
  </si>
  <si>
    <t xml:space="preserve"> Dia. 3" </t>
  </si>
  <si>
    <t xml:space="preserve"> Dia. 4" </t>
  </si>
  <si>
    <t>4.1.3</t>
  </si>
  <si>
    <t xml:space="preserve">ANGLE STOP VALVE   </t>
  </si>
  <si>
    <t>4.1.4</t>
  </si>
  <si>
    <t>TEST &amp; COMISSIONING</t>
  </si>
  <si>
    <t>ระบบท่อน้ำเสีย</t>
  </si>
  <si>
    <t>4.2.1</t>
  </si>
  <si>
    <t>ท่อน้ำทิ้งและท่อโสโครก (S, W, KW.) PVC 8.5</t>
  </si>
  <si>
    <t xml:space="preserve">  DIA.    1 1/2"</t>
  </si>
  <si>
    <t xml:space="preserve">  DIA.    2"</t>
  </si>
  <si>
    <t xml:space="preserve">  DIA.    3"</t>
  </si>
  <si>
    <t xml:space="preserve">  DIA.    4"</t>
  </si>
  <si>
    <t xml:space="preserve">  DIA.    6"</t>
  </si>
  <si>
    <t>4.2.2</t>
  </si>
  <si>
    <t>ท่อระบายอากาศ (V.PIPE) PVC 8.5</t>
  </si>
  <si>
    <t xml:space="preserve">ช่องระบายน้ำท่อที่พื้น (FD.)   </t>
  </si>
  <si>
    <t>ช่องแยงท่อที่พื้น (FCO.)</t>
  </si>
  <si>
    <t>ข้อต่ออ่อนไม่รับแรงดัน (FLEXIBLE HOSE)</t>
  </si>
  <si>
    <t xml:space="preserve">   DIA.  4"</t>
  </si>
  <si>
    <t xml:space="preserve">   DIA.  6"</t>
  </si>
  <si>
    <t>งานทดสอบ ทำความสะอาด และทาสี</t>
  </si>
  <si>
    <t>ระบบท่อระบายน้ำฝน</t>
  </si>
  <si>
    <t>4.3.1</t>
  </si>
  <si>
    <t>ท่อระบายน้ำฝนเหนือดิน (RL.PIPE) PVC 8.5</t>
  </si>
  <si>
    <t xml:space="preserve">  - งานทดสอบ ทำความสะอาด และทาสี</t>
  </si>
  <si>
    <t>4.3.2</t>
  </si>
  <si>
    <t>4.3.3</t>
  </si>
  <si>
    <t>รายการอื่น ๆ (ถ้ามีโปรดระบุ)</t>
  </si>
  <si>
    <t>ระบบดับเพลิง</t>
  </si>
  <si>
    <t>4.4.1</t>
  </si>
  <si>
    <t>INDOOR FIRE HOSE CABINET AND ACCESSORIES</t>
  </si>
  <si>
    <t>SET</t>
  </si>
  <si>
    <t>4.4.2</t>
  </si>
  <si>
    <t>CO2 PORTABLE FIRE EXTINGUISHER @ 15 LBS</t>
  </si>
  <si>
    <t>4.4.3</t>
  </si>
  <si>
    <t>DRY CHEMICAL PORTABLE FIRE EXTINGUISHER @ 15 LBS</t>
  </si>
  <si>
    <t>4.4.4</t>
  </si>
  <si>
    <t>FIRE EXTINGUISHER CABINET</t>
  </si>
  <si>
    <t>ท่อเหล็กดำ  SCH. 40  ชนิดมีตะเข็บ</t>
  </si>
  <si>
    <t xml:space="preserve"> - Dia. 1" </t>
  </si>
  <si>
    <t xml:space="preserve"> M </t>
  </si>
  <si>
    <t xml:space="preserve"> - Dia. 1 1/4" </t>
  </si>
  <si>
    <t xml:space="preserve"> - Dia. 1 1/2" </t>
  </si>
  <si>
    <t xml:space="preserve"> - Dia. 2" </t>
  </si>
  <si>
    <t xml:space="preserve">  - Dia. 2 1/2" </t>
  </si>
  <si>
    <t xml:space="preserve">  - Dia. 4" </t>
  </si>
  <si>
    <t xml:space="preserve">  - Dia. 6" </t>
  </si>
  <si>
    <t xml:space="preserve">  - Dia. 8" </t>
  </si>
  <si>
    <t>AUTOMATIC SPRINKLER HEAD</t>
  </si>
  <si>
    <t>TYPE: PENDENT</t>
  </si>
  <si>
    <t>PCS</t>
  </si>
  <si>
    <t>• K-FACTOR: 80.6</t>
  </si>
  <si>
    <t>L/S</t>
  </si>
  <si>
    <t>ชั้นที่ 2</t>
  </si>
  <si>
    <t xml:space="preserve">FLOOR DRAIN </t>
  </si>
  <si>
    <t xml:space="preserve"> - Dia. 6" </t>
  </si>
  <si>
    <t>ชั้นที่ 3</t>
  </si>
  <si>
    <t>ชั้นที่หลังคา</t>
  </si>
  <si>
    <t xml:space="preserve">VENT CAP </t>
  </si>
  <si>
    <t xml:space="preserve"> PCS </t>
  </si>
  <si>
    <t xml:space="preserve">ROOF DRAIN </t>
  </si>
  <si>
    <t xml:space="preserve">   DIA.  3"</t>
  </si>
  <si>
    <t>TYPE: UPRIGHT</t>
  </si>
  <si>
    <t xml:space="preserve"> - Dia. 4" </t>
  </si>
  <si>
    <t>MODULATING FLOAT VALVE</t>
  </si>
  <si>
    <t xml:space="preserve"> Dia. 2-1/2" </t>
  </si>
  <si>
    <t xml:space="preserve">CHECK VALVE  </t>
  </si>
  <si>
    <t xml:space="preserve"> Dia. 2" </t>
  </si>
  <si>
    <t xml:space="preserve">FOOT VALVE  </t>
  </si>
  <si>
    <t>PRESSURE GUAGE W/ SNUBBER&amp;VALVE</t>
  </si>
  <si>
    <t xml:space="preserve">SUS FLEXIBLE CONNECTOR </t>
  </si>
  <si>
    <t xml:space="preserve"> Dia. 4" x 0.3 m LENGTH</t>
  </si>
  <si>
    <t xml:space="preserve"> Dia. 2" x 0.3 m LENGTH</t>
  </si>
  <si>
    <t xml:space="preserve"> Dia. 2-1/2"  x 0.3 m LENGTH</t>
  </si>
  <si>
    <t>FP-01: VERTICAL TURBINE FIRE PUMP DIESEL ENGINE DRIVEN</t>
  </si>
  <si>
    <t>JP-01:VERTICAL MULTISTAGE IN-LINE JOCKEY PUMP</t>
  </si>
  <si>
    <t>FLOW METER</t>
  </si>
  <si>
    <t xml:space="preserve"> - Dia. 8" </t>
  </si>
  <si>
    <t>BUTTERFLY VALVE W/SUPERVISORY SWITCH</t>
  </si>
  <si>
    <t>ALARM CHECK VALVE W/ACCESSORIES</t>
  </si>
  <si>
    <t>PRESSURE RELIEF VALVE</t>
  </si>
  <si>
    <t>CHECK VALVE</t>
  </si>
  <si>
    <t>FLOW SWITCH</t>
  </si>
  <si>
    <t xml:space="preserve">O.S.&amp;Y. GATE VALVE </t>
  </si>
  <si>
    <t>CHEAK VALVE</t>
  </si>
  <si>
    <t>BALL VALVE</t>
  </si>
  <si>
    <t>STRAINER</t>
  </si>
  <si>
    <t>AUTOMATIC AIR VENT</t>
  </si>
  <si>
    <t xml:space="preserve">PIPE PB CLASS 160 </t>
  </si>
  <si>
    <t xml:space="preserve">  DIA.          4"</t>
  </si>
  <si>
    <t xml:space="preserve"> ข้อต่อ อุปกรณ์ท่อ</t>
  </si>
  <si>
    <t xml:space="preserve"> เหล็กยึดท่อ</t>
  </si>
  <si>
    <t xml:space="preserve"> ทดสอบ ทำความสะอาด ทาสีทำสัญลักษณ์ท่อ</t>
  </si>
  <si>
    <t>GATE VALVE</t>
  </si>
  <si>
    <t>FIEXIBLE CONNECTION (STRAINLESS STEEL)</t>
  </si>
  <si>
    <t xml:space="preserve">  DIA.        4"</t>
  </si>
  <si>
    <t>FAUCET OR HOSE BIBB,  ANGLE  STOP  VALVE (FAU, HB, ASV)</t>
  </si>
  <si>
    <t xml:space="preserve">  DIA.         1/2"</t>
  </si>
  <si>
    <t>เครื่องสูบน้ำขึ้นถังสูง พร้อมติดตั้ง</t>
  </si>
  <si>
    <t>COLD WATER TRANSFER PUMP</t>
  </si>
  <si>
    <t xml:space="preserve">   - VERTICAL MULTISTAGE PUMP</t>
  </si>
  <si>
    <t xml:space="preserve">   - FLOW 35 CU.M.  </t>
  </si>
  <si>
    <t xml:space="preserve">   - HEAD 40 M.  </t>
  </si>
  <si>
    <t xml:space="preserve">   - CONTROL PANEL </t>
  </si>
  <si>
    <t>FLOAT VALVE DIA. 4"</t>
  </si>
  <si>
    <t>FOOT VALVE DIA. 4"</t>
  </si>
  <si>
    <t>งานระบายน้ำ</t>
  </si>
  <si>
    <t>ท่อ PB Pipe ,Class 160 PSI ขนาด  Dia. 6"  (DN.)</t>
  </si>
  <si>
    <t>ข้อต่อข้องอต่างๆ</t>
  </si>
  <si>
    <t>ค่าอุปกรณ์ยึดและรองรับท่อ</t>
  </si>
  <si>
    <t>ค่าทดสอบ ทำความสะอาด ทาสี ทำสัญลักษณ์</t>
  </si>
  <si>
    <t>งานวางท่อ คสล. (รวมทรายถมกลับหลังท่อ)</t>
  </si>
  <si>
    <t xml:space="preserve"> - ท่อขนาด dia. 0.60 m.</t>
  </si>
  <si>
    <t xml:space="preserve"> - ท่อขนาด dia. 1.00 m.</t>
  </si>
  <si>
    <t xml:space="preserve"> - ท่อขนาด dia. 1.20 m.</t>
  </si>
  <si>
    <t>งานบ่อพักน้ำสำหรับท่อ คสล.พร้อมฝาตะแกรงสำเร็จรูป</t>
  </si>
  <si>
    <t xml:space="preserve"> - ขนาด dia. 1.00 m.</t>
  </si>
  <si>
    <t xml:space="preserve"> - ขนาด dia. 1.50 m.</t>
  </si>
  <si>
    <t xml:space="preserve"> - ขนาด dia. 1.90 m.</t>
  </si>
  <si>
    <t xml:space="preserve">PACKAGE WASTEWATER TREATMENT TANK </t>
  </si>
  <si>
    <t xml:space="preserve">(FLOW RATE = 20 CU.M/DAY; FIBERGLASS)+CONCRETE FOUNDATION </t>
  </si>
  <si>
    <t xml:space="preserve">(FLOW RATE = 40 CU.M/DAY; FIBERGLASS)+CONCRETE FOUNDATION </t>
  </si>
  <si>
    <t xml:space="preserve">(FLOW RATE = 60 CU.M/DAY; FIBERGLASS)+CONCRETE FOUNDATION </t>
  </si>
  <si>
    <t>ท่อระบายน้ำฝนในดิน (RL.PIPE) PVC 13.5</t>
  </si>
  <si>
    <t>FIRE HYDRANT</t>
  </si>
  <si>
    <t>- 6"X2-1/2X21/2"</t>
  </si>
  <si>
    <t>หมวดงานระบบไฟฟ้าและสื่อสาร</t>
  </si>
  <si>
    <t>หมวดงานระบบปรับอากาศและระบายอากาศ</t>
  </si>
  <si>
    <t>อาคาร C</t>
  </si>
  <si>
    <t>อาคา (A)</t>
  </si>
  <si>
    <t>อาคาร(B)</t>
  </si>
  <si>
    <t>อาคาร(C)</t>
  </si>
  <si>
    <t>งานหลังคา</t>
  </si>
  <si>
    <t>งานราวกันตกกระจก</t>
  </si>
  <si>
    <t>คอมโพสิต</t>
  </si>
  <si>
    <t>ผนังภายนอก</t>
  </si>
  <si>
    <t>หมวดงานสาธารณูปโภค</t>
  </si>
  <si>
    <t>งานระบบไฟฟ้า</t>
  </si>
  <si>
    <t>ระบบไฟฟ้าแรงสูงและหม้อแปลงไฟฟ้า</t>
  </si>
  <si>
    <t>1 x 1,500 KVA OIL TYPE TRANSFORMER</t>
  </si>
  <si>
    <t>CONCRETE FOUNDATION AND WIRE MESH FERCE</t>
  </si>
  <si>
    <t>12 M. CONCRETE POLE</t>
  </si>
  <si>
    <t>OUTDOOR OPEN DROP FUSE</t>
  </si>
  <si>
    <t>LIGHTNING ARRESTER</t>
  </si>
  <si>
    <t>SUSPENSION INSULATOR</t>
  </si>
  <si>
    <t>PIN TYPE INSULATOR</t>
  </si>
  <si>
    <t>70 SQ.MM. XLPE CU 24 KV</t>
  </si>
  <si>
    <t>TERMINATOR KIT 70 SQ.MM. (OUTDOOR)</t>
  </si>
  <si>
    <t>DUCT BANK (2x1)</t>
  </si>
  <si>
    <t>IMC.    DIA. 4"</t>
  </si>
  <si>
    <t>MANHOLE</t>
  </si>
  <si>
    <t>GROUNDING SYSTEM</t>
  </si>
  <si>
    <t>ACCESSORIES</t>
  </si>
  <si>
    <t>รวมราคาหมวดงานสาธารณูปโภค</t>
  </si>
  <si>
    <t>งานฐานราก</t>
  </si>
  <si>
    <t>ต้น</t>
  </si>
  <si>
    <t>งานตัดหัวเสาเข็ม</t>
  </si>
  <si>
    <t>ขุดดิน</t>
  </si>
  <si>
    <t>กลบดิน</t>
  </si>
  <si>
    <t>คอนกรีตโครงสร้าง (fc' 280 ksc)</t>
  </si>
  <si>
    <t>ไม้แบบ</t>
  </si>
  <si>
    <t>ตะปู</t>
  </si>
  <si>
    <t>คอนกรีตหยาบ</t>
  </si>
  <si>
    <t>ทรายหยาบบดอัดแน่น</t>
  </si>
  <si>
    <t>งานเหล็กเสริมโครงสร้าง</t>
  </si>
  <si>
    <t>ลวดผูกเหล็ก</t>
  </si>
  <si>
    <t>งานโครงสร้างชั้น 1</t>
  </si>
  <si>
    <t>งานโครงสร้างชั้น 2</t>
  </si>
  <si>
    <t>คอนกรีตโครงสร้าง (fc' 320 ksc)</t>
  </si>
  <si>
    <t>POST-TENSIONED SYSTEM</t>
  </si>
  <si>
    <t>งานโครงสร้างชั้น 3</t>
  </si>
  <si>
    <t>งานโครงสร้างชั้นหลังคา</t>
  </si>
  <si>
    <t>งานโครงสร้างเหล็ก</t>
  </si>
  <si>
    <t>สีกันสนิม</t>
  </si>
  <si>
    <t>MAIN EQUIPMENT AND MAIN FEEDER</t>
  </si>
  <si>
    <t>5.1.1</t>
  </si>
  <si>
    <t>EMERGENCY GENERATOR AND AUTOMATIC TRANSFER SWITCH</t>
  </si>
  <si>
    <t>250 KVA EMERGENCY GENERATOR 230/400 V. 3P.4W. 50Hz</t>
  </si>
  <si>
    <t>500 A  AUTOMATIC TRANSFER SWITCH 3P. 600V.</t>
  </si>
  <si>
    <t>5.1.2</t>
  </si>
  <si>
    <t>MAIN DISTRIBUTION BOARD AND EMERGENCY MAIN DISTRIBUTION BOARD(MDB AND EMDB)</t>
  </si>
  <si>
    <t>2,500   AT. 3P.(ACB)</t>
  </si>
  <si>
    <t>1,600   AT. 3P.</t>
  </si>
  <si>
    <t>1,000   AT. 3P.</t>
  </si>
  <si>
    <t xml:space="preserve">   800   AT. 3P.</t>
  </si>
  <si>
    <t xml:space="preserve">   500   AT. 3P.</t>
  </si>
  <si>
    <t xml:space="preserve">   125   AT. 3P.</t>
  </si>
  <si>
    <t xml:space="preserve">   100   AT. 3P.</t>
  </si>
  <si>
    <t xml:space="preserve">     80   AT. 3P.</t>
  </si>
  <si>
    <t xml:space="preserve">     70   AT. 3P.</t>
  </si>
  <si>
    <t xml:space="preserve">     40   AT. 3P.</t>
  </si>
  <si>
    <t xml:space="preserve">     30   AT. 3P.</t>
  </si>
  <si>
    <t>COPPER BUS BAR</t>
  </si>
  <si>
    <t>POWER FACTOR CORRECTION (CAP BANK)</t>
  </si>
  <si>
    <t>BUS BAR SUPPORT</t>
  </si>
  <si>
    <t>METERING AND WIRING</t>
  </si>
  <si>
    <t>CUBICLE</t>
  </si>
  <si>
    <t>SURGE ARRESTER</t>
  </si>
  <si>
    <t>5.1.3</t>
  </si>
  <si>
    <t>BUSWAY</t>
  </si>
  <si>
    <t>1600  A  ALUMINUM  BUSWAY  (FEEDER  TYPE)</t>
  </si>
  <si>
    <t>1000  A  ALUMINUM  BUSWAY  (FEEDER  TYPE)</t>
  </si>
  <si>
    <t>1600  A  ALUMINUM  BUSWAY  (PLUG  TYPE)</t>
  </si>
  <si>
    <t>1000  A  ALUMINUM  BUSWAY  (PLUG  TYPE)</t>
  </si>
  <si>
    <t>1600  A  ELBOW</t>
  </si>
  <si>
    <t>1000  A  ELBOW</t>
  </si>
  <si>
    <t>1600  A  FLANGED  END</t>
  </si>
  <si>
    <t>1000  A  FLANGED  END</t>
  </si>
  <si>
    <t>1600  A  END  CLOSURE</t>
  </si>
  <si>
    <t>1000  A  END  CLOSURE</t>
  </si>
  <si>
    <t>300-400 A. PLUG IN CIRCUIT BREAKER</t>
  </si>
  <si>
    <t>SUPPORT / HANGER AND ACCESSORIES</t>
  </si>
  <si>
    <t>5.1.4</t>
  </si>
  <si>
    <t>PANEL BOARD</t>
  </si>
  <si>
    <t>A-DB1</t>
  </si>
  <si>
    <t>A-DB2</t>
  </si>
  <si>
    <t>D-DB2</t>
  </si>
  <si>
    <t>A-DB3</t>
  </si>
  <si>
    <t>D-DB3</t>
  </si>
  <si>
    <t>A-EDB1</t>
  </si>
  <si>
    <t>D-EDB1</t>
  </si>
  <si>
    <t>A-LP1/1</t>
  </si>
  <si>
    <t>A-LP1/2</t>
  </si>
  <si>
    <t>A-LP1/AC</t>
  </si>
  <si>
    <t>D-LP1/1</t>
  </si>
  <si>
    <t>D-LP1/2</t>
  </si>
  <si>
    <t>A-LP2/1</t>
  </si>
  <si>
    <t>A-LP2/2</t>
  </si>
  <si>
    <t>D-LP2/1</t>
  </si>
  <si>
    <t>D-LP2/2</t>
  </si>
  <si>
    <t>A-LP3/1</t>
  </si>
  <si>
    <t>A-LP3/2</t>
  </si>
  <si>
    <t>D-LP3/1</t>
  </si>
  <si>
    <t>D-LP3/2</t>
  </si>
  <si>
    <t>A-EP1</t>
  </si>
  <si>
    <t>D-EP1</t>
  </si>
  <si>
    <t>A-EP2</t>
  </si>
  <si>
    <t>D-EP2</t>
  </si>
  <si>
    <t>A-EP3</t>
  </si>
  <si>
    <t>D-EP3</t>
  </si>
  <si>
    <t>A-EPL</t>
  </si>
  <si>
    <t>D-EPL1</t>
  </si>
  <si>
    <t>D-EPL2</t>
  </si>
  <si>
    <t>CIRCUIT BREAKER WITH BOX</t>
  </si>
  <si>
    <t>50  AT 3P</t>
  </si>
  <si>
    <t>30  AT 3P</t>
  </si>
  <si>
    <t>5.1.5</t>
  </si>
  <si>
    <t>LIGHTING FIXTURE</t>
  </si>
  <si>
    <t>TYPE 'F1'</t>
  </si>
  <si>
    <t>TYPE 'F2'</t>
  </si>
  <si>
    <t>TYPE 'F3'</t>
  </si>
  <si>
    <t>TYPE 'F4'</t>
  </si>
  <si>
    <t>TYPE 'F5'</t>
  </si>
  <si>
    <t>TYPE 'F6'</t>
  </si>
  <si>
    <t>TYPE 'F7'</t>
  </si>
  <si>
    <t>TYPE 'F8'</t>
  </si>
  <si>
    <t>TYPE 'D1'</t>
  </si>
  <si>
    <t>TYPE 'D2'</t>
  </si>
  <si>
    <t>TYPE 'W1'</t>
  </si>
  <si>
    <t>TYPE 'FW1'</t>
  </si>
  <si>
    <t>5.1.6</t>
  </si>
  <si>
    <t>CONDUIT</t>
  </si>
  <si>
    <t>IMC.    DIA. 3 1/2"</t>
  </si>
  <si>
    <t>IMC.    DIA. 3"</t>
  </si>
  <si>
    <t>IMC.    DIA.2 1/2"</t>
  </si>
  <si>
    <t>IMC.    DIA.2"</t>
  </si>
  <si>
    <t>IMC.    DIA.1"</t>
  </si>
  <si>
    <t>IMC.    DIA.1/2"</t>
  </si>
  <si>
    <t>EMT.    DIA.2"</t>
  </si>
  <si>
    <t>EMT.    DIA.1 1/2"</t>
  </si>
  <si>
    <t>EMT.    DIA.1 1/4"</t>
  </si>
  <si>
    <t>EMT.    DIA.1"</t>
  </si>
  <si>
    <t>EMT.    DIA.3/4"</t>
  </si>
  <si>
    <t>EMT.    DIA.1/2"</t>
  </si>
  <si>
    <t>EFLEX  DIA.4"</t>
  </si>
  <si>
    <t>FIRE STOP</t>
  </si>
  <si>
    <t>SUPPORT AND HANGER</t>
  </si>
  <si>
    <t>5.1.7</t>
  </si>
  <si>
    <t>CABLE AND WIRE</t>
  </si>
  <si>
    <t>CV 600V # 240 SQ.MM</t>
  </si>
  <si>
    <t>IEC01 # 300 SQ.MM</t>
  </si>
  <si>
    <t>IEC01 # 240 SQ.MM</t>
  </si>
  <si>
    <t>IEC01 # 185 SQ.MM</t>
  </si>
  <si>
    <t>IEC01 # 120 SQ.MM</t>
  </si>
  <si>
    <t>IEC01 #   95 SQ.MM</t>
  </si>
  <si>
    <t>IEC01 #   70 SQ.MM</t>
  </si>
  <si>
    <t>IEC01 #   50 SQ.MM</t>
  </si>
  <si>
    <t>IEC01 #   25 SQ.MM</t>
  </si>
  <si>
    <t>IEC01 #   16 SQ.MM</t>
  </si>
  <si>
    <t>IEC01 #   10 SQ.MM</t>
  </si>
  <si>
    <t>IEC01 #     6 SQ.MM</t>
  </si>
  <si>
    <t>IEC01 #     4 SQ.MM</t>
  </si>
  <si>
    <t>IEC01 #  2.5 SQ.MM</t>
  </si>
  <si>
    <t>FRC. #     35 SQ.MM</t>
  </si>
  <si>
    <t>FRC. #     10 SQ.MM</t>
  </si>
  <si>
    <t>FRC. #      6 SQ.MM</t>
  </si>
  <si>
    <t>SWITCH, RECEPTACLE AND OTHER EQUIPMENT</t>
  </si>
  <si>
    <t>SINGLE POLE SWITCH WITH COVER</t>
  </si>
  <si>
    <t>TWO-WAY SWITCH WITH COVER</t>
  </si>
  <si>
    <t>DIMMER SWITCH 500 W.</t>
  </si>
  <si>
    <t>SIMPLEX RECEPTACLE WITH COVER</t>
  </si>
  <si>
    <t>DUPLEX RECEPTACLE WITH COVER</t>
  </si>
  <si>
    <t>MOTION SENSOR  (HIGH FREQUENCE TYPE)</t>
  </si>
  <si>
    <t>EMERGENCY LIGHT 2 x 9 W. (LED LAMP) WITH BATTERY AND CHARGER UNIT</t>
  </si>
  <si>
    <t>EXIT SIGN LIGHT LED LAMP (SLIM LINE TYPE) WITH BATTERY AND CHARGER UNIT</t>
  </si>
  <si>
    <t>50 SQ.MM BARE COPPER WIRE</t>
  </si>
  <si>
    <t xml:space="preserve">PVC.   DIA. 1 " </t>
  </si>
  <si>
    <t>AIR TERMINAL DIA. 5/8"-2' LONG</t>
  </si>
  <si>
    <t>COPPER CLAD GROUND ROD DIA. 5/8"-10' LONG</t>
  </si>
  <si>
    <t>TEST BOX</t>
  </si>
  <si>
    <t>ชั้น 1</t>
  </si>
  <si>
    <t>5.2.1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</si>
  <si>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</si>
  <si>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</si>
  <si>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</si>
  <si>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</si>
  <si>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</si>
  <si>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</si>
  <si>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</si>
  <si>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</si>
  <si>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5.2.10</t>
  </si>
  <si>
    <t>IP TELEPHONE SYSTEM</t>
  </si>
  <si>
    <t>TELEPHONE OUTLET CAT-06 RJ-45</t>
  </si>
  <si>
    <t>4 PR UTP CAT-6 CABLE</t>
  </si>
  <si>
    <t>WIRE WAY FOR COMMUNICATION</t>
  </si>
  <si>
    <t xml:space="preserve"> SIZE 4" x 6"</t>
  </si>
  <si>
    <t>EMT. CONDUIT</t>
  </si>
  <si>
    <t xml:space="preserve"> DIA. 3/4"</t>
  </si>
  <si>
    <t xml:space="preserve"> DIA. 1/2"</t>
  </si>
  <si>
    <t>COMPUTER SYSTEM</t>
  </si>
  <si>
    <t>COMPUTER RACK</t>
  </si>
  <si>
    <t xml:space="preserve">  12 U.</t>
  </si>
  <si>
    <t xml:space="preserve">  9 U.</t>
  </si>
  <si>
    <t>COMPUTER OUTLET CAT-06 RJ-45</t>
  </si>
  <si>
    <t>12 CORE OPTICAL FIBER CABLE (SINGLE MODE)</t>
  </si>
  <si>
    <t>WIRE WAY FOR COMPUTER</t>
  </si>
  <si>
    <t xml:space="preserve"> SIZE 4" x 4"</t>
  </si>
  <si>
    <t>FIRE ALARM SYSTEM</t>
  </si>
  <si>
    <t>FIRE ALARM MODULE CABINET</t>
  </si>
  <si>
    <t>COLOUR GRAPHIC ANNUNCIATOR WITH ACC.</t>
  </si>
  <si>
    <t>INPUT MODULE</t>
  </si>
  <si>
    <t>OUTPUT MODULE</t>
  </si>
  <si>
    <t>FIRE ALARM MANUAL STATION WITH KEY SWITCH</t>
  </si>
  <si>
    <t>CONVENTIONAL SMOKE DETECTOR</t>
  </si>
  <si>
    <t>HEAT DETECTOR (COMBINATION TYPE)</t>
  </si>
  <si>
    <t>STOBE WITH SPEAKER</t>
  </si>
  <si>
    <t>CABLE AND WIRES</t>
  </si>
  <si>
    <t xml:space="preserve">  FRC TWISTED PAIR SHIELD 1PR#1.5 SQ.MM. (16 AWG)</t>
  </si>
  <si>
    <t xml:space="preserve">  FRC # 2.5 SQ.MM.</t>
  </si>
  <si>
    <t xml:space="preserve">  IEC01 # 1.5 SQ.MM.</t>
  </si>
  <si>
    <t xml:space="preserve">  TIEV 2 PR DIA. 0.65 MM.</t>
  </si>
  <si>
    <t xml:space="preserve">  DIA. 3/4"</t>
  </si>
  <si>
    <t xml:space="preserve">  DIA. 1/2"</t>
  </si>
  <si>
    <t>WIRE WAY</t>
  </si>
  <si>
    <t xml:space="preserve">  SIZE 4" x 4"</t>
  </si>
  <si>
    <t>IP CCTV SYSTEM</t>
  </si>
  <si>
    <t>SECURITY RACK</t>
  </si>
  <si>
    <t xml:space="preserve">  9 U</t>
  </si>
  <si>
    <t>12 CORE FIBER OFTIC CABLE SINGLE MODE</t>
  </si>
  <si>
    <t>4 PR UTP-CAT 6</t>
  </si>
  <si>
    <t xml:space="preserve">  DIA. 1"</t>
  </si>
  <si>
    <t>- 16 Sq.mm. IEC 01</t>
  </si>
  <si>
    <t xml:space="preserve"> - Dia. 1" PVC. </t>
  </si>
  <si>
    <t>- COPPER GROUND ROD 5/8" , 10' (LONG)</t>
  </si>
  <si>
    <t>ชั้น 2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</si>
  <si>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</si>
  <si>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</si>
  <si>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</si>
  <si>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</si>
  <si>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</si>
  <si>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</si>
  <si>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</si>
  <si>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</si>
  <si>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5.3.9</t>
  </si>
  <si>
    <t xml:space="preserve">  42 U.</t>
  </si>
  <si>
    <t xml:space="preserve">  15 U.</t>
  </si>
  <si>
    <t>FIRE ALARM CONTROL PANEL WITH ACC.</t>
  </si>
  <si>
    <t>VOICE ECACUATION SYSTEM C/W POWER SUPPLY/</t>
  </si>
  <si>
    <t>BATTERY CHARGER, PEGING MICROPHONE, DIGITAL</t>
  </si>
  <si>
    <t>MASSAGE REPEATER WITH BACK UP AMPLIFIER</t>
  </si>
  <si>
    <t>MODULE FOR FIRE MAN TEL. AND GENERAL ALARM</t>
  </si>
  <si>
    <t>SMOKE BEAM DETECTOR</t>
  </si>
  <si>
    <t>FIREMAN TELEPHONE SOCKET</t>
  </si>
  <si>
    <t>ชั้น 3</t>
  </si>
  <si>
    <t>5.4.1</t>
  </si>
  <si>
    <t>5.4.2</t>
  </si>
  <si>
    <t>5.4.3</t>
  </si>
  <si>
    <t>5.4.4</t>
  </si>
  <si>
    <t>5.4.5</t>
  </si>
  <si>
    <t>5.4.6</t>
  </si>
  <si>
    <t>5.4.7</t>
  </si>
  <si>
    <t>5.4.8</t>
  </si>
  <si>
    <t>5.4.9</t>
  </si>
  <si>
    <t>ชั้นดาดฟ้า</t>
  </si>
  <si>
    <t>5.5.1</t>
  </si>
  <si>
    <t>5.5.2</t>
  </si>
  <si>
    <t>5.5.3</t>
  </si>
  <si>
    <t>5.5.4</t>
  </si>
  <si>
    <t>5.5.5</t>
  </si>
  <si>
    <t>8" Water Stop</t>
  </si>
  <si>
    <t>B-LP1/1</t>
  </si>
  <si>
    <t>B-LP1/2</t>
  </si>
  <si>
    <t>B-EP1</t>
  </si>
  <si>
    <t xml:space="preserve"> DIA. 1"</t>
  </si>
  <si>
    <t>6.1.1</t>
  </si>
  <si>
    <t>เครื่องปรับอากาศแบบแยกส่วน (SPLIT TYPE)</t>
  </si>
  <si>
    <t>A-(FCU/CDU)-1/2-(1,2) ,30000 BTU</t>
  </si>
  <si>
    <t>A-(FCU/CDU)-1/3-(1,2,3,4) ,48000 BTU</t>
  </si>
  <si>
    <t>A-(FCU/CDU)-1/4-(1,2) ,48000 BTU</t>
  </si>
  <si>
    <t>D-(FCU/CDU)-1/(1-10)-(1,2) ,48000 BTU</t>
  </si>
  <si>
    <t>D-(FCU/CDU)-1/(11-12)-(1,2) ,36000 BTU</t>
  </si>
  <si>
    <t>D-(FCU/CDU)-1/13-(1,2) ,48000 BTU</t>
  </si>
  <si>
    <t>D-(FCU/CDU)-1/14-(1,2,3,4) ,48000 BTU</t>
  </si>
  <si>
    <t>D-(FCU/CDU)-1/15-(1,2) ,48000 BTU</t>
  </si>
  <si>
    <t>D-(FCU/CDU)-1/16-(1,2) ,36000 BTU</t>
  </si>
  <si>
    <t>D-(FCU/CDU)-1/17-(1,2) ,30000 BTU</t>
  </si>
  <si>
    <t>D-(FCU/CDU)-1/18-(1,2) ,36000 BTU</t>
  </si>
  <si>
    <t>D-(FCU/CDU)-1/(19-20)-(1,2) ,48000 BTU</t>
  </si>
  <si>
    <t>D-(FCU/CDU)-1/28-(1,2,3) ,36000 BTU</t>
  </si>
  <si>
    <t>อุปกรณ์การติดตั้งเครื่องและอื่น ๆ</t>
  </si>
  <si>
    <t>ท่อน้ำยาและฉนวนยางดำ</t>
  </si>
  <si>
    <t>ท่อน้ำยาของเครื่องปรับอากาศแบบแยกส่วน (SPLIT TYPE)</t>
  </si>
  <si>
    <t xml:space="preserve"> ขนาดท่อทองแดง 1/2 นิ้ว</t>
  </si>
  <si>
    <t xml:space="preserve"> ขนาดท่อทองแดง 7/8 นิ้ว</t>
  </si>
  <si>
    <t>อุปกรณ์การยึด, แขวนท่อ และอื่น ๆ</t>
  </si>
  <si>
    <t>ฉนวนยางของเครื่องปรับอากาศแบบแยกส่วน (SPLIT TYPE) หนา 3/4 นิ้ว</t>
  </si>
  <si>
    <t xml:space="preserve"> หุ้มท่อทองแดง 7/8 นิ้ว</t>
  </si>
  <si>
    <t>วัสดุอื่น ๆ สำหรับหุ้มฉนวนท่อ</t>
  </si>
  <si>
    <t>ท่อน้ำทิ้งและฉนวนยาง</t>
  </si>
  <si>
    <t>ท่อน้ำทิ้ง</t>
  </si>
  <si>
    <t xml:space="preserve"> ท่อ PVC CLASS 8.5 ขนาด 1 นิ้ว</t>
  </si>
  <si>
    <t>ฉนวนยาง หนา 1/2 นิ้ว</t>
  </si>
  <si>
    <t xml:space="preserve"> หุ้มท่อ PVC CLASS 8.5 ขนาด 1 นิ้ว</t>
  </si>
  <si>
    <t>ท่อลม</t>
  </si>
  <si>
    <t>แผ่นเหล็กอาบสังกะสี (FAD, EAD)</t>
  </si>
  <si>
    <t xml:space="preserve"> เบอร์  26</t>
  </si>
  <si>
    <t>ตร.ฟุต</t>
  </si>
  <si>
    <t>หน้ากากระบายอากาศ</t>
  </si>
  <si>
    <t xml:space="preserve"> ท่อไฟ</t>
  </si>
  <si>
    <t xml:space="preserve"> สายไฟ</t>
  </si>
  <si>
    <t xml:space="preserve"> เทอร์โมเสตรท ON - OFF สำหรับเครื่องปรับอากาศ</t>
  </si>
  <si>
    <t xml:space="preserve"> สวิทซ์ ON - OFF พัดลม</t>
  </si>
  <si>
    <t xml:space="preserve"> อุปกรณ์ยึดท่อ,  แขวนท่อ  และอื่น ๆ</t>
  </si>
  <si>
    <t>งานพัดลมระบายอากาศ</t>
  </si>
  <si>
    <t xml:space="preserve"> A-EF-1/1 , 150 cfm</t>
  </si>
  <si>
    <t xml:space="preserve"> A-EF-1/2 , 100 cfm</t>
  </si>
  <si>
    <t xml:space="preserve"> A-EF-1/3 , 250 cfm</t>
  </si>
  <si>
    <t xml:space="preserve"> A-EF-1/4 , 150 cfm</t>
  </si>
  <si>
    <t xml:space="preserve"> A-EF-1/5 , 220 cfm</t>
  </si>
  <si>
    <t xml:space="preserve"> A-EF-1/6 , 250 cfm</t>
  </si>
  <si>
    <t xml:space="preserve"> A-EF-1/11 , 200 cfm</t>
  </si>
  <si>
    <t xml:space="preserve"> A-EF-1/12 , 80 cfm</t>
  </si>
  <si>
    <t xml:space="preserve"> A-EF-1/13 , 400 cfm</t>
  </si>
  <si>
    <t xml:space="preserve"> A-EF-1/14 , 80 cfm</t>
  </si>
  <si>
    <t xml:space="preserve"> C-EF-1/1 , 80 cfm</t>
  </si>
  <si>
    <t xml:space="preserve"> D-EF-1/(1-10) , 120 cfm</t>
  </si>
  <si>
    <t xml:space="preserve"> D-EF-1/(11,12) , 100 cfm</t>
  </si>
  <si>
    <t xml:space="preserve"> D-EF-1/(13,15,16) , 120 cfm</t>
  </si>
  <si>
    <t xml:space="preserve"> D-EF-1/14 , 200 cfm</t>
  </si>
  <si>
    <t xml:space="preserve"> D-EF-1/17 , 80 cfm</t>
  </si>
  <si>
    <t xml:space="preserve"> D-EF-1/(18,21) , 100 cfm</t>
  </si>
  <si>
    <t xml:space="preserve"> D-EF-1/(19,20) , 60 cfm</t>
  </si>
  <si>
    <t xml:space="preserve"> D-EF-1/(22,23,24) , 100 cfm</t>
  </si>
  <si>
    <t xml:space="preserve"> D-EF-1/25 , 200 cfm</t>
  </si>
  <si>
    <t xml:space="preserve"> D-EF-1/(26,27) , 100 cfm</t>
  </si>
  <si>
    <t xml:space="preserve"> D-EF-1/28 , 150 cfm</t>
  </si>
  <si>
    <t xml:space="preserve"> D-EF-1/30 , 50 cfm</t>
  </si>
  <si>
    <t xml:space="preserve"> D-EF-1/38 , 170 cfm</t>
  </si>
  <si>
    <t xml:space="preserve"> D-EF-1/(39,40,41) , 230 cfm</t>
  </si>
  <si>
    <t xml:space="preserve"> D-EF-1/(42,43,44) , 330 cfm</t>
  </si>
  <si>
    <t xml:space="preserve"> D-EF-1/45 , 330 cfm</t>
  </si>
  <si>
    <t xml:space="preserve"> D-EF-1/46 ,230 cfm</t>
  </si>
  <si>
    <t xml:space="preserve"> D-EF-1/47 ,200 cfm</t>
  </si>
  <si>
    <t xml:space="preserve"> D-EF-1/48 ,1000 cfm</t>
  </si>
  <si>
    <t xml:space="preserve"> D-EF-1/49 ,100 cfm</t>
  </si>
  <si>
    <t>อุปกรณ์การยึด วงกบ และอื่น ๆ</t>
  </si>
  <si>
    <t xml:space="preserve"> A-(FCU/CDU)-2/(1-2)-(1,2) ,42000 BTU</t>
  </si>
  <si>
    <t xml:space="preserve"> A-(FCU/CDU)-2/(3,4,5)-(1,2) ,36000 BTU</t>
  </si>
  <si>
    <t xml:space="preserve"> A-(FCU/CDU)-2/6 ,48000 BTU</t>
  </si>
  <si>
    <t xml:space="preserve"> A-(FCU/CDU)-2/(7-11) ,36000 BTU</t>
  </si>
  <si>
    <t xml:space="preserve"> A-(FCU/CDU)-2/12-(1,2,3,4) ,48000 BTU</t>
  </si>
  <si>
    <t>C-(FCU/CDU)-2/1-(1,2,3,4) ,48000 BTU</t>
  </si>
  <si>
    <t>C-(FCU/CDU)-2/2-(1,2,3,4) ,48000 BTU</t>
  </si>
  <si>
    <t>C-(FCU/CDU)-2/3-(1,2,3) ,48000 BTU</t>
  </si>
  <si>
    <t>C-(FCU/CDU)-2/4-(1,2,3) ,48000 BTU</t>
  </si>
  <si>
    <t>D-(FCU/CDU)-2/13-(1,2) ,48000 BTU</t>
  </si>
  <si>
    <t>A-EF-2/(1-6) , 80 cfm</t>
  </si>
  <si>
    <t>A-EF-2/(7-11) , 100 cfm</t>
  </si>
  <si>
    <t>A-EF-2/12 , 130 cfm</t>
  </si>
  <si>
    <t>A-EF-2/13 , 220 cfm</t>
  </si>
  <si>
    <t>A-EF-2/14 , 220 cfm</t>
  </si>
  <si>
    <t>A-EF-2/17 , 200 cfm</t>
  </si>
  <si>
    <t>A-EF-2/18 , 80 cfm</t>
  </si>
  <si>
    <t>A-EF-2/19 , 400 cfm</t>
  </si>
  <si>
    <t>A-EF-2/20 , 80 cfm</t>
  </si>
  <si>
    <t>C-EF-2/(1,2) , 550 cfm</t>
  </si>
  <si>
    <t>C-EF-2/(3,4) , 250 cfm</t>
  </si>
  <si>
    <t>C-EF-2/5 , 80 cfm</t>
  </si>
  <si>
    <t>D-EF-2/(1-6) , 80 cfm</t>
  </si>
  <si>
    <t>D-EF-2/(7-12) , 100 cfm</t>
  </si>
  <si>
    <t>D-EF-2/13 , 130 cfm</t>
  </si>
  <si>
    <t>D-EF-2/15 , 50 cfm</t>
  </si>
  <si>
    <t>D-EF-2/20 , 100 cfm</t>
  </si>
  <si>
    <t>(FCU/CDU)-A3/(1-5) ,42000 BTU</t>
  </si>
  <si>
    <t>(FCU/CDU)-A3/(6-10) ,36000 BTU</t>
  </si>
  <si>
    <t>(FCU/CDU)-A3/11 ,48000 BTU</t>
  </si>
  <si>
    <t>(FCU/CDU)-A3/(12-27) ,18000 BTU</t>
  </si>
  <si>
    <t>(FCU/CDU)-A3/28 ,36000 BTU</t>
  </si>
  <si>
    <t>(FCU/CDU)-A3/29-(1,2) ,36000 BTU</t>
  </si>
  <si>
    <t>(FCU/CDU)-D3/(1-7) ,48000 BTU</t>
  </si>
  <si>
    <t>(FCU/CDU)-D3/(8-19) ,18000 BTU</t>
  </si>
  <si>
    <t>(FCU/CDU)-D3/20 ,24000 BTU</t>
  </si>
  <si>
    <t>(FCU/CDU)-D3/21-(1,2,3,4,5) ,48000 BTU</t>
  </si>
  <si>
    <t xml:space="preserve"> ขนาดท่อทองแดง 3/8 นิ้ว</t>
  </si>
  <si>
    <t xml:space="preserve"> ขนาดท่อทองแดง 3/4 นิ้ว</t>
  </si>
  <si>
    <t xml:space="preserve"> หุ้มท่อทองแดง 3/4 นิ้ว</t>
  </si>
  <si>
    <t xml:space="preserve"> ท่อ PVC CLASS 8.5 ขนาด 3/4 นิ้ว</t>
  </si>
  <si>
    <t xml:space="preserve"> หุ้มท่อ PVC CLASS 8.5 ขนาด 3/4 นิ้ว</t>
  </si>
  <si>
    <t>C-EF-3/1 , 80 cfm</t>
  </si>
  <si>
    <t xml:space="preserve"> D-EF-3/(1-7) , 80 cfm</t>
  </si>
  <si>
    <t xml:space="preserve"> D-EF-3/(8-20) , 30 cfm</t>
  </si>
  <si>
    <t xml:space="preserve"> D-EF-3/21-(1,2) , 155 cfm</t>
  </si>
  <si>
    <t xml:space="preserve"> D-EF-3/23 , 50 cfm</t>
  </si>
  <si>
    <t xml:space="preserve"> D-EF-3/27 , 170 cfm</t>
  </si>
  <si>
    <t xml:space="preserve"> D-EF-3/28 , 120 cfm</t>
  </si>
  <si>
    <t xml:space="preserve"> D-EF-3/29 , 100 cfm</t>
  </si>
  <si>
    <t xml:space="preserve"> - IP FIXED DOME CAMERA WITH LICENSE</t>
  </si>
  <si>
    <t xml:space="preserve"> - IP FIXED CAMERA WITH LICENSE</t>
  </si>
  <si>
    <t xml:space="preserve"> - CORE SWITCH</t>
  </si>
  <si>
    <t xml:space="preserve"> - CCTV NETWORK VIDEO RECORDER (NVR)</t>
  </si>
  <si>
    <t xml:space="preserve">    WITH SERVER MANAGEMENT</t>
  </si>
  <si>
    <t xml:space="preserve"> - UPS (10 KVA.)</t>
  </si>
  <si>
    <t xml:space="preserve"> - CCTV MONITOR 23"</t>
  </si>
  <si>
    <t xml:space="preserve"> - LED TV 42" WITH HANGER AND SUPPORT</t>
  </si>
  <si>
    <t xml:space="preserve"> - MAIN CCTV RACK</t>
  </si>
  <si>
    <t xml:space="preserve"> - ACCESS SWITCH 24 PORT (POE)</t>
  </si>
  <si>
    <t>งานกล้องวงจรปิด</t>
  </si>
  <si>
    <t>รวมราคาหมวดงานระบบปรับอากาศและระบายอากาศ</t>
  </si>
  <si>
    <t>อาคาร (D)</t>
  </si>
  <si>
    <t>อาคาร(E)</t>
  </si>
  <si>
    <t>เฉลียง</t>
  </si>
  <si>
    <t xml:space="preserve"> - ACCESSORIE &amp; FITTING</t>
  </si>
  <si>
    <t>งานป้ายชื่ออาคาร</t>
  </si>
  <si>
    <t xml:space="preserve"> - สำรวจระดับพื้นที่ วางผังอาคาร </t>
  </si>
  <si>
    <t xml:space="preserve"> - เครียพื้นที่ ปรับเกี่ยววัชพืช ตัดตันไม้</t>
  </si>
  <si>
    <t>ลบ.ม</t>
  </si>
  <si>
    <t xml:space="preserve"> - ค่าทดสอบความสามารถรับน้ำหนักบรรทุกของพื้นดิน วิธี PLATE BEARING</t>
  </si>
  <si>
    <t>จุด</t>
  </si>
  <si>
    <t xml:space="preserve"> อาคาร</t>
  </si>
  <si>
    <t>1.2.1</t>
  </si>
  <si>
    <t>1.2.2</t>
  </si>
  <si>
    <t>3.1.1</t>
  </si>
  <si>
    <t>3.1.2</t>
  </si>
  <si>
    <t>3.1.3</t>
  </si>
  <si>
    <t>3.1.4</t>
  </si>
  <si>
    <t>3.1.5</t>
  </si>
  <si>
    <t>3.1.6</t>
  </si>
  <si>
    <t>3.2.7</t>
  </si>
  <si>
    <t>3.2.8</t>
  </si>
  <si>
    <t>3.3.1</t>
  </si>
  <si>
    <t>3.3.2</t>
  </si>
  <si>
    <t>3.3.3</t>
  </si>
  <si>
    <t>3.3.4</t>
  </si>
  <si>
    <t>3.3.5</t>
  </si>
  <si>
    <t>3.3.6</t>
  </si>
  <si>
    <t>3.3.7</t>
  </si>
  <si>
    <t>3.4.1</t>
  </si>
  <si>
    <t>3.4.2</t>
  </si>
  <si>
    <t>3.4.3</t>
  </si>
  <si>
    <t>3.4.4</t>
  </si>
  <si>
    <t>3.4.5</t>
  </si>
  <si>
    <t>3.4.6</t>
  </si>
  <si>
    <t>3.4.7</t>
  </si>
  <si>
    <t>3.5.1</t>
  </si>
  <si>
    <t>3.5.2</t>
  </si>
  <si>
    <t>3.5.3</t>
  </si>
  <si>
    <t>3.5.4</t>
  </si>
  <si>
    <t>3.6.1</t>
  </si>
  <si>
    <t>3.6.2</t>
  </si>
  <si>
    <t>3.6.3</t>
  </si>
  <si>
    <t>3.7.1</t>
  </si>
  <si>
    <t>3.7.2</t>
  </si>
  <si>
    <t>3.7.3</t>
  </si>
  <si>
    <t>3.7.4</t>
  </si>
  <si>
    <t>3.7.5</t>
  </si>
  <si>
    <t>3.8.1</t>
  </si>
  <si>
    <t>3.8.2</t>
  </si>
  <si>
    <t>3.8.3</t>
  </si>
  <si>
    <t>3.8.4</t>
  </si>
  <si>
    <t>3.8.5</t>
  </si>
  <si>
    <t>3.8.6</t>
  </si>
  <si>
    <t>3.9.1</t>
  </si>
  <si>
    <t>3.9.2</t>
  </si>
  <si>
    <t>3.9.3</t>
  </si>
  <si>
    <t>3.9.4</t>
  </si>
  <si>
    <t>3.9.5</t>
  </si>
  <si>
    <t>3.9.6</t>
  </si>
  <si>
    <t>3.10.1</t>
  </si>
  <si>
    <t>3.10.2</t>
  </si>
  <si>
    <t>3.10.3</t>
  </si>
  <si>
    <t>3.10.4</t>
  </si>
  <si>
    <t>3.10.5</t>
  </si>
  <si>
    <t>3.11.1</t>
  </si>
  <si>
    <t>3.11.2</t>
  </si>
  <si>
    <t>3.11.3</t>
  </si>
  <si>
    <t>3.11.4</t>
  </si>
  <si>
    <t>3.11.5</t>
  </si>
  <si>
    <t>3.11.6</t>
  </si>
  <si>
    <t>3.11.7</t>
  </si>
  <si>
    <t>3.12.1</t>
  </si>
  <si>
    <t>3.12.2</t>
  </si>
  <si>
    <t>3.12.3</t>
  </si>
  <si>
    <t>3.12.4</t>
  </si>
  <si>
    <t>3.12.5</t>
  </si>
  <si>
    <t>3.13.1</t>
  </si>
  <si>
    <t>3.13.2</t>
  </si>
  <si>
    <t>3.13.3</t>
  </si>
  <si>
    <t>3.13.4</t>
  </si>
  <si>
    <t>3.14.1</t>
  </si>
  <si>
    <t xml:space="preserve"> - รางน้ำสแตนเลส พับตามแบบ</t>
  </si>
  <si>
    <t xml:space="preserve"> - งานดินปรับระดับ</t>
  </si>
  <si>
    <t>1.3.1</t>
  </si>
  <si>
    <t xml:space="preserve"> - HANGAR DOOR</t>
  </si>
  <si>
    <t>เสาเข็มสี่เหลี่ยมตันขนาด 0.40 x 0.40 x L (L ประมาณ 6.00 เมตร)</t>
  </si>
  <si>
    <t>SUBMERSIBLE PUMP SET (SP01,02) + ตู้คอนโทล (DP1,2)</t>
  </si>
  <si>
    <t>ส่วน A,C,D</t>
  </si>
  <si>
    <t xml:space="preserve">   150   AT. 3P.</t>
  </si>
  <si>
    <t>1600  A  สามทาง</t>
  </si>
  <si>
    <t>1000  A  สามทาง</t>
  </si>
  <si>
    <t>125-160 A. PLUG IN CIRCUIT BREAKER</t>
  </si>
  <si>
    <t>500-630 A. PLUG IN CIRCUIT BREAKER</t>
  </si>
  <si>
    <t>D-DB1/1</t>
  </si>
  <si>
    <t>D-DB1/2</t>
  </si>
  <si>
    <t>D-DBR</t>
  </si>
  <si>
    <t>D-LP1-1/AC</t>
  </si>
  <si>
    <t>D-LP1-2/AC</t>
  </si>
  <si>
    <t>D-LP1-3/AC</t>
  </si>
  <si>
    <t>D-LP1-4/AC</t>
  </si>
  <si>
    <t>A-LP2-1/AC</t>
  </si>
  <si>
    <t>A-LP2-2/AC</t>
  </si>
  <si>
    <t>A-LP3-1/AC</t>
  </si>
  <si>
    <t>A-LP3-2/AC</t>
  </si>
  <si>
    <t>A-LP3-3/AC</t>
  </si>
  <si>
    <t>D-LPR-1/AC</t>
  </si>
  <si>
    <t>D-LPR-2/AC</t>
  </si>
  <si>
    <t>D-LPR-3/AC</t>
  </si>
  <si>
    <t>D-LPR-4/AC</t>
  </si>
  <si>
    <t>TYPE 'F9'</t>
  </si>
  <si>
    <t>TYPE 'D3'</t>
  </si>
  <si>
    <t>TYPE 'HB1'</t>
  </si>
  <si>
    <t>TYPE 'HB2'</t>
  </si>
  <si>
    <t>PULL BOX</t>
  </si>
  <si>
    <t>STATIC GROUND</t>
  </si>
  <si>
    <t>D-LPR-5/AC</t>
  </si>
  <si>
    <t>ส่วน B</t>
  </si>
  <si>
    <t>ส่วน E</t>
  </si>
  <si>
    <t>E-LP1</t>
  </si>
  <si>
    <t>หอถังสูงสำเร็จรูป 35 M3, 35 M พร้อมติดตั้ง</t>
  </si>
  <si>
    <t xml:space="preserve"> A-EF-1/(7,8) , 340 cfm</t>
  </si>
  <si>
    <t xml:space="preserve"> B-EF-1/1 , 120 cfm</t>
  </si>
  <si>
    <t xml:space="preserve"> B-EF-1/2 , 1000 cfm</t>
  </si>
  <si>
    <t xml:space="preserve"> B-EF-1/(3-8) , 520 cfm</t>
  </si>
  <si>
    <t xml:space="preserve"> B-EF-1/9 , 200 cfm</t>
  </si>
  <si>
    <t xml:space="preserve"> B-EF-1/10 , 200 cfm</t>
  </si>
  <si>
    <t xml:space="preserve"> C-EF-1/(2,3) , 1000 cfm</t>
  </si>
  <si>
    <t xml:space="preserve"> D-EF-1/31 , 200 cfm</t>
  </si>
  <si>
    <t xml:space="preserve"> D-EF-1/(32,33) , 200 cfm</t>
  </si>
  <si>
    <t xml:space="preserve"> E-EF-1/(1,2) , 360 cfm</t>
  </si>
  <si>
    <t xml:space="preserve"> E-EF-1/(3,4) , 1000 cfm</t>
  </si>
  <si>
    <t>D-EF-2/16 , 200 cfm</t>
  </si>
  <si>
    <t>D-EF-2/(17,18) , 200 cfm</t>
  </si>
  <si>
    <t xml:space="preserve"> D-EF-3/24 , 200 cfm</t>
  </si>
  <si>
    <t xml:space="preserve"> D-EF-3/(25,26) , 200 cfm</t>
  </si>
  <si>
    <t xml:space="preserve"> ส่วน A,C,D</t>
  </si>
  <si>
    <t>ส่วน D</t>
  </si>
  <si>
    <t>ส่วน C</t>
  </si>
  <si>
    <t>ส่วน A</t>
  </si>
  <si>
    <t xml:space="preserve"> ส่วน C</t>
  </si>
  <si>
    <t xml:space="preserve"> ส่วน B</t>
  </si>
  <si>
    <t>งานสถาปัตยกรรม ชั้น 1</t>
  </si>
  <si>
    <t xml:space="preserve">งานสถาปัตยกรรม ชั้น หลังคา </t>
  </si>
  <si>
    <t xml:space="preserve">งานสถาปัตยกรรม ชั้น 3 </t>
  </si>
  <si>
    <t xml:space="preserve">งานสถาปัตยกรรม ชั้น 2 </t>
  </si>
  <si>
    <t xml:space="preserve">งานสถาปัตยกรรม ชั้น 1 </t>
  </si>
  <si>
    <t xml:space="preserve">งานสถาปัตยกรรม ชั้น หลังคา  </t>
  </si>
  <si>
    <t>งานสถาปัตยกรรม ชั้น 3</t>
  </si>
  <si>
    <t>4.1.1.1</t>
  </si>
  <si>
    <t>4.1.1.2</t>
  </si>
  <si>
    <t>4.1.1.3</t>
  </si>
  <si>
    <t>4.1.1.4</t>
  </si>
  <si>
    <t>4.1.2.1</t>
  </si>
  <si>
    <t>4.1.2.2</t>
  </si>
  <si>
    <t>4.1.2.3</t>
  </si>
  <si>
    <t>4.1.2.4</t>
  </si>
  <si>
    <t>4.1.3.1</t>
  </si>
  <si>
    <t>4.1.3.2</t>
  </si>
  <si>
    <t>4.1.3.3</t>
  </si>
  <si>
    <t>4.1.3.4</t>
  </si>
  <si>
    <t>4.1.4.1</t>
  </si>
  <si>
    <t>4.1.4.2</t>
  </si>
  <si>
    <t>4.2.1.1</t>
  </si>
  <si>
    <t>4.2.1.2</t>
  </si>
  <si>
    <t>4.2.1.3</t>
  </si>
  <si>
    <t>4.2.1.4</t>
  </si>
  <si>
    <t>4.2.2.1</t>
  </si>
  <si>
    <t>4.2.2.2</t>
  </si>
  <si>
    <t>4.3.1.1</t>
  </si>
  <si>
    <t>4.3.1.2</t>
  </si>
  <si>
    <t>4.3.2.1</t>
  </si>
  <si>
    <t>4.3.2.2</t>
  </si>
  <si>
    <t>4.3.3.1</t>
  </si>
  <si>
    <t>4.3.3.2</t>
  </si>
  <si>
    <t>4.4.1.1</t>
  </si>
  <si>
    <t>4.4.1.2</t>
  </si>
  <si>
    <t>4.4.1.3</t>
  </si>
  <si>
    <t>4.4.1.4</t>
  </si>
  <si>
    <t>4.4.2.1</t>
  </si>
  <si>
    <t>4.4.2.2</t>
  </si>
  <si>
    <t>4.4.2.3</t>
  </si>
  <si>
    <t>4.4.2.4</t>
  </si>
  <si>
    <t>4.4.3.1</t>
  </si>
  <si>
    <t>4.4.3.2</t>
  </si>
  <si>
    <t>4.4.3.3</t>
  </si>
  <si>
    <t>4.4.3.4</t>
  </si>
  <si>
    <t>4.4.4.1</t>
  </si>
  <si>
    <t>4.4.4.2</t>
  </si>
  <si>
    <t>4.5.1.2</t>
  </si>
  <si>
    <t>4.5.1.1</t>
  </si>
  <si>
    <t>4.5.2</t>
  </si>
  <si>
    <t>4.5.2.1</t>
  </si>
  <si>
    <t>รวมราคาหมวดงานระบบสุขาภิบาลและดับเพลิง (ส่วน A)</t>
  </si>
  <si>
    <t>รวมราคาหมวดงานระบบสุขาภิบาลและดับเพลิง (ส่วน B)</t>
  </si>
  <si>
    <t>รวมราคาหมวดงานระบบสุขาภิบาลและดับเพลิง (ส่วน C)</t>
  </si>
  <si>
    <t>รวมราคาหมวดงานระบบสุขาภิบาลและดับเพลิง (ส่วน D)</t>
  </si>
  <si>
    <t>รวมราคาหมวดงานระบบสุขาภิบาลและดับเพลิง (ส่วน E)</t>
  </si>
  <si>
    <t>รวมราคาหมวดงานระบบสุขาภิบาลและดับเพลิง (ส่วน A,B,C,D,E)</t>
  </si>
  <si>
    <t>5.6.1</t>
  </si>
  <si>
    <t>5.6.2</t>
  </si>
  <si>
    <t>5.6.3</t>
  </si>
  <si>
    <t>5.6.4</t>
  </si>
  <si>
    <t>5.6.5</t>
  </si>
  <si>
    <t>5.6.6</t>
  </si>
  <si>
    <t>5.6.7</t>
  </si>
  <si>
    <t>5.6.8</t>
  </si>
  <si>
    <t>5.6.9</t>
  </si>
  <si>
    <t>5.7.1</t>
  </si>
  <si>
    <t>5.7.2</t>
  </si>
  <si>
    <t>5.7.3</t>
  </si>
  <si>
    <t>5.7.4</t>
  </si>
  <si>
    <t>5.7.5</t>
  </si>
  <si>
    <t>5.7.6</t>
  </si>
  <si>
    <t>5.7.7</t>
  </si>
  <si>
    <t>5.7.8</t>
  </si>
  <si>
    <t>รวมราคาหมวดงานระบบไฟฟ้า (ส่วน A,C,D)</t>
  </si>
  <si>
    <t>รวมราคาหมวดงานระบบไฟฟ้า (ส่วน B)</t>
  </si>
  <si>
    <t>รวมราคาหมวดงานระบบไฟฟ้า (ส่วน E)</t>
  </si>
  <si>
    <t>รวมราคาหมวดงานระบบไฟฟ้า (ส่วน A,B,C,D,E)</t>
  </si>
  <si>
    <t>D19</t>
  </si>
  <si>
    <t>D20</t>
  </si>
  <si>
    <t>W16</t>
  </si>
  <si>
    <t>W17</t>
  </si>
  <si>
    <t>D6.1</t>
  </si>
  <si>
    <t>งานผนัง LOUVER รอบหลังคา</t>
  </si>
  <si>
    <t>W1.1</t>
  </si>
  <si>
    <t>W5.1</t>
  </si>
  <si>
    <t>W6.1</t>
  </si>
  <si>
    <t>W7.1</t>
  </si>
  <si>
    <t>W10.1</t>
  </si>
  <si>
    <t>W10.2</t>
  </si>
  <si>
    <t>3.6.4</t>
  </si>
  <si>
    <t>fl1</t>
  </si>
  <si>
    <t>fl2</t>
  </si>
  <si>
    <t>fl3</t>
  </si>
  <si>
    <t>รวมราคาหมวดงานสถาปัตยกรรม  (ส่วน B)</t>
  </si>
  <si>
    <t>รวมราคาหมวดงานสถาปัตยกรรม  (ส่วน A)</t>
  </si>
  <si>
    <t>รวมราคาหมวดงานสถาปัตยกรรม  (ส่วน C)</t>
  </si>
  <si>
    <t>รวมราคาหมวดงานสถาปัตยกรรม  (ส่วน D)</t>
  </si>
  <si>
    <t>รวมราคาหมวดงานสถาปัตยกรรม  (ส่วน E)</t>
  </si>
  <si>
    <t>แบบ ปร.4</t>
  </si>
  <si>
    <t>งานระบบสุขาภิบาลและระบายน้ำทั้งโครงการ</t>
  </si>
  <si>
    <t xml:space="preserve"> - แผ่น ALUMINIUM COMPOSITE ไส้กลาง FR หนา 4 มม. </t>
  </si>
  <si>
    <t>sum</t>
  </si>
  <si>
    <t>วิธีคำนวณเทียบอัตราส่วนเพื่อหาค่า FACTOR F</t>
  </si>
  <si>
    <t>กรณีค่างานอยู่ระหว่างช่วงของค่างานต้นทุนที่กำหนดในตาราง Factor F ให้เทียบอัตราส่วน เพื่อหา Factor F  ดังนี้</t>
  </si>
  <si>
    <t>สูตร</t>
  </si>
  <si>
    <t>ต้องการหาค่า Factor F ของค่างานต้นทุน</t>
  </si>
  <si>
    <t>=</t>
  </si>
  <si>
    <t>บาท</t>
  </si>
  <si>
    <t>ค่า Factor F</t>
  </si>
  <si>
    <t>D</t>
  </si>
  <si>
    <t>(</t>
  </si>
  <si>
    <t>E</t>
  </si>
  <si>
    <t>)</t>
  </si>
  <si>
    <t>C</t>
  </si>
  <si>
    <t>ค่าวัสดุและค่าแรงงาน</t>
  </si>
  <si>
    <t>รวมเป็นเงินประมาณ</t>
  </si>
  <si>
    <t>เงื่อนไข</t>
  </si>
  <si>
    <t>เงินล่วงหน้าจ่าย</t>
  </si>
  <si>
    <t>ดอกเบี้ยเงินกู้</t>
  </si>
  <si>
    <t>ต่อปี</t>
  </si>
  <si>
    <t>เงินประกันผลงานหัก</t>
  </si>
  <si>
    <t>เมื่อ</t>
  </si>
  <si>
    <t>ค่างานต้นทุนตัวต่ำกว่าค่างานต้นทุน A</t>
  </si>
  <si>
    <t>ค่างานต้นทุนตัวสูงกว่าค่างานต้นทุน A</t>
  </si>
  <si>
    <t>ค่า Factor F ของค่างานต้นทุน B</t>
  </si>
  <si>
    <t>ค่า Factor F ของค่างานต้นทุน C</t>
  </si>
  <si>
    <t>แทนค่าสูตร</t>
  </si>
  <si>
    <t>x</t>
  </si>
  <si>
    <t>ค่าFactor F</t>
  </si>
  <si>
    <t>60 x 60</t>
  </si>
  <si>
    <t>ฝ้าโครงคร่าวกรุอลูมเนียมคอมโพสิต (C5)</t>
  </si>
  <si>
    <t xml:space="preserve"> - F6 พื้น คสล. ขัดมันเรียบ ผสมกันซึม</t>
  </si>
  <si>
    <t xml:space="preserve"> - A.D7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1.90 x 2.05 มม.</t>
  </si>
  <si>
    <t>D9.1</t>
  </si>
  <si>
    <t xml:space="preserve"> - A.D10 ประตูบานเปิดคู่สวิง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t>
  </si>
  <si>
    <t xml:space="preserve"> - A.D13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t>
  </si>
  <si>
    <t>W4.1</t>
  </si>
  <si>
    <t>roof</t>
  </si>
  <si>
    <t>ทางเดินรอบอาคาร</t>
  </si>
  <si>
    <t>บันได ST-03</t>
  </si>
  <si>
    <t>บันได ST-05</t>
  </si>
  <si>
    <t>บันได ST-04</t>
  </si>
  <si>
    <t xml:space="preserve">ห้องวางโมเดลจำลอง </t>
  </si>
  <si>
    <t>ห้องสังเกตุการณ์</t>
  </si>
  <si>
    <t>SIMULATAION ROOM</t>
  </si>
  <si>
    <t>ห้องสำนักงาน</t>
  </si>
  <si>
    <t>บันได ST-06</t>
  </si>
  <si>
    <t>บันได ST-07</t>
  </si>
  <si>
    <t>ทางลาด ST06</t>
  </si>
  <si>
    <t xml:space="preserve"> โถงบันได ST-03/1</t>
  </si>
  <si>
    <t>บันได ST-01</t>
  </si>
  <si>
    <t>1'</t>
  </si>
  <si>
    <t>4'</t>
  </si>
  <si>
    <t xml:space="preserve"> - อ่างล้างหน้าแบบแขวนผนัง (ห้องน้ำผู้พิการ)</t>
  </si>
  <si>
    <t xml:space="preserve"> - โถสุขภัณฑ์ฟลัชวาล์ว  (ห้องน้ำผู้พิการ)</t>
  </si>
  <si>
    <t xml:space="preserve"> - บานกระจกเงาหนา 6 มม. ขนาด 2.90  x 1.00 ม.</t>
  </si>
  <si>
    <t xml:space="preserve"> - บานกระจกเงาหนา 6 มม. ขนาด 4.10  x 1.00 ม.</t>
  </si>
  <si>
    <t xml:space="preserve"> - บานกระจกเงาหนา 6 มม. ขนาด 3.50  x 1.00 ม.</t>
  </si>
  <si>
    <t xml:space="preserve"> - บานกระจกเงาหนา 6 มม. ขนาด 8.70  x 1.00 ม.</t>
  </si>
  <si>
    <t xml:space="preserve"> - บานกระจกเงาหนา 6 มม. ขนาด 0.60  x 1.00 ม. (ห้องน้ำผู้พิการ)</t>
  </si>
  <si>
    <t>6'</t>
  </si>
  <si>
    <t xml:space="preserve"> - ที่ใส่กระดาษชำระ (ห้องผู้พิการ,ห้อง VIP)</t>
  </si>
  <si>
    <t>P</t>
  </si>
  <si>
    <t xml:space="preserve"> - ที่ใส่กระดาษชำระ และขอแขวน</t>
  </si>
  <si>
    <t>ห้องเก็บของ (ห้องน้ำชาย 2)</t>
  </si>
  <si>
    <t>ห้องพักอาจารย์</t>
  </si>
  <si>
    <t>CT3</t>
  </si>
  <si>
    <t>PU</t>
  </si>
  <si>
    <t>ห้องเครื่องลิฟท์</t>
  </si>
  <si>
    <t>หลังคา Metal sheet</t>
  </si>
  <si>
    <t xml:space="preserve"> - แผงระบายอากาศอลูมิเนียม</t>
  </si>
  <si>
    <t>แผงระบายอากาศ</t>
  </si>
  <si>
    <t xml:space="preserve"> - เหล็กกล่อง 4"x4" หนา 3.2 มม.</t>
  </si>
  <si>
    <t xml:space="preserve"> - METAL SHEET เคลืยบสี หนา  0.63 มม. ระบุรุ่นภายหลัง</t>
  </si>
  <si>
    <t xml:space="preserve"> - ฉนวนป้องกันความร้อน ชนิด PU ความหนาไม่น้อยกว่า 50 มม.</t>
  </si>
  <si>
    <t xml:space="preserve"> - รางระบายน้ำฝนสแตนเลส</t>
  </si>
  <si>
    <t xml:space="preserve"> - แผ่น ALUMINIUM COMPOSITE ไส้กลาง FR หนา 4 มม. ลายไม้ พับยกขอบ หนา 3"</t>
  </si>
  <si>
    <t xml:space="preserve"> - กรุกระเบื้อง  (CT-03)</t>
  </si>
  <si>
    <t xml:space="preserve"> - งานผนังโครงคร่าวเหล็กกรุคอนกรีตเสริมใยแก้ว (D)</t>
  </si>
  <si>
    <t>ผนังGRC</t>
  </si>
  <si>
    <t>ครอบหลังคา ALUMINIUM COMPOSITE</t>
  </si>
  <si>
    <t>ผนังภายนอก ด้าน  A.A</t>
  </si>
  <si>
    <t>ผนังภายนอก ด้าน  A.B</t>
  </si>
  <si>
    <t>ผนังภายนอก ด้าน  A.C</t>
  </si>
  <si>
    <t>ผนังภายนอก ด้าน  A.D</t>
  </si>
  <si>
    <t xml:space="preserve"> - ลิฟต์โดยสาร ขนาดน้ำหนักบรรทุก 600 กิโลกรัม (A=2),(C=2)</t>
  </si>
  <si>
    <t xml:space="preserve"> - ลิฟต์ขนส่ง ขนาดน้ำหนักบรรทุก 1000 กิโลกรัม (D=1)</t>
  </si>
  <si>
    <t>FAÇADE</t>
  </si>
  <si>
    <t>งานฉาบผนังภายนอก</t>
  </si>
  <si>
    <t>งานทาสี ภายนอก</t>
  </si>
  <si>
    <t xml:space="preserve"> - งานฉาบปูนเรียบขัดมัน ภายนอก (1) ด้าน A.D</t>
  </si>
  <si>
    <t xml:space="preserve"> - งานฉาบปูนเรียบขัดมัน ภายนอก (1) ด้าน A.C</t>
  </si>
  <si>
    <t xml:space="preserve"> - งานฉาบปูนเรียบขัดมัน ภายนอก (1) ด้าน A.B</t>
  </si>
  <si>
    <t xml:space="preserve"> - งานฉาบปูนเรียบขัดมัน  ภายนอก (1) ด้าน A.A</t>
  </si>
  <si>
    <t xml:space="preserve"> - ทาสีขัดมันสำเร็จรูป ภายใน  (PT-02)</t>
  </si>
  <si>
    <t xml:space="preserve"> - งานฉาบปูนเรียบขัดมัน  ภายใน (2)</t>
  </si>
  <si>
    <t xml:space="preserve"> - ทาสีขัดมันสำเร็จรูป ภายนอก ทาสีเคลืยบผิว (PT-01) ด้าน A.A</t>
  </si>
  <si>
    <t xml:space="preserve"> - ทาสีขัดมันสำเร็จรูป ภายนอก ทาสีเคลืยบผิว (PT-01) ด้าน A.B</t>
  </si>
  <si>
    <t xml:space="preserve"> - ทาสีขัดมันสำเร็จรูป ภายนอก ทาสีเคลืยบผิว (PT-01) ด้าน A.C</t>
  </si>
  <si>
    <t xml:space="preserve"> - ทาสีขัดมันสำเร็จรูป ภายนอก ทาสีเคลืยบผิว (PT-01) ด้าน A.D</t>
  </si>
  <si>
    <t>ราวจับบันไดและทางลาด ST-06</t>
  </si>
  <si>
    <t>3.1.7</t>
  </si>
  <si>
    <t xml:space="preserve"> - เหล็กกล่อง ขนาด 100 x 50  มม. หนา 3.2 มม. 7.01 kg/m.</t>
  </si>
  <si>
    <t xml:space="preserve"> - FLAT BARS ขนาด 50 มม. หนา 6 มม. 2.36 kg/m.</t>
  </si>
  <si>
    <t>ราวจับบันได ST-01 (Fl1-Fl2)</t>
  </si>
  <si>
    <t>ราวจับบันได ST-01 (Fl2-Fl3)</t>
  </si>
  <si>
    <t>ราวจับบันได ST-01 (Fl3-Fl.R)</t>
  </si>
  <si>
    <t>ราวจับบันได ST-03 (Fl2-Fl3)</t>
  </si>
  <si>
    <t>ราวจับบันได ST-03 (Fl1-Fl2)</t>
  </si>
  <si>
    <t>3.1.5.1</t>
  </si>
  <si>
    <t>3.1.5.2</t>
  </si>
  <si>
    <t>3.2.5.2</t>
  </si>
  <si>
    <t>3.1.5.3</t>
  </si>
  <si>
    <t>3.2.5.1</t>
  </si>
  <si>
    <t>3.3.5.1</t>
  </si>
  <si>
    <t>งานราวบันไดและราวกันตก</t>
  </si>
  <si>
    <t>ราวกันตก</t>
  </si>
  <si>
    <t>3.3.5.2</t>
  </si>
  <si>
    <t>3.2.5.3</t>
  </si>
  <si>
    <t xml:space="preserve"> - ทาสีขัดมันสำเร็จรูป ภายนอก ทาสีเคลืยบผิว (PT-01)</t>
  </si>
  <si>
    <t xml:space="preserve"> - งานฉาบปูนเรียบขัดมัน  ภายนอก (1) </t>
  </si>
  <si>
    <t>บ่อ service</t>
  </si>
  <si>
    <t>ผนังซีเมนต์</t>
  </si>
  <si>
    <t>บอร์ด</t>
  </si>
  <si>
    <t>fl r</t>
  </si>
  <si>
    <t xml:space="preserve"> - B.D2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2.00 x 2.05 มม.</t>
  </si>
  <si>
    <t>ค่าของ</t>
  </si>
  <si>
    <t>ค่าแรง</t>
  </si>
  <si>
    <t>FD</t>
  </si>
  <si>
    <t xml:space="preserve"> - F6 พื้น คสล. ขัดหยาบ ผสมน้ำยากันซึม</t>
  </si>
  <si>
    <t xml:space="preserve"> - F6 พื้นหลังคา คสล. คอนกรีตขัดหยาบ ผสมน้ำยากันซึม</t>
  </si>
  <si>
    <t>3.6.5</t>
  </si>
  <si>
    <t xml:space="preserve"> - งานฉาบผนัง คสล. (C)</t>
  </si>
  <si>
    <t xml:space="preserve"> - งานก่ออิฐมอญครึ่งแผ่น (B)</t>
  </si>
  <si>
    <t xml:space="preserve"> - หลังคา SKY LIGHT หนา 12 มม.</t>
  </si>
  <si>
    <t xml:space="preserve">  - SIDING METAL SHEET หนา 0.63 มม.</t>
  </si>
  <si>
    <t>พื้นลานจอดรถ,ทางเท้า</t>
  </si>
  <si>
    <t>MDB</t>
  </si>
  <si>
    <t>GENERATOR</t>
  </si>
  <si>
    <t xml:space="preserve"> - C.D1 ประตูกระจกบานเปลือยสวิงคู่พร้อมช่องแสงติดตาย กระจกลามิเนตเขียวใสตัดแสง 6 + 6 มม. ขนาด 8.10 x 5.60 มม.</t>
  </si>
  <si>
    <t xml:space="preserve"> - C.D4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2.10 x 2.55 มม.</t>
  </si>
  <si>
    <t xml:space="preserve"> - C.D5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1.30 x 2.55 มม.</t>
  </si>
  <si>
    <t xml:space="preserve"> - C.W3 ช่องแสงกระจกบานเปลือยติดตาย  กระจกลามิเนตเขียวใสตัดแสง 6+6 มม. ขนาด 8.10 x 4.40 มม.</t>
  </si>
  <si>
    <t xml:space="preserve"> - C.W3.1 ช่องแสงกระจกบานเปลือยติดตาย  กระจกลามิเนตเขียวใสตัดแสง 6+6 มม. ขนาด 8.10 x 5.60 มม.</t>
  </si>
  <si>
    <t>W3.1</t>
  </si>
  <si>
    <t>โถงทางเข้า,โถงทางเดิน,พักคอย</t>
  </si>
  <si>
    <t>ประชุม 1</t>
  </si>
  <si>
    <t>ประชุม 2</t>
  </si>
  <si>
    <t>ทางลาด ST-04</t>
  </si>
  <si>
    <t>งานบันไดและราวจับบันได</t>
  </si>
  <si>
    <t xml:space="preserve"> - จมูกบันไดอลูมิเนียม ขนาด 2"</t>
  </si>
  <si>
    <t>3.1.5.4</t>
  </si>
  <si>
    <t>3.1.5.5</t>
  </si>
  <si>
    <t>3.1.5.6</t>
  </si>
  <si>
    <t>สำนักงาน1.1 (ฝ้า C1)</t>
  </si>
  <si>
    <t>สำนักงาน1.2 (ฝ้า C3)</t>
  </si>
  <si>
    <t>สำนักงาน2.1 (ฝ้า C1)</t>
  </si>
  <si>
    <t>สำนักงาน2.2 (ฝ้า C3)</t>
  </si>
  <si>
    <t>บันไดและทางลาด ST-01</t>
  </si>
  <si>
    <t>บันไดและทางลาด ST-02</t>
  </si>
  <si>
    <t>บันไดและทางลาด ST-03</t>
  </si>
  <si>
    <t>ทางลาด ST-05</t>
  </si>
  <si>
    <t>งานเบ็ดเตล็ด</t>
  </si>
  <si>
    <t xml:space="preserve"> - งานตีเส้นช่องจอดรถ</t>
  </si>
  <si>
    <t xml:space="preserve"> - คันกั้นล้อคอนกรีตสำเร็จรูป (CAR STOPPER) ขนาด 0.15 x 0.15 x 2.00 ม.</t>
  </si>
  <si>
    <t xml:space="preserve"> - งานผนังทรายล้าง (SD7)</t>
  </si>
  <si>
    <t xml:space="preserve"> - METAL SHEET เคลือบสี หนา  0.63 มม. สีและรุ่น ระบุภายหลัง</t>
  </si>
  <si>
    <t>ฝ้าคอมโพสิต C5</t>
  </si>
  <si>
    <t xml:space="preserve"> - ราวจับสแตนเลสกล่อง ขนาด 2" x 4"</t>
  </si>
  <si>
    <t xml:space="preserve"> - Di Cut สังกะสี ยกขอบ หนา 10 ซม. ทำสีดำ " อาคารศูนย์ปฏิบัติการศึกษาด้านระบบรางและอากาศยาน มหาวิทยาลัยเทคโนโลยีราชมงคลอีสาน "</t>
  </si>
  <si>
    <t xml:space="preserve"> - Di Cut สังกะสี ยกขอบ หนา 10 ซม. ทำสีดำ " อาคารศูนย์ปฏิบัติการศึกษาด้านระบบราง "</t>
  </si>
  <si>
    <t>fl roof</t>
  </si>
  <si>
    <t>system room (x4)</t>
  </si>
  <si>
    <t>ลานคอนกรีต</t>
  </si>
  <si>
    <t xml:space="preserve"> work shop</t>
  </si>
  <si>
    <t>3.15.1</t>
  </si>
  <si>
    <t>3.15.2</t>
  </si>
  <si>
    <t>3.15.3</t>
  </si>
  <si>
    <t>A-(FCU/CDU)-1/1-(1,2,3) ,36000 BTU</t>
  </si>
  <si>
    <t>D-(FCU/CDU)-1/(21,22,23,24,26,27)-(1,2) ,36000 BTU</t>
  </si>
  <si>
    <t>D-(FCU/CDU)-1/25-(1,2,3,4) ,48000 BTU</t>
  </si>
  <si>
    <t>C-(FCU/CDU)-2/5-(1,2) ,48000 BTU</t>
  </si>
  <si>
    <t>D-(FCU/CDU)-2/1-(1,2) ,36000 BTU</t>
  </si>
  <si>
    <t>D-(FCU/CDU)-2/2 ,36000 BTU</t>
  </si>
  <si>
    <t>D-(FCU/CDU)-2/3-(1,2) ,36000 BTU</t>
  </si>
  <si>
    <t>D-(FCU/CDU)-2/4-(1,2) ,36000 BTU</t>
  </si>
  <si>
    <t>D-(FCU/CDU)-2/5 ,36000 BTU</t>
  </si>
  <si>
    <t>D-(FCU/CDU)-2/(6-12)-(1,2) ,36000 BTU</t>
  </si>
  <si>
    <t xml:space="preserve"> A-EF-1/(9,10) , 300 cfm</t>
  </si>
  <si>
    <t xml:space="preserve"> C-EF-1/3-(1,2) , 1000 cfm</t>
  </si>
  <si>
    <t xml:space="preserve"> D-EF-1/29 , 300 cfm</t>
  </si>
  <si>
    <t xml:space="preserve"> D-EF-1/(34,36) , 200 cfm</t>
  </si>
  <si>
    <t xml:space="preserve"> D-EF-1/(35,37) , 200 cfm</t>
  </si>
  <si>
    <t>A-EF-2/(15,16) , 300 cfm</t>
  </si>
  <si>
    <t>D-EF-2/14 , 300 cfm</t>
  </si>
  <si>
    <t>D-EF-2/19 , 1000 cfm</t>
  </si>
  <si>
    <t xml:space="preserve"> A-EF-3/(1-10) , 50 cfm</t>
  </si>
  <si>
    <t xml:space="preserve"> A-EF-3/11 , 60 cfm</t>
  </si>
  <si>
    <t xml:space="preserve"> A-EF-3/(12-27) , 30 cfm</t>
  </si>
  <si>
    <t xml:space="preserve"> A-EF-3/(28,29) , 100 cfm</t>
  </si>
  <si>
    <t xml:space="preserve"> A-EF-3/30 , 220 cfm</t>
  </si>
  <si>
    <t xml:space="preserve"> A-EF-3/(31,32) , 300 cfm</t>
  </si>
  <si>
    <t xml:space="preserve"> A-EF-3/33 , 200 cfm</t>
  </si>
  <si>
    <t xml:space="preserve"> A-EF-3/34 , 80 cfm</t>
  </si>
  <si>
    <t xml:space="preserve"> A-EF-3/35 , 400 cfm</t>
  </si>
  <si>
    <t xml:space="preserve"> A-EF-3/36 , 80 cfm</t>
  </si>
  <si>
    <t xml:space="preserve"> D-EF-3/22 , 300 cfm</t>
  </si>
  <si>
    <t xml:space="preserve">  - Dia. 3" </t>
  </si>
  <si>
    <t xml:space="preserve">  - DIA. 3"</t>
  </si>
  <si>
    <t>4.3.1.3</t>
  </si>
  <si>
    <t>D3.1</t>
  </si>
  <si>
    <t>D3.2</t>
  </si>
  <si>
    <t>D8.1</t>
  </si>
  <si>
    <t>D21</t>
  </si>
  <si>
    <t>D22</t>
  </si>
  <si>
    <t>D23</t>
  </si>
  <si>
    <t>W2.1</t>
  </si>
  <si>
    <t>W6.2</t>
  </si>
  <si>
    <t>W7.2</t>
  </si>
  <si>
    <t>W7.3</t>
  </si>
  <si>
    <t>W9.1</t>
  </si>
  <si>
    <t>W18</t>
  </si>
  <si>
    <t>W19</t>
  </si>
  <si>
    <t>W20</t>
  </si>
  <si>
    <t xml:space="preserve"> - D.D8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2.00 x 2.50 มม.</t>
  </si>
  <si>
    <t xml:space="preserve"> - D.D8.1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2.00 x 2.05 มม.</t>
  </si>
  <si>
    <t xml:space="preserve"> - D.D10 ประตูบานเปิดคู่พร้อมหน้าต่างบานกระทุ้งกระจกช่องแสง ประตูเหล็กทนไฟตามมาตรฐาน มอก. ทนไฟไม่น้อยกว่า 2 ชม. วงกบเหล็ก มียางกันควันติดที่วงกบ 2''x4'' อบสี ขนาด 4.55 x 2.40 มม.</t>
  </si>
  <si>
    <t xml:space="preserve"> - D.D13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t>
  </si>
  <si>
    <t xml:space="preserve"> - D.D14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t>
  </si>
  <si>
    <t>ห้องน้ำคนพิการ 1</t>
  </si>
  <si>
    <t xml:space="preserve"> - ฝักบัว</t>
  </si>
  <si>
    <t xml:space="preserve"> - ก็อกอ่างล้างมือ</t>
  </si>
  <si>
    <t>พื้นที่ล้างตัว 1</t>
  </si>
  <si>
    <t>พื้นที่ล้างตัว 2</t>
  </si>
  <si>
    <t xml:space="preserve"> - บานกระจกเงาหนา 6 มม. ขนาด 2.80  x 1.00 ม.</t>
  </si>
  <si>
    <t xml:space="preserve"> - บานกระจกเงาหนา 6 มม. ขนาด 3.00  x 1.00 ม.</t>
  </si>
  <si>
    <t xml:space="preserve"> - บานกระจกเงาหนา 6 มม. ขนาด 1.00  x 1.00 ม.(ห้องน้ำผู้พิการ)</t>
  </si>
  <si>
    <t xml:space="preserve"> - บานกระจกเงาหนา 6 มม. ขนาด 5.60  x 1.00 ม. </t>
  </si>
  <si>
    <t xml:space="preserve"> - บานกระจกเงาหนา 6 มม. ขนาด 3.70  x 1.00 ม.</t>
  </si>
  <si>
    <t xml:space="preserve"> - ที่ใส่กระดาษชำระ (ห้องผู้พิการ)</t>
  </si>
  <si>
    <t xml:space="preserve"> - โถสุขภัณฑ์สองชิ้น</t>
  </si>
  <si>
    <t xml:space="preserve"> - โถสุขภัณฑ์สองชิ้น  (ห้องน้ำผู้พิการ)</t>
  </si>
  <si>
    <t>งานสุขภัณฑ์ (ห้องน้ำชาย 1,2,ห้องน้ำหญิง1,2,ห้องน้ำผู้พิการ)</t>
  </si>
  <si>
    <t xml:space="preserve"> - TOP หินแกรนิตสีดำจีน หนา 25 มม.</t>
  </si>
  <si>
    <t>เฉลียง(F1ทางเข้า,F4ทางเข้าหลัก)</t>
  </si>
  <si>
    <t>HALL CORRIDOR (F1โถงทางเข้า,โถงทางเข้าหลัก)</t>
  </si>
  <si>
    <t>สำนักงาน</t>
  </si>
  <si>
    <t xml:space="preserve">EXTRA 01 </t>
  </si>
  <si>
    <t>EXTRA 02</t>
  </si>
  <si>
    <t>EXTRA 03</t>
  </si>
  <si>
    <t>EXTRA 04</t>
  </si>
  <si>
    <t>EXTRA 05</t>
  </si>
  <si>
    <t>EXTRA 06</t>
  </si>
  <si>
    <t xml:space="preserve">ห้องโถงงานระบบ </t>
  </si>
  <si>
    <t>ห้องระบบ 6</t>
  </si>
  <si>
    <t>ห้องระบบ 7</t>
  </si>
  <si>
    <t>ห้องระบบ 8</t>
  </si>
  <si>
    <t>ห้องระบบ 9</t>
  </si>
  <si>
    <t>ห้องระบบ 10</t>
  </si>
  <si>
    <t>ห้องระบบ 11</t>
  </si>
  <si>
    <t>จุดล้างตัว 1</t>
  </si>
  <si>
    <t>จุดล้างตัว 2</t>
  </si>
  <si>
    <t>ห้องน้ำผู้พิการ 1/1</t>
  </si>
  <si>
    <t xml:space="preserve">ห้องน้ำหญิง 1/1 WC  </t>
  </si>
  <si>
    <t xml:space="preserve">ห้องน้ำชาย 1/1 WC </t>
  </si>
  <si>
    <t xml:space="preserve">ห้องน้ำหญิง 2/1 WC </t>
  </si>
  <si>
    <t>WORK SHOP 01</t>
  </si>
  <si>
    <t>WORK SHOP 02</t>
  </si>
  <si>
    <t>WORK SHOP 03</t>
  </si>
  <si>
    <t>WORK SHOP 04</t>
  </si>
  <si>
    <t>WORK SHOP 05</t>
  </si>
  <si>
    <t>WORK SHOP 06</t>
  </si>
  <si>
    <t>WORK SHOP 07</t>
  </si>
  <si>
    <t>WORK SHOP 08</t>
  </si>
  <si>
    <t>WORK SHOP 09</t>
  </si>
  <si>
    <t>WORK SHOP 10</t>
  </si>
  <si>
    <t>WORK SHOP 11</t>
  </si>
  <si>
    <t>WORK SHOP 12</t>
  </si>
  <si>
    <t>WORK SHOP 13</t>
  </si>
  <si>
    <t>WORK SHOP 14</t>
  </si>
  <si>
    <t>WORK SHOP 15</t>
  </si>
  <si>
    <t>WORK SHOP 16</t>
  </si>
  <si>
    <t>WORK SHOP 17</t>
  </si>
  <si>
    <t>WORK SHOP 18</t>
  </si>
  <si>
    <t>WORK SHOP 19</t>
  </si>
  <si>
    <t>WORK SHOP 20</t>
  </si>
  <si>
    <t>WORK SHOP 21</t>
  </si>
  <si>
    <t>WORK SHOP 22</t>
  </si>
  <si>
    <t xml:space="preserve">บันไดเหล็ก ST-01 </t>
  </si>
  <si>
    <t>cheker plat</t>
  </si>
  <si>
    <t>โถงทางเข้า,ทางเดิน</t>
  </si>
  <si>
    <t>โถงงานระบบ</t>
  </si>
  <si>
    <t>ห้องงานระบบ 2</t>
  </si>
  <si>
    <t xml:space="preserve">ห้องน้ำชาย 1/2 WC </t>
  </si>
  <si>
    <t xml:space="preserve">ห้องน้ำหญิง 1/2 WC  </t>
  </si>
  <si>
    <t>ห้องน้ำผู้พิการ 1/2</t>
  </si>
  <si>
    <t xml:space="preserve">ห้องน้ำหญิง 2/2 WC  </t>
  </si>
  <si>
    <t xml:space="preserve">ห้องน้ำหญิง 2/2 WC </t>
  </si>
  <si>
    <t>หลังคาคอนกรีต</t>
  </si>
  <si>
    <t>ทางเดิน</t>
  </si>
  <si>
    <t>ห้องไม่มีชื่อ</t>
  </si>
  <si>
    <t xml:space="preserve">ห้องงานระบบ </t>
  </si>
  <si>
    <t>โถงบันได ST-04/R</t>
  </si>
  <si>
    <t>โถงบันได ST-05/R</t>
  </si>
  <si>
    <t>บันได ST-02/1  (1&gt;&gt;&gt;&gt;2)</t>
  </si>
  <si>
    <t>บันได ST-04/1   (1&gt;&gt;&gt;&gt;2)</t>
  </si>
  <si>
    <t>โถงบันได ST-04/1   (1&gt;&gt;&gt;&gt;2)</t>
  </si>
  <si>
    <t>บันได ST-05/1   (1&gt;&gt;&gt;&gt;2)</t>
  </si>
  <si>
    <t>โถงบันได ST-05/1   (1&gt;&gt;&gt;&gt;2)</t>
  </si>
  <si>
    <t>บันได ST-02/2  (2 &gt;&gt;&gt;&gt;3)</t>
  </si>
  <si>
    <t>บันได ST-04/2   (2 &gt;&gt;&gt;&gt;3)</t>
  </si>
  <si>
    <t>โถงบันได ST-04/2  (2 &gt;&gt;&gt;&gt;3)</t>
  </si>
  <si>
    <t>บันได ST-05/2  (2 &gt;&gt;&gt;&gt;3)</t>
  </si>
  <si>
    <t>โถงบันได ST-05/2  (2 &gt;&gt;&gt;&gt;3)</t>
  </si>
  <si>
    <t>บันได ST-04/3 (3 &gt;&gt;&gt;&gt;R)</t>
  </si>
  <si>
    <t>โถงบันได ST-04/3 (3 &gt;&gt;&gt;&gt;R)</t>
  </si>
  <si>
    <t>บันได ST-05/3 (3 &gt;&gt;&gt;&gt;R)</t>
  </si>
  <si>
    <t>โถงบันได ST-05/3 (3 &gt;&gt;&gt;&gt;R)</t>
  </si>
  <si>
    <t xml:space="preserve"> - สแตนเลสก่อง ขนาด 1" x 1"</t>
  </si>
  <si>
    <t xml:space="preserve"> - สแตนเลสก่อง ขนาด 1 1/2" x 3"</t>
  </si>
  <si>
    <t xml:space="preserve"> - จมูกบันไดอลูมิเนียม ขนาด 3"</t>
  </si>
  <si>
    <t xml:space="preserve"> - F1 พื้น คสล. ขัดมัน จมูกบันไดเซาะร่องกันลื่น </t>
  </si>
  <si>
    <t>ราวบันได ST-07</t>
  </si>
  <si>
    <t>บันได ST-02 (Fl1-Fl2)</t>
  </si>
  <si>
    <t>ราวบันได ST-02 (Fl1-Fl2)</t>
  </si>
  <si>
    <t>บันได ST-04 (Fl1-Fl2)</t>
  </si>
  <si>
    <t>ราวบันได ST-04 (Fl1-Fl2)</t>
  </si>
  <si>
    <t>บันได ST-05 (Fl1-Fl2)</t>
  </si>
  <si>
    <t>ราวบันได ST-05 (Fl1-Fl2)</t>
  </si>
  <si>
    <t>บันได ST-02 (Fl2-Fl3)</t>
  </si>
  <si>
    <t>ราวบันได ST-02 (Fl2-Fl3)</t>
  </si>
  <si>
    <t>บันได ST-04 (Fl2-Fl3)</t>
  </si>
  <si>
    <t>ราวบันได ST-04 (Fl2-Fl3)</t>
  </si>
  <si>
    <t>บันได ST-05 (Fl2-Fl3)</t>
  </si>
  <si>
    <t>ราวบันได ST-05 (Fl2-Fl3)</t>
  </si>
  <si>
    <t>บันได ST-04 (Fl.3-Fl.R)</t>
  </si>
  <si>
    <t>ราวบันได ST-04 (Fl.3-Fl.R)</t>
  </si>
  <si>
    <t>บันได ST-05 (Fl.3-Fl.R)</t>
  </si>
  <si>
    <t>ราวบันได ST-05 (Fl.3-Fl.R)</t>
  </si>
  <si>
    <t xml:space="preserve"> - งานผนังโครงคร่าวเหล็ก (D)</t>
  </si>
  <si>
    <t>หลังคากันสาดอลูมิเนียม</t>
  </si>
  <si>
    <t xml:space="preserve"> - F6 พื้น คสล. คอนกรีตขัดหยาบ ผสมน้ำยากันซึม</t>
  </si>
  <si>
    <t>งานผนังอาคารภายนอก</t>
  </si>
  <si>
    <t xml:space="preserve">  - SIDING METAL SHEET  หนา  0.63 มม.</t>
  </si>
  <si>
    <t>ห้องเครื่องลิฟต์โดยสาร</t>
  </si>
  <si>
    <t>ห้องเครื่องลิฟต์ขนส่ง</t>
  </si>
  <si>
    <t>Siding</t>
  </si>
  <si>
    <t>ชนผนัง</t>
  </si>
  <si>
    <t xml:space="preserve">  - ครอบชนผนัง</t>
  </si>
  <si>
    <t>กระถาง+กันตก</t>
  </si>
  <si>
    <t>กันตก</t>
  </si>
  <si>
    <t xml:space="preserve">หน้าต่าง </t>
  </si>
  <si>
    <t>งานสุขภัณฑ์ (ห้องน้ำชาย 1,2,ห้องน้ำหญิง1,2,ห้องน้ำผู้พิการ,จุดล้างตัว1,2)</t>
  </si>
  <si>
    <t>ผนังภายนอก ด้าน  D.A</t>
  </si>
  <si>
    <t>ผนังภายนอก ด้าน  D.B</t>
  </si>
  <si>
    <t>ผนังภายนอก ด้าน  D.C</t>
  </si>
  <si>
    <t>ผนังภายนอก ด้าน  D.D</t>
  </si>
  <si>
    <t>ครอบรางหลังคา Sky Light ALUMINIUM COMPOSITE</t>
  </si>
  <si>
    <t xml:space="preserve"> - งานฉาบปูนเรียบขัดมัน ภายนอก (1) ด้าน D.B</t>
  </si>
  <si>
    <t xml:space="preserve"> - งานฉาบปูนเรียบขัดมัน ภายนอก (1) ด้าน D.C</t>
  </si>
  <si>
    <t xml:space="preserve"> - งานฉาบปูนเรียบขัดมัน ภายนอก (1) ด้าน D.D</t>
  </si>
  <si>
    <t xml:space="preserve"> - ทาสีขัดมันสำเร็จรูป ภายนอก ทาสีเคลืยบผิว (PT-01) ด้าน D.A</t>
  </si>
  <si>
    <t xml:space="preserve"> - ทาสีขัดมันสำเร็จรูป ภายนอก ทาสีเคลืยบผิว (PT-01) ด้าน D.B</t>
  </si>
  <si>
    <t xml:space="preserve"> - ทาสีขัดมันสำเร็จรูป ภายนอก ทาสีเคลืยบผิว (PT-01) ด้าน D.C</t>
  </si>
  <si>
    <t xml:space="preserve"> - ทาสีขัดมันสำเร็จรูป ภายนอก ทาสีเคลืยบผิว (PT-01) ด้าน D.D</t>
  </si>
  <si>
    <t xml:space="preserve"> - Di Cut สังกะสียกขอบ หนา 10 ซม. ทำสีดำ " อาคารศูนย์ปฏิบัติการศึกษาด้านระบบอากาศยาน "</t>
  </si>
  <si>
    <t xml:space="preserve"> - งานผนังโครงคร่าวเหล็กกรุทับด้วยแผ่นไฟเบอร์ซีเมนต์ (D6)</t>
  </si>
  <si>
    <t xml:space="preserve">ห้องน้ำชาย 2/1 WC  </t>
  </si>
  <si>
    <t>มิเตอร์น้ำ 4"</t>
  </si>
  <si>
    <t>งานไม้แบบ</t>
  </si>
  <si>
    <t>ลบ.ฟ.</t>
  </si>
  <si>
    <t>ไม้เคร่า</t>
  </si>
  <si>
    <t>-RB9</t>
  </si>
  <si>
    <t>-DB12</t>
  </si>
  <si>
    <t>-DB16</t>
  </si>
  <si>
    <t>-DB20</t>
  </si>
  <si>
    <t>-DB25</t>
  </si>
  <si>
    <t>-DB28</t>
  </si>
  <si>
    <t>DB32</t>
  </si>
  <si>
    <t>Water Proof Membrean</t>
  </si>
  <si>
    <t>แผ่นป้องกัน Water Proof Membrean</t>
  </si>
  <si>
    <t>-RB6</t>
  </si>
  <si>
    <t>-DB32</t>
  </si>
  <si>
    <t>โครงสร้างเหล็ก</t>
  </si>
  <si>
    <t>H-200x200x8x12</t>
  </si>
  <si>
    <t>H-400x200x8x13</t>
  </si>
  <si>
    <t>H-250x250x9x14</t>
  </si>
  <si>
    <t>H-300x200x8x12</t>
  </si>
  <si>
    <t>[]-100x50x3.2</t>
  </si>
  <si>
    <t>Checker Plate 6 mm</t>
  </si>
  <si>
    <t>M20</t>
  </si>
  <si>
    <t>สีกันไฟ</t>
  </si>
  <si>
    <t>H-300x150x6.5x9</t>
  </si>
  <si>
    <t>H-250x125x6x9</t>
  </si>
  <si>
    <t>[-150x75x25x3.2</t>
  </si>
  <si>
    <t>RB12</t>
  </si>
  <si>
    <t>RB15</t>
  </si>
  <si>
    <t>RB19</t>
  </si>
  <si>
    <t>H-150x150x7x10</t>
  </si>
  <si>
    <t>H-500x300x11x18</t>
  </si>
  <si>
    <t>[]-150x75x3.2</t>
  </si>
  <si>
    <t>RB9</t>
  </si>
  <si>
    <t>DB12</t>
  </si>
  <si>
    <t>DB16</t>
  </si>
  <si>
    <t>DB20</t>
  </si>
  <si>
    <t>DB25</t>
  </si>
  <si>
    <t>H-300x300x10x15</t>
  </si>
  <si>
    <t>PLATE 20</t>
  </si>
  <si>
    <t>M-25</t>
  </si>
  <si>
    <t>งานโครงสร้างหลังคา</t>
  </si>
  <si>
    <t>ไม้แบบ 60%</t>
  </si>
  <si>
    <t>งานผนังอาคารภายนอก (ชั้น 1- ชั้นดาดฟ้า)</t>
  </si>
  <si>
    <t>โถง Hangar</t>
  </si>
  <si>
    <t>งานหลังคากันสาด</t>
  </si>
  <si>
    <t xml:space="preserve"> - งานหลังคากันสาด ALUMINIUM LOUVER </t>
  </si>
  <si>
    <t>งานหลังคา METAL SHEET</t>
  </si>
  <si>
    <t>3.6.6</t>
  </si>
  <si>
    <t>3.7.5.1</t>
  </si>
  <si>
    <t>3.7.5.2</t>
  </si>
  <si>
    <t>3.10.2.1</t>
  </si>
  <si>
    <t>3.10.2.2</t>
  </si>
  <si>
    <t>3.11.5.1</t>
  </si>
  <si>
    <t>3.11.5.2</t>
  </si>
  <si>
    <t>3.11.5.3</t>
  </si>
  <si>
    <t>3.11.5.4</t>
  </si>
  <si>
    <t>3.11.5.5</t>
  </si>
  <si>
    <t>3.11.5.6</t>
  </si>
  <si>
    <t>3.11.5.7</t>
  </si>
  <si>
    <t>3.11.5.8</t>
  </si>
  <si>
    <t>3.11.5.9</t>
  </si>
  <si>
    <t>3.12.5.1</t>
  </si>
  <si>
    <t>3.12.5.2</t>
  </si>
  <si>
    <t>3.12.5.3</t>
  </si>
  <si>
    <t>3.12.5.4</t>
  </si>
  <si>
    <t>3.12.5.5</t>
  </si>
  <si>
    <t>3.12.5.6</t>
  </si>
  <si>
    <t>3.12.5.7</t>
  </si>
  <si>
    <t>3.12.6</t>
  </si>
  <si>
    <t>3.12.7</t>
  </si>
  <si>
    <t>3.12.8</t>
  </si>
  <si>
    <t>3.13.5</t>
  </si>
  <si>
    <t>3.13.5.1</t>
  </si>
  <si>
    <t>3.13.5.2</t>
  </si>
  <si>
    <t>3.13.5.3</t>
  </si>
  <si>
    <t>3.13.5.4</t>
  </si>
  <si>
    <t>3.13.6</t>
  </si>
  <si>
    <t>3.13.7</t>
  </si>
  <si>
    <t>3.13.8</t>
  </si>
  <si>
    <t>3.14.2</t>
  </si>
  <si>
    <t>3.14.3</t>
  </si>
  <si>
    <t>3.14.4</t>
  </si>
  <si>
    <t>3.14.4.1</t>
  </si>
  <si>
    <t>3.14.4.2</t>
  </si>
  <si>
    <t>3.14.4.3</t>
  </si>
  <si>
    <t>3.14.5</t>
  </si>
  <si>
    <t>3.14.6</t>
  </si>
  <si>
    <t>3.14.7</t>
  </si>
  <si>
    <t>3.15.4</t>
  </si>
  <si>
    <t>3.16.1</t>
  </si>
  <si>
    <t>งานลิฟต์โดยสารและขนส่ง อาคาร A,D</t>
  </si>
  <si>
    <t>รวมราคาหมวดงานสถาปัตยกรรม  (ส่วน A,B,C,D,E)</t>
  </si>
  <si>
    <t xml:space="preserve"> - งานทาสีกันสนิม + ทาสีทับหน้า</t>
  </si>
  <si>
    <t xml:space="preserve"> - Primer Coat + Top Coat</t>
  </si>
  <si>
    <t>ดอกเบี้ยเงินกู้            5      %</t>
  </si>
  <si>
    <t>อาคาร A,C,D</t>
  </si>
  <si>
    <t>ค่าทดสอบการรับน้ำหนักเสาเข็มด้วยวิธี Dynamic Load Test</t>
  </si>
  <si>
    <t>ค่าทดสอบความสมบูรณ์ของเสาเข็มด้วยวิธี Seismic Test</t>
  </si>
  <si>
    <t>โตรงสร้างเหล็ก</t>
  </si>
  <si>
    <t>H300x200x8x12</t>
  </si>
  <si>
    <t>Plate 10 mm</t>
  </si>
  <si>
    <t>Plate 20 mm</t>
  </si>
  <si>
    <t>[]-200x200x6</t>
  </si>
  <si>
    <t>Plate 25 mm</t>
  </si>
  <si>
    <t>M25</t>
  </si>
  <si>
    <t>อาคาร B</t>
  </si>
  <si>
    <t>H-350x350x12x19</t>
  </si>
  <si>
    <t>อาคาร E</t>
  </si>
  <si>
    <t>งานทดสอบการรับน้ำหนักเสาเข็ม</t>
  </si>
  <si>
    <t>2.2.1</t>
  </si>
  <si>
    <t>2.2.2</t>
  </si>
  <si>
    <t>2.2.3</t>
  </si>
  <si>
    <t>2.2.4</t>
  </si>
  <si>
    <t>2.2.5</t>
  </si>
  <si>
    <t>2.3.1</t>
  </si>
  <si>
    <t>2.3.2</t>
  </si>
  <si>
    <t>2.3.3</t>
  </si>
  <si>
    <t>2.4.1</t>
  </si>
  <si>
    <t>2.4.2</t>
  </si>
  <si>
    <t>2.4.3</t>
  </si>
  <si>
    <t>บัญชีแสดงปริมาณและราคา</t>
  </si>
  <si>
    <t xml:space="preserve">                 อาคารศูนย์ปฏิบัติการศึกษาด้านระบบรางและอากาศยาน มหาวิทยาลัยเทคโนโลยีราชมงคลอีสาน </t>
  </si>
  <si>
    <t xml:space="preserve"> - F2 พื้น คสล. ผิวพื้นหินขัด สีเทา</t>
  </si>
  <si>
    <t xml:space="preserve"> - F4 พื้น คสล. ทรายล้าง สีเทาเข้ม</t>
  </si>
  <si>
    <t xml:space="preserve"> - F3 พื้น คสล. กระเบื้อง 60 x 60 ซม. สีเทา ชนิดด้าน</t>
  </si>
  <si>
    <t xml:space="preserve"> - F4 พื้น คสล. ทรายล้าง สีเทาเข้ม จมูกบันไดเซาะร่องกันลื่น </t>
  </si>
  <si>
    <t xml:space="preserve"> - F2 พื้น คสล. ผิวพื้นหินขัด สีเทา จมูกบันไดเซาะร่องกันลื่น </t>
  </si>
  <si>
    <t xml:space="preserve"> - งานฉาบปูนเรียบขัดมัน ภายนอก (1) ด้าน D.A</t>
  </si>
  <si>
    <t xml:space="preserve">ราคากลาง </t>
  </si>
  <si>
    <t>กลุ่มงาน/งาน. ค่างานก่อสร้าง</t>
  </si>
  <si>
    <t>กลุ่มงาน/งาน. ครุภัณฑ์จัดซื้อ</t>
  </si>
  <si>
    <t>7.4.1</t>
  </si>
  <si>
    <t>7.4.2</t>
  </si>
  <si>
    <t>7.4.3</t>
  </si>
  <si>
    <t>7.5.1</t>
  </si>
  <si>
    <t>7.5.2</t>
  </si>
  <si>
    <t>7.5.3</t>
  </si>
  <si>
    <t>7.6.1</t>
  </si>
  <si>
    <t>7.6.2</t>
  </si>
  <si>
    <t>7.6.3</t>
  </si>
  <si>
    <t>4.2.2.3</t>
  </si>
  <si>
    <t>6.1.1.1</t>
  </si>
  <si>
    <t>6.1.1.2</t>
  </si>
  <si>
    <t>6.1.1.3</t>
  </si>
  <si>
    <t>6.1.1.4</t>
  </si>
  <si>
    <t>6.1.1.5</t>
  </si>
  <si>
    <t>6.1.1.6</t>
  </si>
  <si>
    <t>6.2.1</t>
  </si>
  <si>
    <t>6.2.1.1</t>
  </si>
  <si>
    <t>6.2.1.2</t>
  </si>
  <si>
    <t>6.2.1.3</t>
  </si>
  <si>
    <t>6.2.1.4</t>
  </si>
  <si>
    <t>6.2.1.5</t>
  </si>
  <si>
    <t>6.2.1.6</t>
  </si>
  <si>
    <t>6.3.1</t>
  </si>
  <si>
    <t>6.3.1.1</t>
  </si>
  <si>
    <t>6.3.1.2</t>
  </si>
  <si>
    <t>6.3.1.3</t>
  </si>
  <si>
    <t>6.3.1.4</t>
  </si>
  <si>
    <t>6.3.1.5</t>
  </si>
  <si>
    <t>6.3.1.6</t>
  </si>
  <si>
    <t>งานประตูโรงเก็บเครื่องบิน (อาคาร D)</t>
  </si>
  <si>
    <t>แบบ ปร.4 และ ปร.5(ก),ปร.5(ข) ที่แนบ</t>
  </si>
  <si>
    <t>PT6</t>
  </si>
  <si>
    <t>Fiber 10 mm</t>
  </si>
  <si>
    <t>Texture</t>
  </si>
  <si>
    <t xml:space="preserve"> - ทาสีเคลืยบขัดมันสำเร็จรูป   (PT-06)</t>
  </si>
  <si>
    <t xml:space="preserve"> - งานผนังกรุแผ่นซีเมนต์บอร์ด หนา 10 มม .ทาสีเคลืยบขัดมัน (D6)</t>
  </si>
  <si>
    <t xml:space="preserve"> - งานผนังพ่นลายหินธรรมชาติ สีดำ (PT-05)</t>
  </si>
  <si>
    <t xml:space="preserve">ผนังตกแต่ง </t>
  </si>
  <si>
    <t>สีขัดมัน</t>
  </si>
  <si>
    <t xml:space="preserve"> - หลังคา SKY LIGHT กระจก หนา 12 มม.</t>
  </si>
  <si>
    <t>บาท/ถัง</t>
  </si>
  <si>
    <t>พื้นที่ทาสีทั้งหมดในนอก</t>
  </si>
  <si>
    <t>รวมปริมาณงานทั้งหมดทุกอาคาร</t>
  </si>
  <si>
    <t>งานทาสีขัดมันทั้งโครงการ</t>
  </si>
  <si>
    <t>ราคาสีขัดมันขนาดถุง 15 กิโล ใช้งานได้ 30 - 37.5 ตร.ม.</t>
  </si>
  <si>
    <t>ถัง</t>
  </si>
  <si>
    <t xml:space="preserve"> - METAL SHEET เคลืยบสี หนา  0.50 มม. ระบุรุ่นภายหลัง + PU From 50 mm.</t>
  </si>
  <si>
    <t xml:space="preserve"> - Eave Flashing</t>
  </si>
  <si>
    <t xml:space="preserve"> - Cover Roof Flashing</t>
  </si>
  <si>
    <t xml:space="preserve"> - Hip Capping Flashing</t>
  </si>
  <si>
    <t xml:space="preserve">  - Self Adhesive Bitumen felt menbrane 1mm thk.</t>
  </si>
  <si>
    <t xml:space="preserve">  - Cement Board, 10 mm.</t>
  </si>
  <si>
    <t xml:space="preserve">  - Eave Flashing</t>
  </si>
  <si>
    <t xml:space="preserve">  - Hip Capping Flashing</t>
  </si>
  <si>
    <t xml:space="preserve">  - Bottom Trim Flashing</t>
  </si>
  <si>
    <t xml:space="preserve">  - Barge Flashing,</t>
  </si>
  <si>
    <t xml:space="preserve">  - Parapet Flashing</t>
  </si>
  <si>
    <t xml:space="preserve">  - Barge Flashing</t>
  </si>
  <si>
    <t>ราคารวม ( 1 - 7 )</t>
  </si>
  <si>
    <t xml:space="preserve"> - ประตูโรงเก็บเครื่องบิน HANGAR DOOR</t>
  </si>
  <si>
    <t xml:space="preserve"> - หลังคาโปร่งแสง SKY LIGHT 600 mm.</t>
  </si>
  <si>
    <t>old</t>
  </si>
  <si>
    <t>New</t>
  </si>
  <si>
    <t xml:space="preserve"> - Parapet Flashing</t>
  </si>
  <si>
    <t xml:space="preserve"> - METAL SHEET, Colorbond Thx. 0.50 mm TCT + PU Foam 2" + Facing Metal sheet</t>
  </si>
  <si>
    <t xml:space="preserve"> - A.D1 ประตูบานเปิดสวิงคู่พร้อมช่องแสงติดตาย วงกบ 2"x4" อบสีดำ ลูกฟัก กระจกลามิเนตเขียวใสตัดแสง 6 มม. ขนาด 4.15 x 2.85 มม.</t>
  </si>
  <si>
    <t xml:space="preserve"> - A.D2 ประตูบานเปิดสวิงคู่พร้อมช่องแสงติดตาย วงกบ 2"x4" อบสีดำ ลูกฟัก กระจกลามิเนตใสตัดแสง 6 มม. ขนาด 5.40 x 2.85 มม.</t>
  </si>
  <si>
    <t xml:space="preserve"> - A.D3 ประตูบานเปิดสวิงคู่พร้อมช่องแสงติดตาย วงกบ 2"x4" อบสีดำ ลูกฟัก กระจกลามิเนตใสตัดแสง 6 มม. ขนาด 5.40 x 2.85 มม.</t>
  </si>
  <si>
    <t xml:space="preserve"> - A.D4 ประตูบานเปิดสวิงคู่พร้อมช่องแสงติดตาย วงกบ 2"x4" อบสีดำ ลูกฟัก กระจกลามิเนตใสตัดแสง 6 มม. ขนาด 2.10 x 2.85 มม.</t>
  </si>
  <si>
    <t xml:space="preserve"> - A.D5 ประตูบานเปิดเดี่ยวพร้อมเกล็ดระบายอากาศด้านล่าง วงกบ ขนาด 2"x5" ทำสีตามตัวอย่าง ขนาด 0.80 x 2.05 มม.</t>
  </si>
  <si>
    <t xml:space="preserve"> - A.D6 ประตูบานเปิดคู่พร้อมช่องแสงติดตาย วงกบ ขนาด 2"x4" ทำสีตามตัวอย่าง ลูกฟัก กระจกลามิเนตใสตัดแสง 6 มม. ขนาด 2.10 x 2.85 มม.</t>
  </si>
  <si>
    <t xml:space="preserve"> - A.D6.1 ประตูบานเปิดคู่พร้อมช่องแสงติดตาย วงกบ ขนาด 2"x4" ทำสีตามตัวอย่าง ลูกฟัก กระจกลามิเนตใสตัดแสง 6 มม. ขนาด 2.10 x 2.50 มม.</t>
  </si>
  <si>
    <t xml:space="preserve"> - A.D8 ประตูบานเปิดสวิงคู่พร้อมช่องแสงติดตาย วงกบ 2"x4" อบสีดำ ลูกฟัก กระจกลามิเนตเขียวใสตัดแสง 6 มม. ขนาด 7.40 x 2.85 มม.</t>
  </si>
  <si>
    <t xml:space="preserve"> - A.D9 ประตูบานเปิดสวิงคู่พร้อมช่องแสงติดตาย วงกบ 2"x4" อบสีดำ ลูกฟัก กระจกลามิเนตใสตัดแสง 6 มม. ขนาด 2.10 x 2.50 มม.</t>
  </si>
  <si>
    <t xml:space="preserve"> - A.D9.1 ประตูบานเปิดสวิงคู่พร้อมช่องแสงติดตาย วงกบ 2"x4" อบสีดำ ลูกฟัก กระจกลามิเนตใสตัดแสง 6 มม. ขนาด 2.10 x 2.85 มม.</t>
  </si>
  <si>
    <t xml:space="preserve"> - A.D11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t>
  </si>
  <si>
    <t xml:space="preserve"> - A.D12 ประตูบานเลื่อนสำเร็จรูป สีเทา (หรือเทียบเท่า) ขนาด 1.00 x 2.50 มม.</t>
  </si>
  <si>
    <t xml:space="preserve"> - A.D14 ประตูบานเปิดเดี่ยวพร้อมช่องแสงติดตาย วงกบ ขนาด 2"x4" ทำสีตามตัวอย่าง ลูกฟัก กระจกลามิเนตใส 6 มม. ขนาด 1.10 x 2.50 มม.</t>
  </si>
  <si>
    <t xml:space="preserve"> - A.D15 ประตูบานเปิดคู่พร้อมช่องแสงติดตาย วงกบ 2"x4" อบสีดำ ลูกฟัก กระจกลามิเนตใส 6 มม. ขนาด 5.40 x 2.50 มม.</t>
  </si>
  <si>
    <t xml:space="preserve"> - A.D16 ประตูบานเปิดคู่พร้อมช่องแสงติดตาย วงกบ 2"x4" อบสีดำ ลูกฟัก กระจกลามิเนตใส 6 มม. ขนาด 7.00 x 2.50 มม.</t>
  </si>
  <si>
    <t xml:space="preserve"> - A.D17 ประตูบานเปิดสวิงคู่พร้อมช่องแสงติดตาย  วงกบ 2"x4" อบสีดำ ลูกฟัก กระจกลามิเนตเขียวใสตัดแสง 6 มม. ขนาด 7.00 x 2.50 มม.</t>
  </si>
  <si>
    <t xml:space="preserve"> - A.W1 หน้าต่างบานเปิดพร้อมช่องแสงติดตาย วงกบ 2"x4" อบสีดำ ลูกฟัก กระจกลามิเนตเขียวใสตัดแสง 6 มม. ขนาด 5.10 x 1.65 มม.</t>
  </si>
  <si>
    <t xml:space="preserve"> - A.W1.1 หน้าต่างบานเปิดพร้อมช่องแสงติดตาย วงกบ 2"x4" อบสีดำ ลูกฟัก กระจกลามิเนตเขียวใสตัดแสง 6 มม. ขนาด 5.10 x 3.75 มม.</t>
  </si>
  <si>
    <t xml:space="preserve"> - A.W2 ช่องแสงติดตาย วงกบ 2"x4" อบสีดำ ลูกฟัก กระจกลามิเนตเขียวใสตัดแสง 6 มม. ขนาด 5.40 x 2.35 มม.</t>
  </si>
  <si>
    <t xml:space="preserve"> - A.W3 ช่องแสงติดตาย วงกบ 2"x4" อบสีดำ ลูกฟัก กระจกลามิเนตเขียวใสตัดแสง 6 มม. ขนาด 2.60 x 2.35 มม.</t>
  </si>
  <si>
    <t xml:space="preserve"> - A.W4 หน้าต่างบานกระทุ้งพร้อมช่องแสงติดตาย วงกบ 2"x4" อบสีดำ ลูกฟัก กระจกลามิเนตเขียวใสตัดแสง 6 มม. ขนาด 5.10 x 0.50 มม.</t>
  </si>
  <si>
    <t xml:space="preserve"> - A.W4.1 หน้าต่างบานกระทุ้งพร้อมช่องแสงติดตาย วงกบ 2"x4" อบสีดำ ลูกฟัก กระจกลามิเนตใส 6 มม. ขนาด 5.10 x 1.65 มม.</t>
  </si>
  <si>
    <t xml:space="preserve"> - A.W5 หน้าต่างบานกระทุ้งพร้อมช่องแสงติดตาย วงกบ 2"x4" อบสีดำ ลูกฟัก กระจกลามิเนตเขียวใสตัดแสง 6 มม. ขนาด 1.75 x 1.65 มม.</t>
  </si>
  <si>
    <t xml:space="preserve"> - A.W5.1 หน้าต่างบานกระทุ้งพร้อมช่องแสงติดตาย วงกบ 2"x4" ลูกฟัก กระจกลามิเนตเขียวใสตัดแสง 6 มม. ขนาด 1.75 x 3.75 มม.</t>
  </si>
  <si>
    <t xml:space="preserve"> - A.W6 ช่องแสงติดตายบานสลับ วงกบ 2"x4" อบสีดำ ลูกฟัก กระจกฝ้า 6 มม. ขนาด 2.30 x 0.65 มม.</t>
  </si>
  <si>
    <t xml:space="preserve"> - A.W6.1 ช่องแสงติดตายบานสลับ วงกบ 2"x4" อบสีดำ ลูกฟัก กระจกฝ้า 6 มม. ขนาด 2.30 x 0.85 มม.</t>
  </si>
  <si>
    <t xml:space="preserve"> - A.W7 ช่องแสงติดตายบานสลับ วงกบ 2"x4" อบสีดำ ลูกฟัก กระจกฝ้า 6 มม. ขนาด 1.70 x 0.65 มม.</t>
  </si>
  <si>
    <t xml:space="preserve"> - A.W7.1 ช่องแสงติดตายบานสลับ วงกบ 2"x4" อบสีดำ ลูกฟัก กระจกฝ้า 6 มม. ขนาด 1.70 x 0.85 มม.</t>
  </si>
  <si>
    <t xml:space="preserve"> - A.W8 หน้าต่างบานเปิดพร้อมช่องแสงติดตาย วงกบ 2"x4" อบสีดำ ลูกฟัก กระจกลามิเนตเขียวใสตัดแสง 6 มม. ขนาด 3.42 x 1.65 มม.</t>
  </si>
  <si>
    <t xml:space="preserve"> - A.W9 ช่องแสงติดตาย วงกบ 2"x4" อบสีดำ ลูกฟัก กระจกลามิเนตใส 6 มม. ขนาด 3.80 x 0.50 มม.</t>
  </si>
  <si>
    <t xml:space="preserve"> - A.W10 หน้าต่างบานเปิดพร้อมช่องแสงติดตาย วงกบ 2"x4" อบสีดำ ลูกฟัก กระจกลามิเนตเขียวใสตัดแสง 6 มม. ขนาด 1.90 x 3.75 มม.</t>
  </si>
  <si>
    <t xml:space="preserve"> - A.W10.1 หน้าต่างบานเปิดพร้อมช่องแสงติดตาย วงกบ 2"x4" อบสีดำ ลูกฟัก กระจกลามิเนตเขียวใสตัดแสง 6 มม. ขนาด 1.90 x 1.65 มม.</t>
  </si>
  <si>
    <t xml:space="preserve"> - A.W10.2 หน้าต่างบานเปิด วงกบ 2"x4" อบสีดำ ลูกฟัก กระจกลามิเนตเขียวใสตัดแสง 6 มม. ขนาด 1.90 x 1.05 มม.</t>
  </si>
  <si>
    <t xml:space="preserve"> - A.W11 ช่องแสงติดตาย วงกบ 2"x4" อบสีดำ ลูกฟัก กระจกลามิเนตใส 6 มม. ขนาด 5.40 x 0.50 มม.</t>
  </si>
  <si>
    <t xml:space="preserve"> - A.W12 ช่องแสงติดตาย วงกบ 2"x4" อบสีดำ ลูกฟัก กระจกลามิเนตใส 6 มม. ขนาด 7.50 x 2.85 มม.</t>
  </si>
  <si>
    <t xml:space="preserve"> - A.W13 หน้าต่างบานเปิดพร้อมช่องแสงติดตาย วงกบ 2"x4" อบสีดำ ลูกฟัก กระจกลามิเนตเขียวใสตัดแสง 6 มม. ขนาด 4.26 x 1.65 มม.</t>
  </si>
  <si>
    <t xml:space="preserve"> - A.W14 หน้าต่างบานกระทุ้งพร้อมช่องแสงติดตาย วงกบ 2"x4" อบสีดำ ลูกฟัก กระจกลามิเนตเขียวใสตัดแสง 6 มม. ขนาด 2.00 x 1.65 มม.</t>
  </si>
  <si>
    <t xml:space="preserve"> - A.W15 หน้าต่างบานเปิดพร้อมช่องแสงติดตาย วงกบ 2"x4" อบสีดำ ลูกฟัก กระจกลามิเนตเขียวใสตัดแสง 6 มม. ขนาด 7.40 x 2.10 มม.</t>
  </si>
  <si>
    <t xml:space="preserve"> - A.W16 ช่องแสงติดตาย วงกบ 2"x4" อบสีดำ ลูกฟัก กระจกลามิเนตใส 6 มม. ขนาด 7.20 x 2.35 มม.</t>
  </si>
  <si>
    <t xml:space="preserve"> - A.W17 หน้าต่างบานเปิดพร้อมช่องแสงติดตาย วงกบ 2"x4" อบสีดำ ลูกฟัก กระจกลามิเนตเขียวใสตัดแสง 6 มม. ขนาด 0.89 x 1.65 มม.</t>
  </si>
  <si>
    <t xml:space="preserve"> - B.D1 ประตูบานเหล็กม้วน วงกบเหล็ก 2"x4" ทำสีตามตัวอย่าง พร้อมระบบมอเตอร์ไฟฟ้า ขนาด 5.50 x 2.50 มม.</t>
  </si>
  <si>
    <t xml:space="preserve"> - B.D3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t>
  </si>
  <si>
    <t xml:space="preserve"> - B.W1 หน้าต่างบานเปิดพร้อมช่องแสงติดตาย วงกบ 2"x4" อบสีดำ ลูกฟัก กระจกลามิเนตเขียวใสตัดแสง 6 มม. ขนาด 5.10 x 1.65 มม.</t>
  </si>
  <si>
    <t xml:space="preserve"> - B.W2 หน้าต่างบานกระทุ้งพร้อมช่องแสงติดตาย วงกบ 2"x4" อบสีดำ ลูกฟัก กระจกลามิเนตเขียวใสตัดแสง 6 มม. ขนาด 5.10 x 1.65 มม.</t>
  </si>
  <si>
    <t xml:space="preserve"> - B.W3 ช่องแสงติดตายบานสลับ วงกบ 2"x4" อบสีดำ ลูกฟัก กระจกลามิเนตเขียวใสตัดแสง 6 มม. ขนาด 2.30 x 0.60 มม.</t>
  </si>
  <si>
    <t xml:space="preserve"> - B.W4 ช่องแสงบานเกล็ด วงกบ 2"x4" อบสีขาวควันบุหรี่ ขนาด 5.60 x 1.20 มม.</t>
  </si>
  <si>
    <t xml:space="preserve"> - B.W5 ช่องแสงติดตาย วงกบ 2"x4" อบสีดำ ลูกฟัก กระจกใส 6 มม. ขนาด 5.60 x 0.80 มม.</t>
  </si>
  <si>
    <t xml:space="preserve"> - C.D2 ประตูกระจกบานเปลือยสวิงคู่พร้อมช่องแสงติดตาย วงกบ 2"x4" อบสีดำ ลูกฟัก กระจกลามิเนตเขียวใส 3+3 มม. ขนาด 7.90 x 4.40 มม.</t>
  </si>
  <si>
    <t xml:space="preserve"> - C.D3 ประตูกระจกบานเปลือยสวิงคู่พร้อมช่องแสงติดตาย วงกบ 2"x4" อบสีดำ ลูกฟัก กระจกลามิเนตเขียวใส 3+3 มม. ขนาด 2.10 x 4.40 มม.</t>
  </si>
  <si>
    <t xml:space="preserve"> - C.D6 ประตูบานเหล็กม้วน วงกบเหล็ก 2"x4" ทำสีตามตัวอย่าง ระบบมือดึง ขนาด 3.00 x 2.50 มม.</t>
  </si>
  <si>
    <t xml:space="preserve"> - C.W1 หน้าต่างบานกระทุ้งพร้อมช่องแสงติดตาย วงกบ 2"x4" อบสีดำ ลูกฟัก กระจกลามิเนตเขียวใสตัดแสง 6 มม. ขนาด 7.90 x 3.85 มม.</t>
  </si>
  <si>
    <t xml:space="preserve"> - C.W2 ช่องแสงติดตาย วงกบ 2"x4" อบสีดำ ลูกฟัก กระจกลามิเนตเขียวใส 6 มม. ขนาด 7.90 x 3.85 มม.</t>
  </si>
  <si>
    <t xml:space="preserve"> - C.W4 ช่องแสงบานเกล็ดอลูมิเนียม วงกบ 2"x4" อบสีดำ ขนาด 1.80 x 1.25 มม.</t>
  </si>
  <si>
    <t xml:space="preserve">จอแสดงสื่อประชาสัมพันธ์การบินแบบที่ 1 </t>
  </si>
  <si>
    <t>ป้ายแสดงโซน</t>
  </si>
  <si>
    <t>ป้าน</t>
  </si>
  <si>
    <t>ฝ้าโค้งสำเร็จพร้อมติดตั้ง</t>
  </si>
  <si>
    <t>ฝ้าเพดานพร้อมฉาบและทาสี</t>
  </si>
  <si>
    <t>เสาครึ่งวงกลมปิดลามิเนต</t>
  </si>
  <si>
    <t>ม่านม้วนพร้อมติดตั้ง</t>
  </si>
  <si>
    <t xml:space="preserve">บอร์ดสำเร็จสำหรับโซนทางเข้า </t>
  </si>
  <si>
    <t>หน้าต่างบาน FIX กระจกใส</t>
  </si>
  <si>
    <t>วอลเปเปอร์ตกแต่งบริเวณหน้าต่าง</t>
  </si>
  <si>
    <t>พรมทอพร้อมติดตั้ง</t>
  </si>
  <si>
    <t>ระบบแสงสว่างสำหรับโซนทางเข้า</t>
  </si>
  <si>
    <t>ระบบ</t>
  </si>
  <si>
    <t xml:space="preserve">โซนทางเข้า (ATC Area) </t>
  </si>
  <si>
    <t xml:space="preserve">โซนเคาน์เตอร์เช็คอิน (Check in zone) </t>
  </si>
  <si>
    <t>เครื่องคอมพิวเตอร์ All In One สำหรับงานประมวลผล</t>
  </si>
  <si>
    <t>เครื่อง</t>
  </si>
  <si>
    <t>จอแสดงสื่อการบิน</t>
  </si>
  <si>
    <t>จอ</t>
  </si>
  <si>
    <t>อุปกรณ์เชื่อมสื่อประชาสัมพันธ์</t>
  </si>
  <si>
    <t>เครื่องพิมพ์ฉลากสำหรับเคาน์เตอร์เช็คอิน</t>
  </si>
  <si>
    <t>เครื่องชั่งน้ำหนักแบบดิจิตอล</t>
  </si>
  <si>
    <t>แท่นสายพานลำเลียงแบบมอเตอร์</t>
  </si>
  <si>
    <t>เครื่องสแกนบาร์โค้ดชนิดมือถือ</t>
  </si>
  <si>
    <t>อัน</t>
  </si>
  <si>
    <t>บอร์ดสำเร็จสำหรับโซนเคาน์เตอร์เช็คอิน</t>
  </si>
  <si>
    <t>ไฟ LED บริเวณฝ้า</t>
  </si>
  <si>
    <t>ตัวหนังสือ Stainless สำหรับโซนเคาน์เตอร์เช็คอิน</t>
  </si>
  <si>
    <t>ระบบแสงสว่างสำหรับโซนเคาน์เตอร์เช็คอิน</t>
  </si>
  <si>
    <t>โซนจุดตรวจสอบสัมภาระ (Security Check Point Zone)</t>
  </si>
  <si>
    <t>เครื่องสแกนโลหะชนิดมือถือ</t>
  </si>
  <si>
    <t>เครื่องสแกนโลหะชนิดเดินผ่าน (Walk Through)</t>
  </si>
  <si>
    <t>โต๊ะตรวจสัมภาระ</t>
  </si>
  <si>
    <t>บอร์ดสำเร็จสำหรับโซนจุดตรวจสอบสัมภาระ</t>
  </si>
  <si>
    <t>ระบบแสงสว่างสำหรับโซนจุดตรวจสอบสัมภาระ</t>
  </si>
  <si>
    <t>โซนจุดตรวจคนเข้าเมือง (Immigration Area Zone)</t>
  </si>
  <si>
    <t>เคาน์เตอร์ Immigration</t>
  </si>
  <si>
    <t>ฝ้าตกแต่งบริเวณโค้งทางเข้าเคาน์เตอร์</t>
  </si>
  <si>
    <t>บอร์ดสำเร็จสำหรับโซนจุดตรวจคนเข้าเมือง</t>
  </si>
  <si>
    <t>กระเบื้องยางพร้อมติดตั้ง</t>
  </si>
  <si>
    <t>ตัวหนังสือ Stainless สำหรับโซนจุดตรวจคนเข้าเมือง</t>
  </si>
  <si>
    <t>ระบบแสงสว่างสำหรับโซนจุดตรวจคนเข้าเมือง</t>
  </si>
  <si>
    <t>โซนห้องรับรอง (Lounge Zone)</t>
  </si>
  <si>
    <t>ระแนงตกแต่งผนังสำหรับโซนห้องรับรองพร้อมติดตั้ง</t>
  </si>
  <si>
    <t>ผนัง Partition สำหรับโซนห้องรับรอง</t>
  </si>
  <si>
    <t>ตัวหนังสือ Stainless สำหรับโซนห้องรับรอง</t>
  </si>
  <si>
    <t>ระบบแสงสว่างสำหรับโซนห้องรับรอง</t>
  </si>
  <si>
    <t>โซนอาคารผู้โดยสาร (Terminal Zone)</t>
  </si>
  <si>
    <t>บอร์ดสำเร็จสำหรับโซนอาคารผู้โดยสาร</t>
  </si>
  <si>
    <t>ผนัง Partition พร้อมตกแต่ง</t>
  </si>
  <si>
    <t>ระบบแสงสว่างสำหรับโซนอาคารผู้โดยสาร</t>
  </si>
  <si>
    <t xml:space="preserve">โซนประตูทางออกขึ้นเครื่อง (Boarding Gate Zone) </t>
  </si>
  <si>
    <t>ชุดไมโครโฟนไร้สายแบบคาดศีรษะ</t>
  </si>
  <si>
    <t xml:space="preserve">ลำโพงฝังฝ้า </t>
  </si>
  <si>
    <t>เครื่องขยายสัญญาณเสียง</t>
  </si>
  <si>
    <t>เคาน์เตอร์สำหรับโซนประตูทางออกขึ้นเครื่อง</t>
  </si>
  <si>
    <t>บอร์ดสำเร็จสำหรับโซนประตูทางออกขึ้นเครื่อง</t>
  </si>
  <si>
    <t>ผนังกล่องไฟติดผนังพร้อมติดตั้ง</t>
  </si>
  <si>
    <t>ตัวหนังสือ Stainless สำหรับโซนประตูทางออกขึ้นเครื่อง</t>
  </si>
  <si>
    <t>ระบบแสงสว่างสำหรับโซนประตูทางออกขึ้นเครื่อง</t>
  </si>
  <si>
    <t>โซนห้อง Grooming</t>
  </si>
  <si>
    <t>เคาน์เตอร์แต่งหน้าสำหรับห้อง Grooming</t>
  </si>
  <si>
    <t>กระจกแต่งหน้า</t>
  </si>
  <si>
    <t>กระจกแต่งตัว</t>
  </si>
  <si>
    <t>ประตูกระจกบาน SWING DOOR</t>
  </si>
  <si>
    <t>บาน</t>
  </si>
  <si>
    <t>ผนังสำเร็จสำหรับโซนห้อง Grooming</t>
  </si>
  <si>
    <t>ตัวหนังสือ Stainless สำหรับโซนห้อง Grooming</t>
  </si>
  <si>
    <t>ระบบแสงสว่างสำหรับโซนห้อง Grooming</t>
  </si>
  <si>
    <t>โซนห้อง Crew Rest Area</t>
  </si>
  <si>
    <t>ประตูกระจกบานคู่ SWING DOOR</t>
  </si>
  <si>
    <t>ผนังสำเร็จสำหรับโซนห้อง Crew Rest Area</t>
  </si>
  <si>
    <t>ตัวหนังสือ Stainless สำหรับโซนห้อง Crew Rest Area</t>
  </si>
  <si>
    <t>ระบบแสงสว่างสำหรับโซนห้อง Crew Rest Area</t>
  </si>
  <si>
    <t>ระบบภาพและระบบเสียง</t>
  </si>
  <si>
    <t>อุปกรณ์สำหรับงานติดตั้งระบบภาพและเสียง</t>
  </si>
  <si>
    <t>Commissioning System ระบบภาพและระบบเสียง</t>
  </si>
  <si>
    <t>ระบบไฟฟ้าพร้อมอุปกรณ์และระบบเครือข่าย</t>
  </si>
  <si>
    <t>โหลดเซ็นเตอร์พร้อมระบบเครือข่าย</t>
  </si>
  <si>
    <t xml:space="preserve">โซนทางเข้าขึ้นเครื่อง (Boarding counter Zone) </t>
  </si>
  <si>
    <t xml:space="preserve">เคาน์เตอร์สำหรับโซนทางเข้าขึ้นเครื่อง </t>
  </si>
  <si>
    <t>ระแนงตกแต่งฝาเพดานสำหรับโซนทางเข้าขึ้นเครื่องพร้อมติดตั้ง</t>
  </si>
  <si>
    <t>ผนังสำเร็จสำหรับโซนทางเข้าขึ้นเครื่อง</t>
  </si>
  <si>
    <t xml:space="preserve"> - หน้าต่างบาน FIX กระจกใส Temper ความหนาไม่น้อยกว่า 10 มม. ขนาดหน้าต่างบาน FIX ขนาดไม่น้อยกว่า 3.60 ม. x 3.10 ม.</t>
  </si>
  <si>
    <t xml:space="preserve"> - หน้าต่างบาน FIX กระจกใส Temper ความหนาไม่น้อยกว่า 10 มม. ขนาดหน้าต่างบาน FIX ขนาดไม่น้อยกว่า 6.00 ม. x 3.10 ม.</t>
  </si>
  <si>
    <t>ป้ายแสดงโซนทางเข้า</t>
  </si>
  <si>
    <t>ป้าย</t>
  </si>
  <si>
    <t>เครื่องปรับอากาศขนาด 36,000 BTU พร้อมติดตั้ง</t>
  </si>
  <si>
    <t>ระบบแสงสว่างสำหรับโซนทางเข้าขึ้นเครื่อง</t>
  </si>
  <si>
    <t>ระบบไฟฟ้าพร้อมติดตั้ง</t>
  </si>
  <si>
    <t>โซนจำลองภายในเครื่องบิน (Airplane Zone)</t>
  </si>
  <si>
    <t>จอแสดงสื่อการสอนบริการการบินแบบระบบสัมผัส พร้อมซอฟต์แวร์ควบคุม</t>
  </si>
  <si>
    <t>อุปกรณ์ควบคุมจอแสดงสื่อการสอนบริการการบิน</t>
  </si>
  <si>
    <t>ชุดไมโครโฟนไร้สายแบบมือถือ</t>
  </si>
  <si>
    <t>ลำโพง</t>
  </si>
  <si>
    <t>ตู้</t>
  </si>
  <si>
    <t>เครื่องผสมสัญญาณเสียงมีแอมป์ขยายในตัว</t>
  </si>
  <si>
    <t xml:space="preserve">เก้าอี้เครื่องบินสำหรับผู้โดยสาร </t>
  </si>
  <si>
    <t>เก้าอี้เครื่องบินสำหรับลูกเรือแบบ 2 ที่นั่ง</t>
  </si>
  <si>
    <t>ช่องเก็บสัมภาระเหนือศีรษะแถวกลาง</t>
  </si>
  <si>
    <t>ช่องเก็บสัมภาระเหนือศีรษะด้านซ้าย</t>
  </si>
  <si>
    <t>ช่องเก็บสัมภาระเหนือศีรษะด้านขวา</t>
  </si>
  <si>
    <t xml:space="preserve">ประตูเข้าภายให้เครื่องบิน </t>
  </si>
  <si>
    <t xml:space="preserve">ห้องครัวภายในเครื่องบิน </t>
  </si>
  <si>
    <t>ห้องน้ำจำลอง</t>
  </si>
  <si>
    <t>ห้อง</t>
  </si>
  <si>
    <t>เครื่องปรับอากาศภายในโซนจำลองภายในเครื่องบินพร้อมติดตั้ง</t>
  </si>
  <si>
    <t>เพดาน Cabin</t>
  </si>
  <si>
    <t>พื้นภายในเครื่องบินพร้อมติดตั้ง</t>
  </si>
  <si>
    <t>บอร์ดสำเร็จสำหรับโซนจำลองภายในเครื่องบินภายนอก</t>
  </si>
  <si>
    <t>บอร์ดสำเร็จสำหรับโซนจำลองภายในเครื่องบินภายใน</t>
  </si>
  <si>
    <t>ระบบแสงสว่างสำหรับโซนจำลองภายในเครื่องบิน</t>
  </si>
  <si>
    <t>ตู้โหลดเซ็นเตอร์พร้อมระบบเครือข่าย</t>
  </si>
  <si>
    <t>ชุดปฏิบัติการจัดการและเก็บค่าโดยสารสถานีรถไฟฟ้า</t>
  </si>
  <si>
    <t>ตู้ออกตั๋วโดยสารอัตโนมัติ (TVM)</t>
  </si>
  <si>
    <t xml:space="preserve">เครื่องออกตั๋วและจองตั๋วโดยสาร (BOM)  </t>
  </si>
  <si>
    <t xml:space="preserve">ระบบซอฟต์แวร์การเก็บค่าโดยสารในสถานี </t>
  </si>
  <si>
    <t>ห้องจำหน่ายตั๋วรถไฟ</t>
  </si>
  <si>
    <t xml:space="preserve">ประตูกั้นขาเข้าสถานี </t>
  </si>
  <si>
    <t>ประตูกั้นทางออกสถานี</t>
  </si>
  <si>
    <t>อุปกรณ์ตรวจสอบความปลอดภัยด้วยการ X-ray</t>
  </si>
  <si>
    <t>เครื่องตรวจจับโลหะต้องสงสัยแบบเดินผ่าน</t>
  </si>
  <si>
    <t xml:space="preserve">เครื่องตรวจจับโลหะแบบพกพา </t>
  </si>
  <si>
    <t>เครื่องตรวจจับอุณหภูมิ</t>
  </si>
  <si>
    <t xml:space="preserve">ประตูกั้นเข้า-ออกขบวนรถไฟฟ้า </t>
  </si>
  <si>
    <t xml:space="preserve">ชุดจำลองประตูบานเลื่อนห้องโดยสารรถไฟ </t>
  </si>
  <si>
    <t>ชิ้น</t>
  </si>
  <si>
    <t>เครื่องตรวจสอบระบบไฟฟ้า</t>
  </si>
  <si>
    <t>Commissioning System ชุดปฏิบัติการจัดการและเก็บค่าโดยสารสถานีรถไฟฟ้าพร้อมอบรม</t>
  </si>
  <si>
    <t>ติดตั้งระบบไฟฟ้าชุดปฏิบัติการจัดการและเก็บค่าโดยสารสถานีรถไฟฟ้า</t>
  </si>
  <si>
    <t>งานเฟอร์นิเจอร์</t>
  </si>
  <si>
    <t xml:space="preserve"> - D.D1 ประตูบานเปิดสวิงคู่พร้อมช่องแสงติดตาย วงกบ 2"x4" อบสีดำ ลูกฟัก กระจกลามิเนตเขียวใสตัดแสง 6 มม. ขนาด 7.40 x 2.85 มม.</t>
  </si>
  <si>
    <t xml:space="preserve"> - D.D2 ประตูบานเปิดสวิงคู่พร้อมช่องแสงติดตาย วงกบ 2"x4" อบสีดำ ลูกฟัก กระจกลามิเนตใส 6 มม. ขนาด 5.40 x 2.85 มม.</t>
  </si>
  <si>
    <t xml:space="preserve"> - D.D3 ประตูบานเปิดคู่พร้อมช่องแสงติดตาย วงกบ 2"x4" ทำสีตามตัวอย่าง ลูกฟัก กระจกลามิเนตใส 6 มม. ขนาด 5.40 x 2.85 มม.</t>
  </si>
  <si>
    <t xml:space="preserve"> - D.D3.1 ประตูบานเปิดคู่พร้อมช่องแสงติดตาย วงกบ 2"x4" ทำสีตามตัวอย่าง ลูกฟัก กระจกลามิเนตใส 6 มม. ขนาด 1.90 x 2.85 มม.</t>
  </si>
  <si>
    <t xml:space="preserve"> - D.D3.2 ประตูบานเปิดคู่พร้อมช่องแสงติดตาย วงกบ 2"x4" ทำสีตามตัวอย่าง ลูกฟัก กระจกลามิเนตใส 6 มม. ขนาด 1.90 x 2.85 มม.</t>
  </si>
  <si>
    <t xml:space="preserve"> - D.D4 ประตูบานเปิดคู่พร้อมช่องแสงติดตาย วงกบ 2"x4" ทำสีตามตัวอย่าง ลูกฟัก กระจกลามิเนตใส 6 มม. ขนาด 3.70 x 2.85 มม.</t>
  </si>
  <si>
    <t xml:space="preserve"> - D.D5 ประตูบานเปิดคู่พร้อมช่องแสงติดตาย วงกบ 2"x4" ทำสีตามตัวอย่าง ลูกฟัก กระจกลามิเนตใส 6 มม. ขนาด 7.00 x 2.85 มม.</t>
  </si>
  <si>
    <t xml:space="preserve"> - D.D6 ประตูบานเปิดคู่พร้อมช่องแสงติดตาย วงกบ 2"x4" อบสีดำ ลูกฟัก กระจกลามิเนตใส 6 มม. ขนาด 2.00 x 2.85 มม.</t>
  </si>
  <si>
    <t xml:space="preserve"> - D.D7 ประตูบานเปิดคู่พร้อมช่องแสงติดตาย วงกบ 2"x4" อบสีดำ ลูกฟัก กระจกลามิเนตใส 6 มม. ขนาด 5.65 x 2.85 มม.</t>
  </si>
  <si>
    <t xml:space="preserve"> - D.D9 ประตูบานเปิดสวิงคู่พร้อมช่องแสงติดตาย วงกบ 2"x4" อบสีดำ ลูกฟัก กระจกลามิเนตใส 6 มม. ขนาด 2.10 x 2.85 มม.</t>
  </si>
  <si>
    <t xml:space="preserve"> - D.D9.1 ประตูบานเปิดสวิงคู่พร้อมช่องแสงติดตาย วงกบ 2"x4" อบสีดำ ลูกฟัก กระจกลามิเนตใส 6 มม. ขนาด 2.10 x 2.50 มม.</t>
  </si>
  <si>
    <t xml:space="preserve"> - D.D11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t>
  </si>
  <si>
    <t xml:space="preserve"> - D.D12 ประตูบานเลื่อนพร้อมเกล็ดระบายอากาศด้านล่าง วงกบ ขนาด 2"x5" ทำสีตามตัวอย่าง ขนาด 1.10 x 2.50 มม.</t>
  </si>
  <si>
    <t xml:space="preserve"> - D.D15 ประตูบานเปิดสวิงคู่พร้อมช่องแสงติดตาย วงกบ 2"x4" อบสีดำ ลูกฟัก กระจกลามิเนตใส 6 มม. ขนาด 5.40 x 2.50 มม.</t>
  </si>
  <si>
    <t xml:space="preserve"> - D.D16 ประตูบานเปิดเดี่ยวพร้อมช่องแสงติดตาย วงกบ 2"x4" ทำสีตามตัวอย่าง ลูกฟัก กระจกลามิเนตใส 6 มม. ขนาด 4.90 x 2.50 มม.</t>
  </si>
  <si>
    <t xml:space="preserve"> - D.D17 ประตูบานเปิดเดี่ยวพร้อมช่องแสงติดตาย วงกบ 2"x4" ทำสีตามตัวอย่าง ลูกฟัก กระจกลามิเนตใส 6 มม. ขนาด 5.30 x 2.50 มม.</t>
  </si>
  <si>
    <t xml:space="preserve"> - D.D18 ประตูบานเปิดเดี่ยวพร้อมช่องแสงติดตาย วงกบ 2"x4" ทำสีตามตัวอย่าง ลูกฟัก กระจกลามิเนตใส 6 มม. ขนาด 5.35 x 2.50 มม.</t>
  </si>
  <si>
    <t xml:space="preserve"> - D.D19 ประตูบานเลื่อนคู่พร้อมช่องแสงติดตาย วงกบ 2"x4" อบสีดำ ลูกฟัก กระจกลามิเนตใส 6 มม. ขนาด 23.10 x 2.50 มม.</t>
  </si>
  <si>
    <t xml:space="preserve"> - D.D20 ประตูบานเปิดคู่ วงกบ 2"x4" ทำสีตามตัวอย่าง ขนาด 1.50 x 1.05 มม.</t>
  </si>
  <si>
    <t xml:space="preserve"> - D.D21 ประตูบานเลื่อนคู่พร้อมช่องแสงติดตาย วงกบ 2"x4" อบสีดำ ลูกฟัก กระจกลามิเนตใส 6 มม. ขนาด 6.70 x 2.50 มม.</t>
  </si>
  <si>
    <t xml:space="preserve"> - D.D22 ประตูบานเปิดเดี่ยวพร้อมช่องแสงติดตาย วงกบ 2"x4" ทำสีตามตัวอย่าง ลูกฟัก กระจกลามิเนตใส 6 มม. ขนาด 5.35 x 2.50 มม.</t>
  </si>
  <si>
    <t xml:space="preserve"> - D.D23 ประตูบานเหล็กม้วน วงกบเหล็ก 2"x4" ทำสีตามตัวอย่าง พร้อมระบบมอเตอร์ไฟฟ้า ขนาด 5.40 x 2.50 มม.</t>
  </si>
  <si>
    <t xml:space="preserve"> - D.W1 หน้าต่างบานกระทุ้งพร้อมช่องแสงติดตาย วงกบ 2"x4" อบสีดำ ลูกฟัก กระจกลามิเนตเขียวใสตัดแสง 6 มม. ขนาด 5.10 x 2.40 มม.</t>
  </si>
  <si>
    <t xml:space="preserve"> - D.W2 หน้าต่างบานเปิดพร้อมช่องแสงติดตาย วงกบ 2"x4" อบสีดำ ลูกฟัก กระจกลามิเนตใส 6 มม. ขนาด 4.26 x 1.65 มม.</t>
  </si>
  <si>
    <t xml:space="preserve"> - D.W2.1 หน้าต่างบานเปิดพร้อมช่องแสงติดตาย วงกบ 2"x4" อบสีดำ ลูกฟัก กระจกลามิเนตเขียวใสตัดแสง 6 มม. ขนาด 5.05 x 1.65 มม.</t>
  </si>
  <si>
    <t xml:space="preserve"> - D.W3 ช่องแสงเกล็ดอลูมิเนียม วงกบ 2"x4" อบสีขาวควันบุหรี่ ขนาด 5.10 x 2.45 มม.</t>
  </si>
  <si>
    <t xml:space="preserve"> - D.W4 หน้าต่างบานกระทุ้งพร้อมช่องแสงติดตาย วงกบ 2"x4" อบสีดำ ลูกฟัก กระจกลามิเนตเขียวใสตัดแสง 6 มม. ขนาด 5.10 x 1.65 มม.</t>
  </si>
  <si>
    <t xml:space="preserve"> - D.W5 หน้าต่างบานเปิดพร้อมช่องแสงติดตาย วงกบ 2"x4" อบสีดำ ลูกฟัก กระจกลามิเนตเขียวใสตัดแสง 6 มม. ขนาด 5.10 x 3.75 มม.</t>
  </si>
  <si>
    <t xml:space="preserve"> - D.W6 หน้าต่างบานเปิดพร้อมช่องแสงติดตาย วงกบ 2"x4" อบสีดำ ลูกฟัก กระจกลามิเนตเขียวใสตัดแสง 6 มม. ขนาด 1.79 x 3.75 มม.</t>
  </si>
  <si>
    <t xml:space="preserve"> - D.W6.1 หน้าต่างบานเปิดพร้อมช่องแสงติดตาย วงกบ 2"x4" อบสีดำ ลูกฟัก กระจกลามิเนตเขียวใสตัดแสง 6 มม. ขนาด 1.79 x 1.65 มม.</t>
  </si>
  <si>
    <t xml:space="preserve"> - D.W6.2 หน้าต่างบานเปิด วงกบ 2"x4" อบสีดำ ลูกฟัก กระจกลามิเนตเขียวใสตัดแสง 6 มม. ขนาด 1.79 x 1.05 มม.</t>
  </si>
  <si>
    <t xml:space="preserve"> - D.W7 หน้าต่างช่องแสงติดตายบานสลับ วงกบ 2"x5" อบสีดำ ลูกฟัก กระจกลามิเนตฝ้า 6 มม. ขนาด 2.30 x 0.65 มม.</t>
  </si>
  <si>
    <t xml:space="preserve"> - D.W7.1 หน้าต่างช่องแสงติดตายบานสลับ วงกบ 2"x5" อบสีดำ ลูกฟัก กระจกลามิเนตฝ้า 6 มม. ขนาด 1.18 x 0.65 มม.</t>
  </si>
  <si>
    <t xml:space="preserve"> - D.W7.2 หน้าต่างช่องแสงติดตายบานสลับ วงกบ 2"x5" อบสีดำ ลูกฟัก กระจกลามิเนตฝ้า 6 มม. ขนาด 2.30 x 0.85 มม.</t>
  </si>
  <si>
    <t xml:space="preserve"> - D.W7.3 หน้าต่างช่องแสงติดตายบานสลับ วงกบ 2"x5" อบสีดำ ลูกฟัก กระจกลามิเนตฝ้า 6 มม. ขนาด 1.18 x 0.85 มม.</t>
  </si>
  <si>
    <t xml:space="preserve"> - D.W8 หน้าต่างบานกระทุ้งพร้อมช่องแสงติดตาย วงกบ 2"x4" อบสีดำ ลูกฟัก กระจกลามิเนตเขียวใสตัดแสง 6 มม. ขนาด 1.80 x 2.45 มม.</t>
  </si>
  <si>
    <t xml:space="preserve"> - D.W9 หน้าต่างบานกระทุ้ง วงกบ 2"x4" อบสีดำ ลูกฟัก กระจกลามิเนตเขียวใสตัดแสง 6 มม. ขนาด 2.58 x 0.60 มม.</t>
  </si>
  <si>
    <t xml:space="preserve"> - D.W9.1 หน้าต่างบานกระทุ้ง วงกบ 2"x4" อบสีดำ ลูกฟัก กระจกลามิเนตเขียวใสตัดแสง 6 มม. ขนาด 4.26 x 0.60 มม.</t>
  </si>
  <si>
    <t xml:space="preserve"> - D.W10 หน้าต่างบานกระทุ้งพร้อมช่องแสงติดตาย วงกบ 2"x4" อบสีดำ ลูกฟัก กระจกลามิเนตเขียวใสตัดแสง 6 มม. ขนาด 1.80 x 1.65 มม.</t>
  </si>
  <si>
    <t xml:space="preserve"> - D.W11 หน้าต่างบานกระทุ้งพร้อมช่องแสงติดตาย วงกบ 2"x4" อบสีดำ ลูกฟัก กระจกลามิเนตเขียวใสตัดแสง 6 มม. ขนาด 2.50 x 1.65 มม.</t>
  </si>
  <si>
    <t xml:space="preserve"> - D.W12 หน้าต่างบานกระทุ้งพร้อมช่องแสงติดตาย วงกบ 2"x4" อบสีดำ ลูกฟัก กระจกลามิเนตเขียวใสตัดแสง 6 มม. ขนาด 1.50 x 1.65 มม.</t>
  </si>
  <si>
    <t xml:space="preserve"> - D.W13 ช่องแสงเกล็ดอลูมิเนียม วงกบ 2"x4" อบสีขาวควันบุหรี่ ขนาด 6.73 x 2.45 มม.</t>
  </si>
  <si>
    <t xml:space="preserve"> - D.W14 ช่องแสงติดตาย วงกบ 2"x4" อบสีดำ ลูกฟัก กระจกลามิเนตใส 6 มม. ขนาด 5.40 x 0.65 มม.</t>
  </si>
  <si>
    <t xml:space="preserve"> - D.W15 หน้าต่างช่องแสงติดตาย วงกบ 2"x4"  อบสีดำ ลูกฟัก กระจกลามิเนตเขียวใสตัดแสง 6 มม. ขนาด 7.50 x 2.85 มม.</t>
  </si>
  <si>
    <t xml:space="preserve"> - D.W16 หน้าต่างบานกระทุ้ง วงกบ 2"x4" อบสีดำ ลูกฟัก กระจกลามิเนตเขียวใสตัดแสง 6 มม. ขนาด 2.20 x 0.50 มม.</t>
  </si>
  <si>
    <t xml:space="preserve"> - D.W17 หน้าต่างช่องแสงติดตาย วงกบ 2"x4" อบสีดำ ลูกฟัก กระจกลามิเนตใส 6 มม. ขนาด 6.35 x 2.50 มม.</t>
  </si>
  <si>
    <t xml:space="preserve"> - D.W18 หน้าต่างช่องแสงติดตาย วงกบ 2"x4" อบสีดำ ลูกฟัก กระจกลามิเนตใส 6 มม. ขนาด 12.00 x 2.50 มม.</t>
  </si>
  <si>
    <t xml:space="preserve"> - D.W19 หน้าต่างช่องแสงติดตาย วงกบ 2"x4" อบสีดำ ลูกฟัก กระจกลามิเนตใส 6 มม. ขนาด 5.40 x 2.50 มม.</t>
  </si>
  <si>
    <t xml:space="preserve"> - D.W20 หน้าต่างบานเปิดพร้อมช่องแสงติดตาย วงกบ 2"x4" อบสีดำ ลูกฟัก กระจกลามิเนตเขียวใสตัดแสง 6 มม. ขนาด 7.40 x 2.10 มม.</t>
  </si>
  <si>
    <t xml:space="preserve"> - E.D1 ประตูบานเหล็กม้วน วงกบเหล็ก 2"x4" ทำสีตามตัวอย่าง พร้อมระบบมอเตอร์ไฟฟ้า ขนาด 4.55 x 2.60 มม.</t>
  </si>
  <si>
    <t xml:space="preserve"> - E.D2 ประตูบานเหล็กม้วน วงกบเหล็ก 2"x4" ทำสีตามตัวอย่าง พร้อมระบบมอเตอร์ไฟฟ้า ขนาด 4.15 x 2.50 มม.</t>
  </si>
  <si>
    <t xml:space="preserve"> - E.D3 ประตูบานเหล็กม้วน วงกบเหล็ก 2"x4" ทำสีตามตัวอย่าง พร้อมระบบมอเตอร์ไฟฟ้า ขนาด 4.55 x 2.50 มม.</t>
  </si>
  <si>
    <t xml:space="preserve"> - E.W1 หน้าต่างบานกระทุ้งพร้อมช่องแสงติดตาย วงกบ 2"x4" อบสีดำ ลูกฟัก กระจกลามิเนตเขียวใสตัดแสง 6 มม. ขนาด 4.25 x 1.65 มม.</t>
  </si>
  <si>
    <t xml:space="preserve"> - E.W2 หน้าต่างบานเปิดพร้อมช่องแสงติดตาย วงกบ 2"x4" อบสีดำ ลูกฟัก กระจกลามิเนตเขียวใสตัดแสง 6 มม. ขนาด 4.25 x 1.65 มม.</t>
  </si>
  <si>
    <t>เก้าอี้สำนักงาน LF-01</t>
  </si>
  <si>
    <t>เก้าอี้เอนกประสงค์ LF-05</t>
  </si>
  <si>
    <t>เก้าอี้แล็คเชอร์ LF-06</t>
  </si>
  <si>
    <t>โต๊ะทำงาน 1.40X0.60 LF-07</t>
  </si>
  <si>
    <t>ชุดโซฟา coworking space 1.90X0.60X1.80  LF-08</t>
  </si>
  <si>
    <t>ชั้นวางหนังสือ 4.5X0.45X2.0 LF-09</t>
  </si>
  <si>
    <t>เคาน์เตอร์สำหรับเจ้าหน้าที่  2.40X0.80X1.1 LF-10</t>
  </si>
  <si>
    <t>เก้าอี้ผู้บริหาร LF-11</t>
  </si>
  <si>
    <t>โซฟาครึ่งวงกลม 4.060X2.770  LF-12</t>
  </si>
  <si>
    <t>เก้าอี้เลคเชอร์ ABS พร้อมที่วางกระดาษ 0.65X0.84X0.89 LF-13</t>
  </si>
  <si>
    <t xml:space="preserve">ตู้ล็อคเกอร์ 1.140X0.30X1.97  สีส้ม LF-14 </t>
  </si>
  <si>
    <t>โพเดียม   LF-15</t>
  </si>
  <si>
    <t>โต๊ะประชุมหนังระดับผู้บริหาร 6.40X1.4X0.75    LF-16</t>
  </si>
  <si>
    <t>โต๊ะประชุมหนังระดับผู้บริหาร 1.60X0.70X0.75    LF-17</t>
  </si>
  <si>
    <t>เก้าอี้ประชุมระดับผู้บริหาร 0.66X0.62X1.080    LF-20</t>
  </si>
  <si>
    <t>เก้าอี้ประชุมระดับผู้บริหาร 0.66X0.695X1.170-1.250    LF-19</t>
  </si>
  <si>
    <t>เก้าอี้พักคอยแบบ 3 ที่นั่ง 1.50X0.49X0.39 LF-22</t>
  </si>
  <si>
    <t>เก้าอี้พักคอยแบบ 3 ที่นั่ง 1.75X0.75X0.81 LF-21</t>
  </si>
  <si>
    <t>เคาน์เตอร์สำหรับเจ้าหน้าที่ A-01</t>
  </si>
  <si>
    <t>เก้าอี้สำหรับเจ้าหน้าที่ A-02</t>
  </si>
  <si>
    <t>เก้าอี้พักคอยแบบ 4 ที่นั่ง A-03</t>
  </si>
  <si>
    <t>เก้าอี้สำหรับเคาน์เตอร์ Immigration A-04</t>
  </si>
  <si>
    <t>โซฟาแบบ 3 ที่นั่งพร้อมที่เข้ามุม A-05</t>
  </si>
  <si>
    <t>โซฟาแบบ 3 ที่นั่งพร้อมที่เข้ามุม  A-06</t>
  </si>
  <si>
    <t>เก้าอี้สำหรับเคาน์เตอร์ A-07</t>
  </si>
  <si>
    <t>ที่นั่งพักคอยแบบ 4 ที่นั่ง A-08</t>
  </si>
  <si>
    <t>โต๊ะสำนักงาน แบบ 4 ที่นั่ง 2.80X1.20X0.75 LF-02</t>
  </si>
  <si>
    <t>โต๊ะในชั้นเรียน 1.40X0.55X0.75 สีส้ม LF-03</t>
  </si>
  <si>
    <t>โต๊ะในชั้นเรียน ชนิดเข้ามุม 0.878X0.573X0.75 LF-04</t>
  </si>
  <si>
    <t>โต๊ะสำนักงาน 1.50X0.60X0.75 LF-23</t>
  </si>
  <si>
    <t xml:space="preserve">อาคารศูนย์ปฏิบัติการศึกษาด้านระบบรางและอากาศยาน ตำบลหนองระเวียง อำเภอเมืองนครราชสีมา จังหวัดนครราชสีมา </t>
  </si>
  <si>
    <t>กทม</t>
  </si>
  <si>
    <t>Primoc</t>
  </si>
  <si>
    <t>โคราช</t>
  </si>
  <si>
    <t>ราคาทั่วไปท้องตลาด</t>
  </si>
  <si>
    <t>แผ่นป้องกัน waterproof membrane</t>
  </si>
  <si>
    <t>waterproof membrane</t>
  </si>
  <si>
    <t>บัชญีราคาค่าวัสดุและราคาค่าแรงปี 63</t>
  </si>
  <si>
    <t>DB28</t>
  </si>
  <si>
    <t>RB6</t>
  </si>
  <si>
    <t>Post-Tensioned system</t>
  </si>
  <si>
    <t>คอนกรีตพื้น POSTENSION (fc' 320 ksc)</t>
  </si>
  <si>
    <t>ค่าทดสอบการรับน้ำหนักเสาเข็มด้วยวิธี Seismic Load Test</t>
  </si>
  <si>
    <t>*คิด 6 เมตร*</t>
  </si>
  <si>
    <t>0.40 x 0.40 x L (45 ton/pile)</t>
  </si>
  <si>
    <t>บัชญีราคาค่าแรงปี 63</t>
  </si>
  <si>
    <t>ราคาพาณิชย์จังหวัด ปี63</t>
  </si>
  <si>
    <t>งานเสาเข็ม</t>
  </si>
  <si>
    <t xml:space="preserve">ค่าวัสดุ </t>
  </si>
  <si>
    <t>รายละเอียดปริมาณงาน</t>
  </si>
  <si>
    <t xml:space="preserve">โครงการอาคารศูนย์ปฏิบัติการศึกษาด้านระบบรางและอากาศยาน ตำบลหนองระเวียง อำเภอเมืองนครราชสีมา จังหวัดนครราชสีมา </t>
  </si>
  <si>
    <t>ชุดรับแขกพร้อมเก้าอี้ประชุม LF-24</t>
  </si>
  <si>
    <t>ชั้นวางหนังสือ 1.0X0.35X1.8 LF-25</t>
  </si>
  <si>
    <t>ตู้เก็บเอกสาร 2.4X0.40X0.90  LF-26</t>
  </si>
  <si>
    <t>ตู้เก็บเอกสาร 2.4X0.40X2.0  LF-27</t>
  </si>
  <si>
    <t>ตู้เก็บเอกสาร 2.4X0.40X2.160  LF-28</t>
  </si>
  <si>
    <t>โซฟาชุด 2.247X1.946 ส้มเทาพร้อมโต๊ะกลาง LF-29</t>
  </si>
  <si>
    <t>โซฟา Coworking space ส้มดำพร้อมโต๊ะกลาง  LF-30</t>
  </si>
  <si>
    <t>โต๊ะผู้บริหาร 2.4X1.80X0.75 ขาวส้ม LF-31</t>
  </si>
  <si>
    <t>โต๊ะผู้บริหาร  2.0X1.8X0.75 ขาวส้ม LF-32</t>
  </si>
  <si>
    <t>โต๊ะทำงาน 1.40X0.60X0.75  LF-33</t>
  </si>
  <si>
    <t>เงินล่วงหน้า จ่าย      15       %</t>
  </si>
  <si>
    <t xml:space="preserve"> - ค่าทดสอบความสามารถรับน้ำหนักบรรทุกของพื้นดิน วิธี BORING TEST</t>
  </si>
  <si>
    <t>IMC. DIA. 4"</t>
  </si>
  <si>
    <t>งานวางท่อ คสล. ปากลิ้นราง ชั้น 3 ยาว 1 เมตร (รวมทรายถมกลับหลังท่อ)</t>
  </si>
  <si>
    <t>ขุดดิน (เครื่องจักรกล)</t>
  </si>
  <si>
    <t>GATE VALVE  DIA. 4"</t>
  </si>
  <si>
    <t>CHECK VALVE  DIA. 4"</t>
  </si>
  <si>
    <t>STRAINER  DIA. 4"</t>
  </si>
  <si>
    <t>FIEXIBLE CONNECTION (STRAINLESS STEEL)  DIA. 4"</t>
  </si>
  <si>
    <t>FAUCET OR HOSE BIBB,  ANGLE  STOP  VALVE (FAU, HB, ASV)  DIA. 1/2"</t>
  </si>
  <si>
    <t>บัญชีแสดงรายการ ปริมาณ และราคา</t>
  </si>
  <si>
    <t>สรุปปริมาณงานก่อสร้าง</t>
  </si>
  <si>
    <t xml:space="preserve">  - RB9</t>
  </si>
  <si>
    <t xml:space="preserve">  - DB12</t>
  </si>
  <si>
    <t xml:space="preserve">  - DB16</t>
  </si>
  <si>
    <t xml:space="preserve">  - DB20</t>
  </si>
  <si>
    <t xml:space="preserve">  - DB25</t>
  </si>
  <si>
    <t xml:space="preserve">  - DB28</t>
  </si>
  <si>
    <t xml:space="preserve">  - DB32</t>
  </si>
  <si>
    <t>งานโครงสร้างวิศวกรรม</t>
  </si>
  <si>
    <t>งานสถาปัตยกรรม</t>
  </si>
  <si>
    <t>งานระบบไฟฟ้าและสื่อสาร</t>
  </si>
  <si>
    <t>งานระบบปรับอากาศและระบายอากาศ</t>
  </si>
  <si>
    <t>งานระบบลิฟต์</t>
  </si>
  <si>
    <t>งานครุภัณฑ์</t>
  </si>
  <si>
    <t>งานเจาะสำรวจดิน</t>
  </si>
  <si>
    <t xml:space="preserve">  - เสาเข็มสี่เหลี่ยมตันขนาด 0.40 x 0.40 x L (L = 6.00 เมตร)</t>
  </si>
  <si>
    <t xml:space="preserve">  - ค่าทดสอบการรับน้ำหนักเสาเข็มด้วยวิธี Dynamic Load Test</t>
  </si>
  <si>
    <t xml:space="preserve">  - ค่าทดสอบความสมบูรณ์ของเสาเข็มด้วยวิธี Seismic Test</t>
  </si>
  <si>
    <t xml:space="preserve">  - งานตัดหัวเสาเข็ม</t>
  </si>
  <si>
    <t xml:space="preserve">  - ไม้แบบ</t>
  </si>
  <si>
    <t xml:space="preserve">  - ไม้เคร่า</t>
  </si>
  <si>
    <t xml:space="preserve">  - ตะปู</t>
  </si>
  <si>
    <t>งานสาธารณูปโภค</t>
  </si>
  <si>
    <t>งานเหล็กเสริมคอนกรีต</t>
  </si>
  <si>
    <t>งานคอนกรีต</t>
  </si>
  <si>
    <t>งานพื้น POST-TENSIONED SYSTEM</t>
  </si>
  <si>
    <t>งานโครงสร้างเหล็กรูปพรรณ</t>
  </si>
  <si>
    <t xml:space="preserve">   H-200x200x8x12</t>
  </si>
  <si>
    <t xml:space="preserve">   H-400x200x8x13</t>
  </si>
  <si>
    <t xml:space="preserve">   H-250x250x9x14</t>
  </si>
  <si>
    <t xml:space="preserve">   H-300x200x8x12</t>
  </si>
  <si>
    <t xml:space="preserve">   []-100x50x3.2</t>
  </si>
  <si>
    <t xml:space="preserve">   Checker Plate 6 mm</t>
  </si>
  <si>
    <t xml:space="preserve">   M20</t>
  </si>
  <si>
    <t xml:space="preserve">   สีกันสนิม</t>
  </si>
  <si>
    <t xml:space="preserve">   สีกันไฟ</t>
  </si>
  <si>
    <t xml:space="preserve">Water Stop 8" </t>
  </si>
  <si>
    <t xml:space="preserve">   H-300x150x6.5x9</t>
  </si>
  <si>
    <t xml:space="preserve">   H-250x125x6x9</t>
  </si>
  <si>
    <t xml:space="preserve">   [-150x75x25x3.2</t>
  </si>
  <si>
    <t xml:space="preserve">   H-300x300x10x15</t>
  </si>
  <si>
    <t xml:space="preserve">   Plate 10 mm</t>
  </si>
  <si>
    <t xml:space="preserve">   Plate 20 mm</t>
  </si>
  <si>
    <t xml:space="preserve">   M25</t>
  </si>
  <si>
    <t xml:space="preserve">   Plate 25 mm</t>
  </si>
  <si>
    <t xml:space="preserve">   []-150x75x3.2</t>
  </si>
  <si>
    <t xml:space="preserve">   []-200x200x6</t>
  </si>
  <si>
    <t xml:space="preserve">   H-500x300x11x18</t>
  </si>
  <si>
    <t xml:space="preserve">   H-150x150x7x10</t>
  </si>
  <si>
    <t xml:space="preserve">   H-350x350x12x19</t>
  </si>
  <si>
    <t xml:space="preserve">  - RB12</t>
  </si>
  <si>
    <t xml:space="preserve">  - RB15</t>
  </si>
  <si>
    <t xml:space="preserve">  - RB19</t>
  </si>
  <si>
    <t xml:space="preserve">  - RB6</t>
  </si>
  <si>
    <t>รวมราคางานโครงสร้างวิศวกรรม</t>
  </si>
  <si>
    <t>เหล็กเส้นกลม SR24</t>
  </si>
  <si>
    <t>เหล็กข้ออ้อย SD40</t>
  </si>
  <si>
    <t xml:space="preserve">  - คอนกรีตหยาบ (fc' 180 ksc, Cylinder)</t>
  </si>
  <si>
    <t xml:space="preserve">  - คอนกรีตโครงสร้าง (fc' 280 ksc, Cylinder)</t>
  </si>
  <si>
    <t xml:space="preserve">  - คอนกรีตโครงสร้าง (fc' 320 ksc, Cylinder)</t>
  </si>
  <si>
    <t>หลังคา METAL SHEET (เคลืยบสี หนา  0.50 มม. ระบุรุ่นภายหลัง + PU From 50 mm.)</t>
  </si>
  <si>
    <t>หลังคา METAL SHEET ( เคลือบสี หนา  0.63 มม. สีและรุ่น ระบุภายหลัง)</t>
  </si>
  <si>
    <t>หลังคา METAL SHEET (เคลืยบสี หนา  0.50 มม. ระบุรุ่นภายหลัง + PU From 50 mm. + Facing Metal sheet)</t>
  </si>
  <si>
    <t>งานสุขภัณฑ์</t>
  </si>
  <si>
    <t xml:space="preserve"> - งานฉาบปูนเรียบขัดมัน  ภายนอก (1)</t>
  </si>
  <si>
    <t>บันได ST-02</t>
  </si>
  <si>
    <t xml:space="preserve">บันได ST-05 </t>
  </si>
  <si>
    <t xml:space="preserve">บันได ST-07 </t>
  </si>
  <si>
    <t>อาคาร A</t>
  </si>
  <si>
    <t xml:space="preserve">  - รางน้ำสแตนเลส พับตามแบบ</t>
  </si>
  <si>
    <t>รวมราคางานสถาปัตยกรรม</t>
  </si>
  <si>
    <t>งานระบบสุขาภิบาล ดับเพลิง และป้องกันอัคคีภัย</t>
  </si>
  <si>
    <t xml:space="preserve">  - Dia. 2" </t>
  </si>
  <si>
    <t xml:space="preserve">  - Dia. 2-1/2" </t>
  </si>
  <si>
    <t xml:space="preserve">  - Dia. 4" x 0.3 m LENGTH</t>
  </si>
  <si>
    <t xml:space="preserve">  - Dia. 2" x 0.3 m LENGTH</t>
  </si>
  <si>
    <t xml:space="preserve">  - Dia. 2-1/2"  x 0.3 m LENGTH</t>
  </si>
  <si>
    <t xml:space="preserve">  - Dia. 1/2" </t>
  </si>
  <si>
    <t xml:space="preserve">  - Dia. 3/4" </t>
  </si>
  <si>
    <t xml:space="preserve">  - Dia. 1" </t>
  </si>
  <si>
    <t xml:space="preserve">  - Dia. 1-1/2" </t>
  </si>
  <si>
    <t xml:space="preserve">  - ข้อต่อและข้องอต่างๆ (ค่าวัสดุ 40% ของราคาท่อ ค่าแรงงาน 30% ของราคาวัสดุ)</t>
  </si>
  <si>
    <t xml:space="preserve">  - อุปกรณ์ยึดและรองรับท่อ (ค่าวัสดุ 10% ของราคาท่อ ค่าแรงงาน 30% ของราคาวัสดุ)</t>
  </si>
  <si>
    <t xml:space="preserve">  - ทดสอบ ทำความสะอาด ทาสี ทำสัญลักษณ์ท่อ (ค่าวัสดุ 5% ของราคาท่อ ค่าแรงงาน 30% ของราคาวัสดุ)</t>
  </si>
  <si>
    <t xml:space="preserve">  - DIA. 1 1/2"</t>
  </si>
  <si>
    <t xml:space="preserve">  - DIA. 2"</t>
  </si>
  <si>
    <t xml:space="preserve">  - DIA. 4"</t>
  </si>
  <si>
    <t xml:space="preserve">  - DIA. 6"</t>
  </si>
  <si>
    <t>รวมราคางานสาธารณูปโภค</t>
  </si>
  <si>
    <t>Note</t>
  </si>
  <si>
    <t>- Ceiling mounted fan, direct drive (CC)</t>
  </si>
  <si>
    <t>- Ceiling mounted mini sirocco, direct drive (MNS)</t>
  </si>
  <si>
    <t>- Wall mounted, direct drive (WMD)</t>
  </si>
  <si>
    <t>- High pressure fan w/ gravity shutter, propeller, industrial type, direct drive (HPID)</t>
  </si>
  <si>
    <t>งานระบบลิฟท์</t>
  </si>
  <si>
    <t xml:space="preserve">งานครุภัณฑ์ </t>
  </si>
  <si>
    <t>รวมราคางานระบบปรับอากาศและระบายอากาศ</t>
  </si>
  <si>
    <t>รวมราคางานระบบลิฟท์</t>
  </si>
  <si>
    <t>คอนกรีตหยาบรองก้นฐานราก  (fc' 180 ksc, Cylinder)</t>
  </si>
  <si>
    <t>8.3.1</t>
  </si>
  <si>
    <t>8.4.1</t>
  </si>
  <si>
    <t>8.4.2</t>
  </si>
  <si>
    <t>8.4.3</t>
  </si>
  <si>
    <t>8.4.4</t>
  </si>
  <si>
    <t>8.4.5</t>
  </si>
  <si>
    <t>8.6.1</t>
  </si>
  <si>
    <t>8.6.2</t>
  </si>
  <si>
    <t>8.6.3</t>
  </si>
  <si>
    <t>8.6.4</t>
  </si>
  <si>
    <t>8.6.5</t>
  </si>
  <si>
    <t>8.6.6</t>
  </si>
  <si>
    <t>8.6.7</t>
  </si>
  <si>
    <t>8.6.8</t>
  </si>
  <si>
    <t>8.6.9</t>
  </si>
  <si>
    <t>8.6.10</t>
  </si>
  <si>
    <t>8.6.11</t>
  </si>
  <si>
    <t>8.7.1</t>
  </si>
  <si>
    <t>8.7.2</t>
  </si>
  <si>
    <t>งานลิฟต์โดยสารและขนส่ง</t>
  </si>
  <si>
    <t xml:space="preserve">   A-(FCU/CDU)-1/1-(1,2,3) ,36000 BTU</t>
  </si>
  <si>
    <t xml:space="preserve">   A-(FCU/CDU)-1/2-(1,2) ,30000 BTU</t>
  </si>
  <si>
    <t xml:space="preserve">   A-(FCU/CDU)-1/3-(1,2,3,4) ,48000 BTU</t>
  </si>
  <si>
    <t xml:space="preserve">   A-(FCU/CDU)-1/4-(1,2) ,48000 BTU</t>
  </si>
  <si>
    <t xml:space="preserve">   A-(FCU/CDU)-2/(1-2)-(1,2) ,42000 BTU</t>
  </si>
  <si>
    <t xml:space="preserve">   A-(FCU/CDU)-2/(3,4,5)-(1,2) ,36000 BTU</t>
  </si>
  <si>
    <t xml:space="preserve">   A-(FCU/CDU)-2/6 ,48000 BTU</t>
  </si>
  <si>
    <t xml:space="preserve">   A-(FCU/CDU)-2/(7-11) ,36000 BTU</t>
  </si>
  <si>
    <t xml:space="preserve">   A-(FCU/CDU)-2/12-(1,2,3,4) ,48000 BTU</t>
  </si>
  <si>
    <t xml:space="preserve">   A-(FCU/CDU)-A3/(1-5) ,48000 BTU</t>
  </si>
  <si>
    <t xml:space="preserve">   A-(FCU/CDU)-A3/(6-10) ,36000 BTU</t>
  </si>
  <si>
    <t xml:space="preserve">   A-(FCU/CDU)-A3/11 ,48000 BTU</t>
  </si>
  <si>
    <t xml:space="preserve">   A-(FCU/CDU)-A3/(12-27) ,18000 BTU</t>
  </si>
  <si>
    <t xml:space="preserve">   A-(FCU/CDU)-A3/28 ,36000 BTU</t>
  </si>
  <si>
    <t xml:space="preserve">   A-(FCU/CDU)-A3/29-(1,2) ,36000 BTU</t>
  </si>
  <si>
    <t xml:space="preserve">   C-(FCU/CDU)-2/1-(1,2,3,4) ,48000 BTU</t>
  </si>
  <si>
    <t xml:space="preserve">   C-(FCU/CDU)-2/2-(1,2,3,4) ,48000 BTU</t>
  </si>
  <si>
    <t xml:space="preserve">   C-(FCU/CDU)-2/3-(1,2,3) ,48000 BTU</t>
  </si>
  <si>
    <t xml:space="preserve">   C-(FCU/CDU)-2/4-(1,2,3) ,48000 BTU</t>
  </si>
  <si>
    <t xml:space="preserve">   C-(FCU/CDU)-2/5-(1,2) ,48000 BTU</t>
  </si>
  <si>
    <t xml:space="preserve">   D-(FCU/CDU)-1/(1-10)-(1,2) ,48000 BTU</t>
  </si>
  <si>
    <t xml:space="preserve">   D-(FCU/CDU)-1/(11-12)-(1,2) ,36000 BTU</t>
  </si>
  <si>
    <t xml:space="preserve">   D-(FCU/CDU)-1/13-(1,2) ,48000 BTU</t>
  </si>
  <si>
    <t xml:space="preserve">   D-(FCU/CDU)-1/14-(1,2,3,4) ,48000 BTU</t>
  </si>
  <si>
    <t xml:space="preserve">   D-(FCU/CDU)-1/15-(1,2) ,48000 BTU</t>
  </si>
  <si>
    <t xml:space="preserve">   D-(FCU/CDU)-1/16-(1,2) ,36000 BTU</t>
  </si>
  <si>
    <t xml:space="preserve">   D-(FCU/CDU)-1/17-(1,2) ,30000 BTU</t>
  </si>
  <si>
    <t xml:space="preserve">   D-(FCU/CDU)-1/18-(1,2) ,36000 BTU</t>
  </si>
  <si>
    <t xml:space="preserve">   D-(FCU/CDU)-1/(19-20)-(1,2) ,48000 BTU</t>
  </si>
  <si>
    <t xml:space="preserve">   D-(FCU/CDU)-1/(21,22,23,24,26,27)-(1,2) ,36000 BTU</t>
  </si>
  <si>
    <t xml:space="preserve">   D-(FCU/CDU)-1/25-(1,2,3,4) ,48000 BTU</t>
  </si>
  <si>
    <t xml:space="preserve">   D-(FCU/CDU)-1/28-(1,2,3) ,36000 BTU</t>
  </si>
  <si>
    <t xml:space="preserve">   D-(FCU/CDU)-2/1-(1,2) ,36000 BTU</t>
  </si>
  <si>
    <t xml:space="preserve">   D-(FCU/CDU)-2/2 ,36000 BTU</t>
  </si>
  <si>
    <t xml:space="preserve">   D-(FCU/CDU)-2/3-(1,2) ,36000 BTU</t>
  </si>
  <si>
    <t xml:space="preserve">   D-(FCU/CDU)-2/4-(1,2) ,36000 BTU</t>
  </si>
  <si>
    <t xml:space="preserve">   D-(FCU/CDU)-2/5 ,36000 BTU</t>
  </si>
  <si>
    <t xml:space="preserve">   D-(FCU/CDU)-2/(6-12)-(1,2) ,36000 BTU</t>
  </si>
  <si>
    <t xml:space="preserve">   D-(FCU/CDU)-2/13-(1,2) ,48000 BTU</t>
  </si>
  <si>
    <t xml:space="preserve">   D-(FCU/CDU)-D3/(1-7) ,48000 BTU</t>
  </si>
  <si>
    <t xml:space="preserve">   D-(FCU/CDU)-D3/(8-19) ,18000 BTU</t>
  </si>
  <si>
    <t xml:space="preserve">   D-(FCU/CDU)-D3/20 ,24000 BTU</t>
  </si>
  <si>
    <t xml:space="preserve">   D-(FCU/CDU)-D3/21-(1,2,3,4,5) ,48000 BTU</t>
  </si>
  <si>
    <t>งานระบบปรับอากาศแบบแยกส่วน (SPLIT TYPE) ระบบ Inverter</t>
  </si>
  <si>
    <t>8.3.2</t>
  </si>
  <si>
    <t>8.3.3</t>
  </si>
  <si>
    <t xml:space="preserve">   A-EF-1/1 , 150 cfm (CC)</t>
  </si>
  <si>
    <t xml:space="preserve">   A-EF-1/2 , 100 cfm (CC)</t>
  </si>
  <si>
    <t xml:space="preserve">   A-EF-1/3 , 250 cfm  (CC)</t>
  </si>
  <si>
    <t xml:space="preserve">   A-EF-1/4 , 150 cfm (CC)</t>
  </si>
  <si>
    <t xml:space="preserve">   A-EF-1/5 , 220 cfm (CC)</t>
  </si>
  <si>
    <t xml:space="preserve">   A-EF-1/6 , 250 cfm (CC)</t>
  </si>
  <si>
    <t xml:space="preserve">   A-EF-1/(7,8) , 340 cfm (WMD)</t>
  </si>
  <si>
    <t xml:space="preserve">   A-EF-1/(9,10) , 300 cfm (MNS)</t>
  </si>
  <si>
    <t xml:space="preserve">   A-EF-1/11 , 200 cfm (MNS)</t>
  </si>
  <si>
    <t xml:space="preserve">   A-EF-1/12 , 80 cfm (CC)</t>
  </si>
  <si>
    <t xml:space="preserve">   A-EF-1/13 , 400 cfm (MNS)</t>
  </si>
  <si>
    <t xml:space="preserve">   A-EF-1/14 , 80 cfm (CC)</t>
  </si>
  <si>
    <t xml:space="preserve">   A-EF-2/(1-6) , 80 cfm (CC)</t>
  </si>
  <si>
    <t xml:space="preserve">   A-EF-2/(7-11) , 100 cfm (CC)</t>
  </si>
  <si>
    <t xml:space="preserve">   A-EF-2/12 , 130 cfm (CC)</t>
  </si>
  <si>
    <t xml:space="preserve">   A-EF-2/13 , 220 cfm (CC)</t>
  </si>
  <si>
    <t xml:space="preserve">   A-EF-2/14 , 220 cfm (CC)</t>
  </si>
  <si>
    <t xml:space="preserve">   A-EF-2/(15,16) , 300 cfm (MNS)</t>
  </si>
  <si>
    <t xml:space="preserve">   A-EF-2/17 , 200 cfm (MNS)</t>
  </si>
  <si>
    <t xml:space="preserve">   A-EF-2/18 , 80 cfm (CC)</t>
  </si>
  <si>
    <t xml:space="preserve">   A-EF-2/19 , 400 cfm (MNS)</t>
  </si>
  <si>
    <t xml:space="preserve">   A-EF-2/20 , 80 cfm (CC)</t>
  </si>
  <si>
    <t xml:space="preserve">   A-EF-3/(1-10) , 50 cfm (CC)</t>
  </si>
  <si>
    <t xml:space="preserve">   A-EF-3/11 , 60 cfm (CC)</t>
  </si>
  <si>
    <t xml:space="preserve">   A-EF-3/(12-27) , 30 cfm (CC)</t>
  </si>
  <si>
    <t xml:space="preserve">   A-EF-3/(28,29) , 100 cfm (CC)</t>
  </si>
  <si>
    <t xml:space="preserve">   A-EF-3/30 , 220 cfm (CC)</t>
  </si>
  <si>
    <t xml:space="preserve">   A-EF-3/(31,32) , 300 cfm (MNS)</t>
  </si>
  <si>
    <t xml:space="preserve">   A-EF-3/33 , 200 cfm (MNS)</t>
  </si>
  <si>
    <t xml:space="preserve">   A-EF-3/34 , 80 cfm (CC)</t>
  </si>
  <si>
    <t xml:space="preserve">   A-EF-3/35 , 400 cfm (MNS)</t>
  </si>
  <si>
    <t xml:space="preserve">   A-EF-3/36 , 80 cfm (CC)</t>
  </si>
  <si>
    <t xml:space="preserve">   B-EF-1/1 , 120 cfm (CC)</t>
  </si>
  <si>
    <t xml:space="preserve">   B-EF-1/2 , 1000 cfm (HPID)</t>
  </si>
  <si>
    <t xml:space="preserve">   B-EF-1/(3-8) , 520 cfm (WMD)</t>
  </si>
  <si>
    <t xml:space="preserve">   B-EF-1/9 , 200 cfm (MNS)</t>
  </si>
  <si>
    <t xml:space="preserve">   B-EF-1/10 , 200 cfm (MNS)</t>
  </si>
  <si>
    <t xml:space="preserve">   C-EF-1/1 , 80 cfm (CC)</t>
  </si>
  <si>
    <t xml:space="preserve">   C-EF-1/(2,3) , 1000 cfm (HPID)</t>
  </si>
  <si>
    <t xml:space="preserve">   C-EF-1/3-(1,2) , 1000 cfm (HPID)</t>
  </si>
  <si>
    <t xml:space="preserve">   C-EF-2/(1,2) , 550 cfm (MNS)</t>
  </si>
  <si>
    <t xml:space="preserve">   C-EF-2/(3,4) , 250 cfm (MNS)</t>
  </si>
  <si>
    <t xml:space="preserve">   C-EF-2/5 , 80 cfm (CC)</t>
  </si>
  <si>
    <t xml:space="preserve">   C-EF-3/1 , 80 cfm (CC)</t>
  </si>
  <si>
    <t xml:space="preserve">   D-EF-1/(1-10) , 120 cfm (CC)</t>
  </si>
  <si>
    <t xml:space="preserve">   D-EF-1/(11,12) , 100 cfm  (CC)</t>
  </si>
  <si>
    <t xml:space="preserve">   D-EF-1/(13,15,16) , 120 cfm  (CC)</t>
  </si>
  <si>
    <t xml:space="preserve">   D-EF-1/14 , 200 cfm (CC)</t>
  </si>
  <si>
    <t xml:space="preserve">   D-EF-1/17 , 80 cfm (CC)</t>
  </si>
  <si>
    <t xml:space="preserve">   D-EF-1/(18,21) , 100 cfm (CC)</t>
  </si>
  <si>
    <t xml:space="preserve">   D-EF-1/(19,20) , 60 cfm (CC)</t>
  </si>
  <si>
    <t xml:space="preserve">   D-EF-1/(22,23,24) , 100 cfm (CC)</t>
  </si>
  <si>
    <t xml:space="preserve">   D-EF-1/25 , 200 cfm (CC)</t>
  </si>
  <si>
    <t xml:space="preserve">   D-EF-1/(26,27) , 100 cfm (CC)</t>
  </si>
  <si>
    <t xml:space="preserve">   D-EF-1/28 , 150 cfm (CC)</t>
  </si>
  <si>
    <t xml:space="preserve">   D-EF-1/29 , 300 cfm (MNS)</t>
  </si>
  <si>
    <t xml:space="preserve">   D-EF-1/30 , 50 cfm (CC)</t>
  </si>
  <si>
    <t xml:space="preserve">   D-EF-1/31 , 200 cfm (MNS)</t>
  </si>
  <si>
    <t xml:space="preserve">   D-EF-1/(32,33) , 200 cfm (MNS)</t>
  </si>
  <si>
    <t xml:space="preserve">   D-EF-1/(34,36) , 200 cfm (CC)</t>
  </si>
  <si>
    <t xml:space="preserve">   D-EF-1/(35,37) , 200 cfm (CC)</t>
  </si>
  <si>
    <t xml:space="preserve">   D-EF-1/38 , 170 cfm (MNS)</t>
  </si>
  <si>
    <t xml:space="preserve">   D-EF-1/(39,40,41) , 230 cfm (MNS)</t>
  </si>
  <si>
    <t xml:space="preserve">   D-EF-1/(42,43,44) , 330 cfm (MNS)</t>
  </si>
  <si>
    <t xml:space="preserve">   D-EF-1/45 , 330 cfm (MNS)</t>
  </si>
  <si>
    <t xml:space="preserve">   D-EF-1/46 ,230 cfm (MNS)</t>
  </si>
  <si>
    <t xml:space="preserve">   D-EF-1/47 ,200 cfm (MNS)</t>
  </si>
  <si>
    <t xml:space="preserve">   D-EF-1/48-(1,2) ,1000 cfm (HPID)</t>
  </si>
  <si>
    <t xml:space="preserve">   D-EF-1/49 ,100 cfm (CC)</t>
  </si>
  <si>
    <t xml:space="preserve">   D-EF-2/(1-6) , 80 cfm (CC)</t>
  </si>
  <si>
    <t xml:space="preserve">   D-EF-2/(7-12) , 100 cfm (CC)</t>
  </si>
  <si>
    <t xml:space="preserve">   D-EF-2/13 , 130 cfm (CC)</t>
  </si>
  <si>
    <t xml:space="preserve">   D-EF-2/14 , 300 cfm (MNS)</t>
  </si>
  <si>
    <t xml:space="preserve">   D-EF-2/15 , 50 cfm (CC)</t>
  </si>
  <si>
    <t xml:space="preserve">   D-EF-2/16 , 200 cfm (MNS)</t>
  </si>
  <si>
    <t xml:space="preserve">   D-EF-2/(17,18) , 200 cfm (MNS)</t>
  </si>
  <si>
    <t xml:space="preserve">   D-EF-2/19 , 1000 cfm (HPID)</t>
  </si>
  <si>
    <t xml:space="preserve">   D-EF-2/20 , 100 cfm (CC)</t>
  </si>
  <si>
    <t xml:space="preserve">   D-EF-3/(1-7) , 80 cfm (CC)</t>
  </si>
  <si>
    <t xml:space="preserve">   D-EF-3/(8-20) , 30 cfm (CC)</t>
  </si>
  <si>
    <t xml:space="preserve">   D-EF-3/21-(1,2) , 155 cfm (CC)</t>
  </si>
  <si>
    <t xml:space="preserve">   D-EF-3/22 , 300 cfm (MNS)</t>
  </si>
  <si>
    <t xml:space="preserve">   D-EF-3/23 , 50 cfm (CC)</t>
  </si>
  <si>
    <t xml:space="preserve">   D-EF-3/24 , 200 cfm (MNS)</t>
  </si>
  <si>
    <t xml:space="preserve">   D-EF-3/(25,26) , 200 cfm (MNS)</t>
  </si>
  <si>
    <t xml:space="preserve">   D-EF-3/27 , 170 cfm (CC)</t>
  </si>
  <si>
    <t xml:space="preserve">   D-EF-3/28 , 120 cfm (CC)</t>
  </si>
  <si>
    <t xml:space="preserve">   D-EF-3/29 , 100 cfm (CC)</t>
  </si>
  <si>
    <t xml:space="preserve">   E-EF-1/(1,2) , 360 cfm (WMD)</t>
  </si>
  <si>
    <t xml:space="preserve">   E-EF-1/(3,4) , 1000 cfm (HPID)</t>
  </si>
  <si>
    <t xml:space="preserve"> - CCTV NETWORK VIDEO RECORDER (NVR) WITH SERVER MANAGEMENT</t>
  </si>
  <si>
    <t>ท่อระบายน้ำฝนในดิน (RL.PIPE) PVC 13.5  DIA. 6"</t>
  </si>
  <si>
    <t>PIPE PB CLASS 160  DIA. 4"</t>
  </si>
  <si>
    <t xml:space="preserve">   - ขนาดท่อทองแดง 1/2 นิ้ว</t>
  </si>
  <si>
    <t xml:space="preserve">   - ขนาดท่อทองแดง 7/8 นิ้ว</t>
  </si>
  <si>
    <t xml:space="preserve">   - หุ้มท่อทองแดง 7/8 นิ้ว</t>
  </si>
  <si>
    <t xml:space="preserve">   - เบอร์  26</t>
  </si>
  <si>
    <t>งานติดตั้งพัดลมระบายอากาศ</t>
  </si>
  <si>
    <t xml:space="preserve">   A-EF-1/1 , 150 cfm</t>
  </si>
  <si>
    <t xml:space="preserve">   A-EF-1/2 , 100 cfm</t>
  </si>
  <si>
    <t xml:space="preserve">   A-EF-1/3 , 250 cfm</t>
  </si>
  <si>
    <t xml:space="preserve">   A-EF-1/4 , 150 cfm</t>
  </si>
  <si>
    <t xml:space="preserve">   A-EF-1/5 , 220 cfm</t>
  </si>
  <si>
    <t xml:space="preserve">   A-EF-1/6 , 250 cfm</t>
  </si>
  <si>
    <t xml:space="preserve">   A-EF-1/(7,8) , 340 cfm</t>
  </si>
  <si>
    <t xml:space="preserve">   A-EF-1/(9,10) , 300 cfm</t>
  </si>
  <si>
    <t xml:space="preserve">   A-EF-1/11 , 200 cfm</t>
  </si>
  <si>
    <t xml:space="preserve">   A-EF-1/12 , 80 cfm</t>
  </si>
  <si>
    <t xml:space="preserve">   A-EF-1/13 , 400 cfm</t>
  </si>
  <si>
    <t xml:space="preserve">   A-EF-1/14 , 80 cfm</t>
  </si>
  <si>
    <t xml:space="preserve">   B-EF-1/1 , 120 cfm</t>
  </si>
  <si>
    <t xml:space="preserve">   B-EF-1/2 , 1000 cfm</t>
  </si>
  <si>
    <t xml:space="preserve">   B-EF-1/(3-8) , 520 cfm</t>
  </si>
  <si>
    <t xml:space="preserve">   B-EF-1/9 , 200 cfm</t>
  </si>
  <si>
    <t xml:space="preserve">   B-EF-1/10 , 200 cfm</t>
  </si>
  <si>
    <t xml:space="preserve">   C-EF-1/1 , 80 cfm</t>
  </si>
  <si>
    <t xml:space="preserve">   C-EF-1/(2,3) , 1000 cfm</t>
  </si>
  <si>
    <t xml:space="preserve">   C-EF-1/3-(1,2) , 1000 cfm</t>
  </si>
  <si>
    <t xml:space="preserve">   D-EF-1/(1-10) , 120 cfm</t>
  </si>
  <si>
    <t xml:space="preserve">   D-EF-1/(11,12) , 100 cfm</t>
  </si>
  <si>
    <t xml:space="preserve">   D-EF-1/(13,15,16) , 120 cfm</t>
  </si>
  <si>
    <t xml:space="preserve">   D-EF-1/14 , 200 cfm</t>
  </si>
  <si>
    <t xml:space="preserve">   D-EF-1/17 , 80 cfm</t>
  </si>
  <si>
    <t xml:space="preserve">   D-EF-1/(18,21) , 100 cfm</t>
  </si>
  <si>
    <t xml:space="preserve">   D-EF-1/(19,20) , 60 cfm</t>
  </si>
  <si>
    <t xml:space="preserve">   D-EF-1/(22,23,24) , 100 cfm</t>
  </si>
  <si>
    <t xml:space="preserve">   D-EF-1/25 , 200 cfm</t>
  </si>
  <si>
    <t xml:space="preserve">   D-EF-1/(26,27) , 100 cfm</t>
  </si>
  <si>
    <t xml:space="preserve">   D-EF-1/28 , 150 cfm</t>
  </si>
  <si>
    <t xml:space="preserve">   D-EF-1/29 , 300 cfm</t>
  </si>
  <si>
    <t xml:space="preserve">   D-EF-1/30 , 50 cfm</t>
  </si>
  <si>
    <t xml:space="preserve">   D-EF-1/31 , 200 cfm</t>
  </si>
  <si>
    <t xml:space="preserve">   D-EF-1/(32,33) , 200 cfm</t>
  </si>
  <si>
    <t xml:space="preserve">   D-EF-1/(34,36) , 200 cfm</t>
  </si>
  <si>
    <t xml:space="preserve">   D-EF-1/(35,37) , 200 cfm</t>
  </si>
  <si>
    <t xml:space="preserve">   D-EF-1/38 , 170 cfm</t>
  </si>
  <si>
    <t xml:space="preserve">   D-EF-1/(39,40,41) , 230 cfm</t>
  </si>
  <si>
    <t xml:space="preserve">   D-EF-1/(42,43,44) , 330 cfm</t>
  </si>
  <si>
    <t xml:space="preserve">   D-EF-1/45 , 330 cfm</t>
  </si>
  <si>
    <t xml:space="preserve">   D-EF-1/46 ,230 cfm</t>
  </si>
  <si>
    <t xml:space="preserve">   D-EF-1/47 ,200 cfm</t>
  </si>
  <si>
    <t xml:space="preserve">   D-EF-1/48 ,1000 cfm</t>
  </si>
  <si>
    <t xml:space="preserve">   D-EF-1/49 ,100 cfm</t>
  </si>
  <si>
    <t xml:space="preserve">   E-EF-1/(1,2) , 360 cfm</t>
  </si>
  <si>
    <t xml:space="preserve">   E-EF-1/(3,4) , 1000 cfm</t>
  </si>
  <si>
    <t xml:space="preserve">   A-(FCU/CDU)-A3/(1-5) ,42000 BTU</t>
  </si>
  <si>
    <t xml:space="preserve">   D-EF-2/(1-6) , 80 cfm</t>
  </si>
  <si>
    <t xml:space="preserve">   D-EF-2/(7-12) , 100 cfm</t>
  </si>
  <si>
    <t xml:space="preserve">   D-EF-2/13 , 130 cfm</t>
  </si>
  <si>
    <t xml:space="preserve">   D-EF-2/14 , 300 cfm</t>
  </si>
  <si>
    <t xml:space="preserve">   D-EF-2/15 , 50 cfm</t>
  </si>
  <si>
    <t xml:space="preserve">   D-EF-2/16 , 200 cfm</t>
  </si>
  <si>
    <t xml:space="preserve">   D-EF-2/(17,18) , 200 cfm</t>
  </si>
  <si>
    <t xml:space="preserve">   D-EF-2/19 , 1000 cfm</t>
  </si>
  <si>
    <t xml:space="preserve">   D-EF-2/20 , 100 cfm</t>
  </si>
  <si>
    <t xml:space="preserve">   D-EF-3/(1-7) , 80 cfm</t>
  </si>
  <si>
    <t xml:space="preserve">   D-EF-3/(8-20) , 30 cfm</t>
  </si>
  <si>
    <t xml:space="preserve">   D-EF-3/21-(1,2) , 155 cfm</t>
  </si>
  <si>
    <t xml:space="preserve">   D-EF-3/22 , 300 cfm</t>
  </si>
  <si>
    <t xml:space="preserve">   D-EF-3/23 , 50 cfm</t>
  </si>
  <si>
    <t xml:space="preserve">   D-EF-3/24 , 200 cfm </t>
  </si>
  <si>
    <t xml:space="preserve">   D-EF-3/(25,26) , 200 cfm</t>
  </si>
  <si>
    <t xml:space="preserve">   D-EF-3/27 , 170 cfm</t>
  </si>
  <si>
    <t xml:space="preserve">   D-EF-3/28 , 120 cfm</t>
  </si>
  <si>
    <t xml:space="preserve">   D-EF-3/29 , 100 cfm</t>
  </si>
  <si>
    <t xml:space="preserve">   C-EF-2/(1,2) , 550 cfm</t>
  </si>
  <si>
    <t xml:space="preserve">   C-EF-2/(3,4) , 250 cfm</t>
  </si>
  <si>
    <t xml:space="preserve">   C-EF-2/5 , 80 cfm</t>
  </si>
  <si>
    <t xml:space="preserve">   C-EF-3/1 , 80 cfm</t>
  </si>
  <si>
    <t xml:space="preserve">   A-EF-2/(1-6) , 80 cfm</t>
  </si>
  <si>
    <t xml:space="preserve">   A-EF-2/(7-11) , 100 cfm</t>
  </si>
  <si>
    <t xml:space="preserve">   A-EF-2/12 , 130 cfm</t>
  </si>
  <si>
    <t xml:space="preserve">   A-EF-2/13 , 220 cfm</t>
  </si>
  <si>
    <t xml:space="preserve">   A-EF-2/14 , 220 cfm</t>
  </si>
  <si>
    <t xml:space="preserve">   A-EF-2/(15,16) , 300 cfm</t>
  </si>
  <si>
    <t xml:space="preserve">   A-EF-2/17 , 200 cfm</t>
  </si>
  <si>
    <t xml:space="preserve">   A-EF-2/18 , 80 cfm</t>
  </si>
  <si>
    <t xml:space="preserve">   A-EF-2/19 , 400 cfm</t>
  </si>
  <si>
    <t xml:space="preserve">   A-EF-2/20 , 80 cfm</t>
  </si>
  <si>
    <t xml:space="preserve">   A-EF-3/(1-10) , 50 cfm</t>
  </si>
  <si>
    <t xml:space="preserve">   A-EF-3/11 , 60 cfm</t>
  </si>
  <si>
    <t xml:space="preserve">   A-EF-3/(12-27) , 30 cfm</t>
  </si>
  <si>
    <t xml:space="preserve">   A-EF-3/(28,29) , 100 cfm</t>
  </si>
  <si>
    <t xml:space="preserve">   A-EF-3/30 , 220 cfm</t>
  </si>
  <si>
    <t xml:space="preserve">   A-EF-3/(31,32) , 300 cfm</t>
  </si>
  <si>
    <t xml:space="preserve">   A-EF-3/33 , 200 cfm</t>
  </si>
  <si>
    <t xml:space="preserve">   A-EF-3/34 , 80 cfm</t>
  </si>
  <si>
    <t xml:space="preserve">   A-EF-3/35 , 400 cfm</t>
  </si>
  <si>
    <t xml:space="preserve">   A-EF-3/36 , 80 cfm</t>
  </si>
  <si>
    <t>รวมราคางานระบบไฟฟ้า</t>
  </si>
  <si>
    <t>4.7.8</t>
  </si>
  <si>
    <t>4.7.7</t>
  </si>
  <si>
    <t>4.7.6</t>
  </si>
  <si>
    <t>4.7.5</t>
  </si>
  <si>
    <t>4.7.4</t>
  </si>
  <si>
    <t xml:space="preserve"> - ลิฟต์โดยสาร ขนาดน้ำหนักบรรทุก 600 กิโลกรัม</t>
  </si>
  <si>
    <t xml:space="preserve"> - ลิฟต์ขนส่ง ขนาดน้ำหนักบรรทุก 1000 กิโลกรัม</t>
  </si>
  <si>
    <t>4.1.5</t>
  </si>
  <si>
    <t>4.1.6</t>
  </si>
  <si>
    <t>4.1.7</t>
  </si>
  <si>
    <t>ราคารวมทั้งหมด ( 1-8 )</t>
  </si>
  <si>
    <t>ห้องปฏิบัติการ การให้บริการบนเครื่องบิน</t>
  </si>
  <si>
    <t xml:space="preserve">  - Dia. 1 1/4" </t>
  </si>
  <si>
    <t xml:space="preserve">  - Dia. 1 1/2" </t>
  </si>
  <si>
    <t xml:space="preserve">   - Dia. 2 1/2" </t>
  </si>
  <si>
    <t xml:space="preserve">   - Dia. 4" </t>
  </si>
  <si>
    <t xml:space="preserve">   - Dia. 6" </t>
  </si>
  <si>
    <t xml:space="preserve">   - Dia. 8" </t>
  </si>
  <si>
    <t xml:space="preserve">  - ข้อต่อและข้องอต่างๆ (ค่าวัสดุ 30% ของราคาท่อ ค่าแรงงาน 30% ของราคาวัสดุ)</t>
  </si>
  <si>
    <t>ท่อเหล็กดำ SCH. 40  ชนิดมีตะเข็บ</t>
  </si>
  <si>
    <t xml:space="preserve">   - Dia. 3" </t>
  </si>
  <si>
    <t>6.3.2</t>
  </si>
  <si>
    <t xml:space="preserve"> - A.D17 ประตูบานเปิดสวิงคู่พร้อมช่องแสงติดตาย  วงกบ 2"x4" อบสีดำ ลูกฟัก กระจกลามิเนตเขียวใสตัดแสง 6 มม. ขนาด 46.60 x 2.85 มม.</t>
  </si>
  <si>
    <t>อาคาร D</t>
  </si>
  <si>
    <t xml:space="preserve">   - TYPE: PENDENT </t>
  </si>
  <si>
    <t xml:space="preserve">   - TYPE: UPRIGHT</t>
  </si>
  <si>
    <t xml:space="preserve">FLOW METER </t>
  </si>
  <si>
    <t>O.S.&amp;Y. GATE VALVE</t>
  </si>
  <si>
    <t xml:space="preserve">   - Dia. 1" </t>
  </si>
  <si>
    <t xml:space="preserve">PRESSURE RELIEF VALVE </t>
  </si>
  <si>
    <t xml:space="preserve">   - Dia. 1 1/2" </t>
  </si>
  <si>
    <t xml:space="preserve">   - Dia. 2" </t>
  </si>
  <si>
    <t>รวมราคางานระบบสุขาภิบาล ดับเพลิง และป้องกันอัคคีภัย</t>
  </si>
  <si>
    <t xml:space="preserve">   - 500 A  AUTOMATIC TRANSFER SWITCH 3P. 600V.</t>
  </si>
  <si>
    <t xml:space="preserve">   - 2,500   AT. 3P.(ACB)</t>
  </si>
  <si>
    <t xml:space="preserve">   - 1,600   AT. 3P.</t>
  </si>
  <si>
    <t xml:space="preserve">   - 1,000   AT. 3P.</t>
  </si>
  <si>
    <t xml:space="preserve">   - 800   AT. 3P.</t>
  </si>
  <si>
    <t xml:space="preserve">   - 500   AT. 3P.</t>
  </si>
  <si>
    <t xml:space="preserve">   - 150   AT. 3P.</t>
  </si>
  <si>
    <t>MAIN DISTRIBUTION BOARD AND EMERGENCY MAIN DISTRIBUTION BOARD (MDB AND EMDB)</t>
  </si>
  <si>
    <t xml:space="preserve">   - 125   AT. 3P.</t>
  </si>
  <si>
    <t xml:space="preserve">   - 100   AT. 3P.</t>
  </si>
  <si>
    <t xml:space="preserve">   - 80   AT. 3P.</t>
  </si>
  <si>
    <t xml:space="preserve">   - 70   AT. 3P.</t>
  </si>
  <si>
    <t xml:space="preserve">   - 40   AT. 3P.</t>
  </si>
  <si>
    <t xml:space="preserve">   - 30   AT. 3P.</t>
  </si>
  <si>
    <t xml:space="preserve">   - FRC TWISTED PAIR SHIELD 1PR#1.5 SQ.MM. (16 AWG)</t>
  </si>
  <si>
    <t xml:space="preserve">   - FRC # 2.5 SQ.MM.</t>
  </si>
  <si>
    <t xml:space="preserve">   - IEC01 # 1.5 SQ.MM.</t>
  </si>
  <si>
    <t xml:space="preserve">   - TIEV 2 PR DIA. 0.65 MM.</t>
  </si>
  <si>
    <t xml:space="preserve">   - DIA. 3/4"</t>
  </si>
  <si>
    <t xml:space="preserve">   - DIA. 1/2"</t>
  </si>
  <si>
    <t xml:space="preserve">   - SIZE 4" x 4"</t>
  </si>
  <si>
    <t xml:space="preserve">   - 9 U</t>
  </si>
  <si>
    <t xml:space="preserve">     WITH SERVER MANAGEMENT</t>
  </si>
  <si>
    <t xml:space="preserve">   - DIA. 1"</t>
  </si>
  <si>
    <t>4.7.3</t>
  </si>
  <si>
    <t>4.7.2</t>
  </si>
  <si>
    <t>4.7.1</t>
  </si>
  <si>
    <t>4.6.1</t>
  </si>
  <si>
    <t>4.6.2</t>
  </si>
  <si>
    <t>4.6.3</t>
  </si>
  <si>
    <t>4.6.4</t>
  </si>
  <si>
    <t>4.6.5</t>
  </si>
  <si>
    <t>4.6.6</t>
  </si>
  <si>
    <t>4.6.7</t>
  </si>
  <si>
    <t>4.6.8</t>
  </si>
  <si>
    <t>4.6.9</t>
  </si>
  <si>
    <t>MAIN EQUIPMENT AND MAIN FEEDER (ส่วน A, C และ D)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</si>
  <si>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</si>
  <si>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</si>
  <si>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</si>
  <si>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</si>
  <si>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</si>
  <si>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</si>
  <si>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</si>
  <si>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</si>
  <si>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 xml:space="preserve">   - 12 U.</t>
  </si>
  <si>
    <t xml:space="preserve">   - 9 U.</t>
  </si>
  <si>
    <t xml:space="preserve">   - SIZE 4" x 6"</t>
  </si>
  <si>
    <t xml:space="preserve">   - 50  AT 3P</t>
  </si>
  <si>
    <t xml:space="preserve">   - 30  AT 3P</t>
  </si>
  <si>
    <t xml:space="preserve">   - 4 PR UTP-CAT 6</t>
  </si>
  <si>
    <t>IP FIXED DOME CAMERA WITH LICENSE</t>
  </si>
  <si>
    <t>IP FIXED CAMERA WITH LICENSE</t>
  </si>
  <si>
    <t>CORE SWITCH</t>
  </si>
  <si>
    <t>CCTV NETWORK VIDEO RECORDER (NVR)</t>
  </si>
  <si>
    <t>UPS (10 KVA.)</t>
  </si>
  <si>
    <t>CCTV MONITOR 23"</t>
  </si>
  <si>
    <t>LED TV 42" WITH HANGER AND SUPPORT</t>
  </si>
  <si>
    <t>MAIN CCTV RACK</t>
  </si>
  <si>
    <t xml:space="preserve">  - 9 U</t>
  </si>
  <si>
    <t xml:space="preserve">  - DIA. 1"</t>
  </si>
  <si>
    <t>16 Sq.mm. IEC 01</t>
  </si>
  <si>
    <t xml:space="preserve">Dia. 1" PVC. </t>
  </si>
  <si>
    <t>COPPER GROUND ROD 5/8" , 10' (LONG)</t>
  </si>
  <si>
    <t>4.3.4</t>
  </si>
  <si>
    <t>4.3.5</t>
  </si>
  <si>
    <t>4.3.6</t>
  </si>
  <si>
    <t>4.3.7</t>
  </si>
  <si>
    <t>4.3.8</t>
  </si>
  <si>
    <t>4.3.9</t>
  </si>
  <si>
    <t>4.5.1</t>
  </si>
  <si>
    <t xml:space="preserve">  - SIZE 4" x 6"</t>
  </si>
  <si>
    <t xml:space="preserve">  - DIA. 3/4"</t>
  </si>
  <si>
    <t xml:space="preserve">  - DIA. 1/2"</t>
  </si>
  <si>
    <t>4.4.5</t>
  </si>
  <si>
    <t>4.4.6</t>
  </si>
  <si>
    <t>4.4.7</t>
  </si>
  <si>
    <t>4.4.8</t>
  </si>
  <si>
    <t>4.4.9</t>
  </si>
  <si>
    <t>4.5.3</t>
  </si>
  <si>
    <t>4.5.4</t>
  </si>
  <si>
    <t>4.5.5</t>
  </si>
  <si>
    <t xml:space="preserve">  - 12 CORE FIBER OFTIC CABLE SINGLE MODE</t>
  </si>
  <si>
    <t xml:space="preserve">  - 4 PR UTP-CAT 6</t>
  </si>
  <si>
    <t>IMC.  DIA.1"</t>
  </si>
  <si>
    <t>EMT. DIA.1/2"</t>
  </si>
  <si>
    <t xml:space="preserve">  - หุ้มท่อทองแดง 3/4 นิ้ว</t>
  </si>
  <si>
    <t xml:space="preserve">  - ท่อ PVC CLASS 8.5 ขนาด 3/4 นิ้ว</t>
  </si>
  <si>
    <t xml:space="preserve">  - ท่อ PVC CLASS 8.5 ขนาด 1 นิ้ว</t>
  </si>
  <si>
    <t xml:space="preserve">  - หุ้มท่อ PVC CLASS 8.5 ขนาด 3/4 นิ้ว</t>
  </si>
  <si>
    <t xml:space="preserve">  - หุ้มท่อ PVC CLASS 8.5 ขนาด 1 นิ้ว</t>
  </si>
  <si>
    <t xml:space="preserve">  - ขนาดท่อทองแดง 3/8 นิ้ว</t>
  </si>
  <si>
    <t xml:space="preserve">  - ขนาดท่อทองแดง 3/4 นิ้ว</t>
  </si>
  <si>
    <t>ACCESSORIES (เผื่อเบ็ดเตล็ด 10%)</t>
  </si>
  <si>
    <t xml:space="preserve">  - ค่าทดสอบการรับน้ำหนักเสาเข็มด้วยวิธี Static Load Test</t>
  </si>
  <si>
    <t xml:space="preserve"> - CCTV MONITOR 24"</t>
  </si>
  <si>
    <t>งานถนนและทาสีเส้นจราจร</t>
  </si>
  <si>
    <t>ปรับแต่งพื้นทางเดิม</t>
  </si>
  <si>
    <t>ดินลูกรัง</t>
  </si>
  <si>
    <t>ทรายหยาบ</t>
  </si>
  <si>
    <t>ตะแกรงเหล็กสำเร็จรูป WIREMESH Ø 9 มม. @ 0.30 ม.</t>
  </si>
  <si>
    <t>แผ่นโฟม ขนาด 0.60x1.20 ม.หนา 3/4"</t>
  </si>
  <si>
    <t>แผ่น</t>
  </si>
  <si>
    <t>แอสฟัสท์</t>
  </si>
  <si>
    <t>ลิตร</t>
  </si>
  <si>
    <t>งานหยอดยางรอยต่อ</t>
  </si>
  <si>
    <t>แผ่นพลาสติก ขนาด 0.07 มม. กว้าง 1.20 เมตร</t>
  </si>
  <si>
    <t>บ่มคอนกรีต</t>
  </si>
  <si>
    <t>งานสี Thermoplastic (สีเหลือง และ สีขาว) ความหนา 3.00 มม.</t>
  </si>
  <si>
    <t>งานทางเดินเท้า</t>
  </si>
  <si>
    <t>ดินถม</t>
  </si>
  <si>
    <t>ตะแกรงเหล็กสำเร็จรูป WIREMESH Ø 4 มม. @ 0.20 ม.</t>
  </si>
  <si>
    <t>ขอบคันหิน 0.15x0.30x1.00 ม.</t>
  </si>
  <si>
    <t>ท่อน</t>
  </si>
  <si>
    <t>6.2.2</t>
  </si>
  <si>
    <t xml:space="preserve">  - ไม้คร่าวยึดไม้แบบ (คิด 30% ของทั้งหมด)</t>
  </si>
  <si>
    <t xml:space="preserve">  - ค่าแรงประกอบไม้แบบ (คิด 100%)</t>
  </si>
  <si>
    <t>เหล็กเส้นกลมผิวข้ออ้อย SD.40 ยาว 10 เมตร Dia. 12 มม.</t>
  </si>
  <si>
    <t>เหล็กเส้นกลมผิวเรียบ SR.24 ยาว 10 เมตร Dia. 19 มม.</t>
  </si>
  <si>
    <t xml:space="preserve">  - ไม้แบบ (คิด 60% ของทั้งหมด)</t>
  </si>
  <si>
    <t>คอนกรีตโครงสร้าง (fc' 280 ksc, Cylinder)</t>
  </si>
  <si>
    <t>คันกั้นล้อคอนกรีตสำเร็จรูป (CAR STOPPER) ขนาด 0.15 x 0.15 x 2.00 ม. (ส่วน C)</t>
  </si>
  <si>
    <t>คอนกรีตโครงสร้าง (fc' 240 ksc, Cylinder)</t>
  </si>
  <si>
    <t>ชุดสาธิตการบินเสมือนจริงของอากาศยานพาณิชย์</t>
  </si>
  <si>
    <t>งานระบบสุขาภิบาลและระบายน้ำ</t>
  </si>
  <si>
    <t>งานถนน และทางเดินเท้า</t>
  </si>
  <si>
    <t>ตร.ฟ.</t>
  </si>
  <si>
    <t>มีจำนวนทั้งหมด     72    แผ่น</t>
  </si>
  <si>
    <t>มีจำนวน     70    แผ่น</t>
  </si>
  <si>
    <t>มีจำนวน    70   แผ่น</t>
  </si>
  <si>
    <t>หน้ากากระบายอากาศ (EAG)</t>
  </si>
  <si>
    <t xml:space="preserve"> 8" x 8"</t>
  </si>
  <si>
    <t xml:space="preserve"> 10" x 10"</t>
  </si>
  <si>
    <t xml:space="preserve"> 12" x 12"</t>
  </si>
  <si>
    <t xml:space="preserve"> 14" x 14"</t>
  </si>
  <si>
    <t>- EMT 1/2"</t>
  </si>
  <si>
    <t>- IEC01 #  1.5 SQ.MM</t>
  </si>
  <si>
    <t>- IEC01 #  2.5 SQ.MM</t>
  </si>
  <si>
    <t>แบบ ปร.6   แผ่นที่ 1/1</t>
  </si>
  <si>
    <t>แบบ ปร. 5 (ก) แผ่นที่ 1/1</t>
  </si>
  <si>
    <t>แบบ ปร. 5 (ข) แผ่นที่ 1/1</t>
  </si>
  <si>
    <t xml:space="preserve">ชื่อโครงการ/งานก่อสร้าง อาคารศูนย์ปฏิบัติการศึกษาด้านระบบรางและอากาศยาน ตำบลหนองระเวียง อำเภอเมืองนครราชสีมา จังหวัดนครราชสีมา </t>
  </si>
  <si>
    <t xml:space="preserve">สถานที่ก่อสร้าง : มหาวิทยาลัยเทคโนโลยีราชมงคลอีสาน ตำบลหนองระเวียง อำเภอเมืองนครราชสีมา จังหวัดนครราชสีมา </t>
  </si>
  <si>
    <t>ประมาณราคากลางโดย  คณะกรรมการกำหนดราคากลาง เมื่อวันที่</t>
  </si>
  <si>
    <t>งานติดตั้งเครื่องบปรับอากาศแบบแยกส่วน (คิดเฉพาะค่าแรงติดตั้งส่วนเพิ่มเติมที่เกินจากมาตรฐาน)</t>
  </si>
  <si>
    <t>เจ้าของโครงการ :   มหาวิทยาลัยเทคโนโลยีราชมงคลอีสาน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</si>
</sst>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2" formatCode="_-&quot;฿&quot;* #,##0_-;\-&quot;฿&quot;* #,##0_-;_-&quot;฿&quot;* &quot;-&quot;_-;_-@_-"/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&quot;$&quot;#,##0_);\(&quot;$&quot;#,##0\)"/>
    <numFmt numFmtId="166" formatCode="#,##0.00;[Red]#,##0.00"/>
    <numFmt numFmtId="167" formatCode="_(* #,##0.00_);_(* \(#,##0.00\);_(* \-??_);_(@_)"/>
    <numFmt numFmtId="168" formatCode="#,##0.000"/>
    <numFmt numFmtId="169" formatCode="_-* #,##0.000_-;\-* #,##0.000_-;_-* &quot;-&quot;???_-;_-@_-"/>
    <numFmt numFmtId="170" formatCode="_(* #,##0.0000_);_(* \(#,##0.0000\);_(* &quot;-&quot;??_);_(@_)"/>
    <numFmt numFmtId="171" formatCode="[$-107041E]d\ mmmm\ yyyy;@"/>
    <numFmt numFmtId="172" formatCode="_-* #,##0_-;\-* #,##0_-;_-* &quot;-&quot;??_-;_-@_-"/>
    <numFmt numFmtId="173" formatCode="0.0"/>
    <numFmt numFmtId="174" formatCode="_-* #,##0.00_-;\-* #,##0.00_-;_-* &quot;-&quot;_-;_-@_-"/>
    <numFmt numFmtId="175" formatCode="0.0000000000"/>
    <numFmt numFmtId="176" formatCode="_-* #,##0.000000000_-;\-* #,##0.000000000_-;_-* &quot;-&quot;??_-;_-@_-"/>
    <numFmt numFmtId="177" formatCode="General_)"/>
    <numFmt numFmtId="178" formatCode="_(* #,##0_);_(* \(#,##0\);_(* &quot;-&quot;??_);_(@_)"/>
  </numFmts>
  <fonts count="8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6"/>
      <name val="Cordia New"/>
      <family val="2"/>
    </font>
    <font>
      <sz val="14"/>
      <name val="Cordia New"/>
      <family val="2"/>
    </font>
    <font>
      <sz val="18"/>
      <name val="Cordia New"/>
      <family val="2"/>
    </font>
    <font>
      <b/>
      <sz val="16"/>
      <name val="Cordia New"/>
      <family val="2"/>
    </font>
    <font>
      <sz val="12"/>
      <name val="Cordia New"/>
      <family val="2"/>
    </font>
    <font>
      <sz val="16"/>
      <color theme="1"/>
      <name val="Cordia New"/>
      <family val="2"/>
    </font>
    <font>
      <b/>
      <sz val="16"/>
      <color theme="1"/>
      <name val="Cordia New"/>
      <family val="2"/>
    </font>
    <font>
      <sz val="16"/>
      <name val="CordiaUPC"/>
      <family val="2"/>
    </font>
    <font>
      <b/>
      <sz val="16"/>
      <name val="CordiaUPC"/>
      <family val="2"/>
    </font>
    <font>
      <sz val="12"/>
      <name val="Arial"/>
      <family val="2"/>
      <charset val="222"/>
    </font>
    <font>
      <sz val="14"/>
      <name val="AngsanaUPC"/>
      <family val="1"/>
      <charset val="222"/>
    </font>
    <font>
      <sz val="12"/>
      <name val="AngsanaUPC"/>
      <family val="1"/>
      <charset val="222"/>
    </font>
    <font>
      <u/>
      <sz val="12"/>
      <name val="AngsanaUPC"/>
      <family val="1"/>
      <charset val="222"/>
    </font>
    <font>
      <sz val="12"/>
      <name val="CordiaUPC"/>
      <family val="2"/>
      <charset val="222"/>
    </font>
    <font>
      <b/>
      <sz val="12"/>
      <name val="CordiaUPC"/>
      <family val="2"/>
      <charset val="222"/>
    </font>
    <font>
      <b/>
      <sz val="12"/>
      <name val="Cordia New"/>
      <family val="2"/>
    </font>
    <font>
      <sz val="11"/>
      <name val="Cordia New"/>
      <family val="2"/>
    </font>
    <font>
      <sz val="10"/>
      <name val="Cordia New"/>
      <family val="2"/>
    </font>
    <font>
      <b/>
      <sz val="22"/>
      <name val="AngsanaUPC"/>
      <family val="1"/>
      <charset val="222"/>
    </font>
    <font>
      <b/>
      <u/>
      <sz val="22"/>
      <name val="AngsanaUPC"/>
      <family val="1"/>
      <charset val="222"/>
    </font>
    <font>
      <b/>
      <u/>
      <sz val="16"/>
      <name val="CordiaUPC"/>
      <family val="2"/>
      <charset val="222"/>
    </font>
    <font>
      <sz val="13"/>
      <name val="Cordia New"/>
      <family val="2"/>
    </font>
    <font>
      <sz val="13"/>
      <color rgb="FFFF0000"/>
      <name val="Cordia New"/>
      <family val="2"/>
    </font>
    <font>
      <u val="singleAccounting"/>
      <sz val="13"/>
      <name val="Cordia New"/>
      <family val="2"/>
    </font>
    <font>
      <b/>
      <u/>
      <sz val="13"/>
      <name val="Cordia New"/>
      <family val="2"/>
    </font>
    <font>
      <b/>
      <sz val="14"/>
      <name val="Cordia New"/>
      <family val="2"/>
    </font>
    <font>
      <b/>
      <sz val="13"/>
      <name val="Cordia New"/>
      <family val="2"/>
    </font>
    <font>
      <sz val="14"/>
      <color theme="1"/>
      <name val="Calibri"/>
      <family val="2"/>
      <scheme val="minor"/>
    </font>
    <font>
      <sz val="14"/>
      <color theme="1"/>
      <name val="Cordia New"/>
      <family val="2"/>
    </font>
    <font>
      <b/>
      <u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name val="AngsanaUPC"/>
      <family val="1"/>
    </font>
    <font>
      <sz val="11"/>
      <color indexed="8"/>
      <name val="Tahoma"/>
      <family val="2"/>
    </font>
    <font>
      <sz val="16"/>
      <name val="AngsanaUPC"/>
      <family val="1"/>
    </font>
    <font>
      <sz val="13"/>
      <name val="AngsanaUPC"/>
      <family val="1"/>
      <charset val="222"/>
    </font>
    <font>
      <sz val="12"/>
      <color rgb="FFFF0000"/>
      <name val="AngsanaUPC"/>
      <family val="1"/>
      <charset val="222"/>
    </font>
    <font>
      <sz val="8"/>
      <name val="Calibri"/>
      <family val="2"/>
      <scheme val="minor"/>
    </font>
    <font>
      <sz val="13"/>
      <color rgb="FF00B0F0"/>
      <name val="Cordia New"/>
      <family val="2"/>
    </font>
    <font>
      <sz val="11"/>
      <color indexed="8"/>
      <name val="Tahoma"/>
      <family val="2"/>
      <charset val="222"/>
    </font>
    <font>
      <sz val="14"/>
      <name val="BrowalliaUPC"/>
      <family val="2"/>
    </font>
    <font>
      <sz val="16"/>
      <name val="TH SarabunPSK"/>
      <family val="2"/>
    </font>
    <font>
      <sz val="14"/>
      <color rgb="FFFF0000"/>
      <name val="Cordia New"/>
      <family val="2"/>
    </font>
    <font>
      <b/>
      <sz val="18"/>
      <name val="TH Sarabun New"/>
      <family val="2"/>
    </font>
    <font>
      <sz val="18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b/>
      <u/>
      <sz val="16"/>
      <name val="TH Sarabun New"/>
      <family val="2"/>
    </font>
    <font>
      <sz val="12"/>
      <name val="TH Sarabun New"/>
      <family val="2"/>
    </font>
    <font>
      <sz val="16"/>
      <color theme="1"/>
      <name val="TH Sarabun New"/>
      <family val="2"/>
    </font>
    <font>
      <b/>
      <sz val="20"/>
      <name val="TH Sarabun New"/>
      <family val="2"/>
    </font>
    <font>
      <sz val="14"/>
      <name val="TH Sarabun New"/>
      <family val="2"/>
    </font>
    <font>
      <b/>
      <sz val="14"/>
      <name val="TH Sarabun New"/>
      <family val="2"/>
    </font>
    <font>
      <b/>
      <u val="doubleAccounting"/>
      <sz val="14"/>
      <color indexed="10"/>
      <name val="TH Sarabun New"/>
      <family val="2"/>
    </font>
    <font>
      <sz val="16"/>
      <color theme="1"/>
      <name val="TH SarabunPSK"/>
      <family val="2"/>
    </font>
    <font>
      <u/>
      <sz val="16"/>
      <color theme="1"/>
      <name val="Cordia New"/>
      <family val="2"/>
    </font>
    <font>
      <b/>
      <sz val="16"/>
      <color theme="1"/>
      <name val="TH Sarabun New"/>
      <family val="2"/>
    </font>
    <font>
      <sz val="16"/>
      <name val="TH Sarabun New"/>
      <family val="2"/>
      <charset val="222"/>
    </font>
    <font>
      <b/>
      <sz val="16"/>
      <name val="TH Sarabun New"/>
      <family val="2"/>
      <charset val="222"/>
    </font>
    <font>
      <sz val="16"/>
      <name val="Cordia New"/>
      <family val="2"/>
      <charset val="222"/>
    </font>
    <font>
      <b/>
      <sz val="16"/>
      <name val="Cordia New"/>
      <family val="2"/>
      <charset val="222"/>
    </font>
    <font>
      <sz val="16"/>
      <color rgb="FFFF0000"/>
      <name val="TH Sarabun New"/>
      <family val="2"/>
    </font>
    <font>
      <sz val="16"/>
      <color theme="1"/>
      <name val="CordiaUPC"/>
      <family val="2"/>
    </font>
    <font>
      <sz val="16"/>
      <color rgb="FFFFFF00"/>
      <name val="CordiaUPC"/>
      <family val="2"/>
    </font>
    <font>
      <sz val="11"/>
      <color theme="1"/>
      <name val="CordiaUPC"/>
      <family val="2"/>
    </font>
    <font>
      <sz val="16"/>
      <color rgb="FFFF0000"/>
      <name val="CordiaUPC"/>
      <family val="2"/>
    </font>
    <font>
      <sz val="8"/>
      <color theme="1"/>
      <name val="CordiaUPC"/>
      <family val="2"/>
    </font>
    <font>
      <u/>
      <sz val="11"/>
      <color theme="10"/>
      <name val="Calibri"/>
      <family val="2"/>
      <scheme val="minor"/>
    </font>
    <font>
      <u/>
      <sz val="14"/>
      <color theme="10"/>
      <name val="CordiaUPC"/>
      <family val="2"/>
    </font>
    <font>
      <sz val="14"/>
      <color theme="1"/>
      <name val="CordiaUPC"/>
      <family val="2"/>
    </font>
    <font>
      <u/>
      <sz val="16"/>
      <color theme="1"/>
      <name val="CordiaUPC"/>
      <family val="2"/>
    </font>
    <font>
      <u/>
      <sz val="16"/>
      <name val="TH Sarabun New"/>
      <family val="2"/>
    </font>
    <font>
      <sz val="16"/>
      <color theme="0"/>
      <name val="TH Sarabun New"/>
      <family val="2"/>
    </font>
    <font>
      <b/>
      <sz val="16"/>
      <color theme="0"/>
      <name val="TH Sarabun New"/>
      <family val="2"/>
    </font>
    <font>
      <b/>
      <sz val="18"/>
      <color theme="1"/>
      <name val="TH Sarabun New"/>
      <family val="2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1"/>
      <color indexed="8"/>
      <name val="Calibri"/>
      <family val="2"/>
    </font>
    <font>
      <sz val="12"/>
      <color theme="1"/>
      <name val="TH Sarabun New"/>
      <family val="2"/>
    </font>
    <font>
      <b/>
      <sz val="18"/>
      <name val="TH SarabunPSK"/>
      <family val="2"/>
    </font>
    <font>
      <sz val="18"/>
      <name val="TH SarabunPSK"/>
      <family val="2"/>
    </font>
    <font>
      <sz val="18"/>
      <color theme="1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</fills>
  <borders count="18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32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32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thin">
        <color auto="1"/>
      </left>
      <right style="thin">
        <color indexed="32"/>
      </right>
      <top style="hair">
        <color indexed="64"/>
      </top>
      <bottom style="hair">
        <color indexed="64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32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32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32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 style="hair">
        <color indexed="64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theme="2" tint="-9.9978637043366805E-2"/>
      </right>
      <top style="hair">
        <color auto="1"/>
      </top>
      <bottom style="hair">
        <color auto="1"/>
      </bottom>
      <diagonal/>
    </border>
    <border>
      <left style="thin">
        <color theme="2" tint="-9.9978637043366805E-2"/>
      </left>
      <right style="thin">
        <color theme="2" tint="-9.9978637043366805E-2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32"/>
      </left>
      <right style="thin">
        <color indexed="32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5" fillId="0" borderId="0" applyFont="0" applyFill="0" applyBorder="0" applyAlignment="0" applyProtection="0"/>
    <xf numFmtId="0" fontId="5" fillId="0" borderId="0"/>
    <xf numFmtId="0" fontId="13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  <xf numFmtId="0" fontId="35" fillId="0" borderId="0"/>
    <xf numFmtId="165" fontId="14" fillId="0" borderId="0" applyFont="0" applyFill="0" applyBorder="0" applyAlignment="0" applyProtection="0"/>
    <xf numFmtId="0" fontId="3" fillId="0" borderId="0"/>
    <xf numFmtId="43" fontId="36" fillId="0" borderId="0" applyFont="0" applyFill="0" applyBorder="0" applyAlignment="0" applyProtection="0"/>
    <xf numFmtId="0" fontId="37" fillId="0" borderId="0"/>
    <xf numFmtId="43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167" fontId="37" fillId="0" borderId="0" applyFill="0" applyBorder="0" applyAlignment="0" applyProtection="0"/>
    <xf numFmtId="0" fontId="5" fillId="0" borderId="0"/>
    <xf numFmtId="0" fontId="1" fillId="0" borderId="0"/>
    <xf numFmtId="43" fontId="42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0" fontId="1" fillId="0" borderId="0"/>
    <xf numFmtId="0" fontId="5" fillId="0" borderId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43" fillId="0" borderId="0"/>
    <xf numFmtId="0" fontId="5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35" fillId="0" borderId="0"/>
    <xf numFmtId="164" fontId="35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80" fillId="0" borderId="0"/>
    <xf numFmtId="42" fontId="35" fillId="0" borderId="0" applyFont="0" applyFill="0" applyBorder="0" applyAlignment="0" applyProtection="0"/>
  </cellStyleXfs>
  <cellXfs count="1770">
    <xf numFmtId="0" fontId="0" fillId="0" borderId="0" xfId="0"/>
    <xf numFmtId="16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9" fillId="0" borderId="0" xfId="0" applyFont="1"/>
    <xf numFmtId="0" fontId="7" fillId="0" borderId="0" xfId="0" applyFont="1"/>
    <xf numFmtId="0" fontId="14" fillId="0" borderId="0" xfId="7" applyFont="1"/>
    <xf numFmtId="4" fontId="14" fillId="0" borderId="0" xfId="7" applyNumberFormat="1" applyFont="1"/>
    <xf numFmtId="168" fontId="14" fillId="0" borderId="0" xfId="7" applyNumberFormat="1" applyFont="1"/>
    <xf numFmtId="3" fontId="14" fillId="0" borderId="0" xfId="7" applyNumberFormat="1" applyFont="1"/>
    <xf numFmtId="3" fontId="14" fillId="0" borderId="0" xfId="7" applyNumberFormat="1" applyFont="1" applyAlignment="1">
      <alignment horizontal="center"/>
    </xf>
    <xf numFmtId="0" fontId="14" fillId="0" borderId="0" xfId="7" applyFont="1" applyAlignment="1">
      <alignment horizontal="center"/>
    </xf>
    <xf numFmtId="0" fontId="15" fillId="0" borderId="0" xfId="7" applyFont="1"/>
    <xf numFmtId="43" fontId="16" fillId="0" borderId="1" xfId="8" applyFont="1" applyBorder="1" applyAlignment="1">
      <alignment horizontal="center"/>
    </xf>
    <xf numFmtId="43" fontId="16" fillId="0" borderId="18" xfId="8" applyFont="1" applyBorder="1" applyAlignment="1">
      <alignment horizontal="center"/>
    </xf>
    <xf numFmtId="43" fontId="16" fillId="0" borderId="20" xfId="8" applyFont="1" applyBorder="1" applyAlignment="1">
      <alignment horizontal="center"/>
    </xf>
    <xf numFmtId="43" fontId="15" fillId="0" borderId="1" xfId="7" applyNumberFormat="1" applyFont="1" applyBorder="1" applyAlignment="1">
      <alignment horizontal="right"/>
    </xf>
    <xf numFmtId="43" fontId="15" fillId="0" borderId="1" xfId="7" applyNumberFormat="1" applyFont="1" applyBorder="1" applyAlignment="1">
      <alignment horizontal="centerContinuous"/>
    </xf>
    <xf numFmtId="4" fontId="15" fillId="0" borderId="1" xfId="7" applyNumberFormat="1" applyFont="1" applyBorder="1" applyAlignment="1">
      <alignment horizontal="centerContinuous"/>
    </xf>
    <xf numFmtId="0" fontId="15" fillId="0" borderId="1" xfId="7" applyFont="1" applyBorder="1" applyAlignment="1">
      <alignment horizontal="center"/>
    </xf>
    <xf numFmtId="43" fontId="15" fillId="0" borderId="11" xfId="8" applyFont="1" applyBorder="1"/>
    <xf numFmtId="43" fontId="15" fillId="0" borderId="21" xfId="8" applyFont="1" applyBorder="1"/>
    <xf numFmtId="43" fontId="15" fillId="0" borderId="15" xfId="8" applyFont="1" applyBorder="1"/>
    <xf numFmtId="43" fontId="15" fillId="0" borderId="22" xfId="8" applyFont="1" applyBorder="1"/>
    <xf numFmtId="43" fontId="15" fillId="0" borderId="23" xfId="8" applyFont="1" applyBorder="1"/>
    <xf numFmtId="43" fontId="15" fillId="0" borderId="24" xfId="8" applyFont="1" applyBorder="1"/>
    <xf numFmtId="43" fontId="15" fillId="0" borderId="11" xfId="7" applyNumberFormat="1" applyFont="1" applyBorder="1" applyAlignment="1">
      <alignment horizontal="right"/>
    </xf>
    <xf numFmtId="43" fontId="15" fillId="0" borderId="11" xfId="7" applyNumberFormat="1" applyFont="1" applyBorder="1"/>
    <xf numFmtId="43" fontId="15" fillId="0" borderId="15" xfId="7" applyNumberFormat="1" applyFont="1" applyBorder="1" applyAlignment="1">
      <alignment horizontal="right"/>
    </xf>
    <xf numFmtId="43" fontId="15" fillId="0" borderId="22" xfId="7" applyNumberFormat="1" applyFont="1" applyBorder="1" applyAlignment="1">
      <alignment horizontal="right"/>
    </xf>
    <xf numFmtId="4" fontId="15" fillId="0" borderId="22" xfId="7" applyNumberFormat="1" applyFont="1" applyBorder="1" applyAlignment="1">
      <alignment horizontal="left"/>
    </xf>
    <xf numFmtId="0" fontId="15" fillId="0" borderId="23" xfId="7" applyFont="1" applyBorder="1" applyAlignment="1">
      <alignment horizontal="left"/>
    </xf>
    <xf numFmtId="0" fontId="15" fillId="0" borderId="11" xfId="7" quotePrefix="1" applyFont="1" applyBorder="1" applyAlignment="1">
      <alignment horizontal="center"/>
    </xf>
    <xf numFmtId="43" fontId="15" fillId="0" borderId="14" xfId="7" applyNumberFormat="1" applyFont="1" applyBorder="1" applyAlignment="1">
      <alignment horizontal="right"/>
    </xf>
    <xf numFmtId="4" fontId="15" fillId="0" borderId="14" xfId="7" applyNumberFormat="1" applyFont="1" applyBorder="1" applyAlignment="1">
      <alignment horizontal="left"/>
    </xf>
    <xf numFmtId="0" fontId="15" fillId="0" borderId="12" xfId="7" applyFont="1" applyBorder="1" applyAlignment="1">
      <alignment horizontal="left"/>
    </xf>
    <xf numFmtId="43" fontId="15" fillId="0" borderId="25" xfId="8" applyFont="1" applyBorder="1"/>
    <xf numFmtId="0" fontId="15" fillId="0" borderId="11" xfId="7" applyFont="1" applyBorder="1" applyAlignment="1">
      <alignment horizontal="center"/>
    </xf>
    <xf numFmtId="169" fontId="15" fillId="0" borderId="21" xfId="8" applyNumberFormat="1" applyFont="1" applyBorder="1"/>
    <xf numFmtId="4" fontId="15" fillId="0" borderId="21" xfId="7" applyNumberFormat="1" applyFont="1" applyBorder="1" applyAlignment="1">
      <alignment horizontal="left"/>
    </xf>
    <xf numFmtId="4" fontId="15" fillId="0" borderId="23" xfId="7" applyNumberFormat="1" applyFont="1" applyBorder="1" applyAlignment="1">
      <alignment horizontal="left"/>
    </xf>
    <xf numFmtId="43" fontId="15" fillId="0" borderId="21" xfId="1" applyFont="1" applyBorder="1"/>
    <xf numFmtId="0" fontId="17" fillId="0" borderId="0" xfId="7" applyFont="1"/>
    <xf numFmtId="4" fontId="18" fillId="0" borderId="17" xfId="7" applyNumberFormat="1" applyFont="1" applyBorder="1" applyAlignment="1">
      <alignment horizontal="center"/>
    </xf>
    <xf numFmtId="168" fontId="18" fillId="0" borderId="17" xfId="7" applyNumberFormat="1" applyFont="1" applyBorder="1" applyAlignment="1">
      <alignment horizontal="center"/>
    </xf>
    <xf numFmtId="3" fontId="18" fillId="0" borderId="27" xfId="7" quotePrefix="1" applyNumberFormat="1" applyFont="1" applyBorder="1" applyAlignment="1">
      <alignment horizontal="center"/>
    </xf>
    <xf numFmtId="3" fontId="18" fillId="0" borderId="28" xfId="7" quotePrefix="1" applyNumberFormat="1" applyFont="1" applyBorder="1" applyAlignment="1">
      <alignment horizontal="center"/>
    </xf>
    <xf numFmtId="3" fontId="18" fillId="0" borderId="29" xfId="7" quotePrefix="1" applyNumberFormat="1" applyFont="1" applyBorder="1" applyAlignment="1">
      <alignment horizontal="center"/>
    </xf>
    <xf numFmtId="3" fontId="18" fillId="0" borderId="30" xfId="7" quotePrefix="1" applyNumberFormat="1" applyFont="1" applyBorder="1" applyAlignment="1">
      <alignment horizontal="center"/>
    </xf>
    <xf numFmtId="0" fontId="18" fillId="0" borderId="17" xfId="7" applyFont="1" applyBorder="1" applyAlignment="1">
      <alignment horizontal="center"/>
    </xf>
    <xf numFmtId="0" fontId="18" fillId="0" borderId="26" xfId="7" applyFont="1" applyBorder="1" applyAlignment="1">
      <alignment horizontal="center"/>
    </xf>
    <xf numFmtId="0" fontId="18" fillId="0" borderId="10" xfId="7" applyFont="1" applyBorder="1" applyAlignment="1">
      <alignment horizontal="center"/>
    </xf>
    <xf numFmtId="0" fontId="22" fillId="0" borderId="0" xfId="7" applyFont="1"/>
    <xf numFmtId="4" fontId="22" fillId="0" borderId="0" xfId="7" applyNumberFormat="1" applyFont="1" applyAlignment="1">
      <alignment horizontal="centerContinuous"/>
    </xf>
    <xf numFmtId="3" fontId="22" fillId="0" borderId="0" xfId="7" applyNumberFormat="1" applyFont="1" applyAlignment="1">
      <alignment horizontal="centerContinuous"/>
    </xf>
    <xf numFmtId="3" fontId="23" fillId="0" borderId="0" xfId="7" quotePrefix="1" applyNumberFormat="1" applyFont="1" applyAlignment="1">
      <alignment horizontal="centerContinuous"/>
    </xf>
    <xf numFmtId="3" fontId="22" fillId="0" borderId="0" xfId="7" applyNumberFormat="1" applyFont="1" applyAlignment="1">
      <alignment horizontal="center"/>
    </xf>
    <xf numFmtId="0" fontId="23" fillId="0" borderId="0" xfId="7" quotePrefix="1" applyFont="1" applyAlignment="1">
      <alignment horizontal="center"/>
    </xf>
    <xf numFmtId="0" fontId="22" fillId="0" borderId="0" xfId="7" applyFont="1" applyAlignment="1">
      <alignment horizontal="center"/>
    </xf>
    <xf numFmtId="0" fontId="22" fillId="0" borderId="0" xfId="7" applyFont="1" applyAlignment="1">
      <alignment horizontal="centerContinuous"/>
    </xf>
    <xf numFmtId="4" fontId="24" fillId="0" borderId="38" xfId="7" applyNumberFormat="1" applyFont="1" applyBorder="1" applyAlignment="1">
      <alignment horizontal="left"/>
    </xf>
    <xf numFmtId="0" fontId="23" fillId="0" borderId="0" xfId="7" applyFont="1" applyAlignment="1">
      <alignment horizontal="centerContinuous"/>
    </xf>
    <xf numFmtId="0" fontId="25" fillId="0" borderId="0" xfId="9" applyFont="1"/>
    <xf numFmtId="43" fontId="25" fillId="0" borderId="0" xfId="9" applyNumberFormat="1" applyFont="1"/>
    <xf numFmtId="0" fontId="26" fillId="0" borderId="0" xfId="9" applyFont="1"/>
    <xf numFmtId="0" fontId="7" fillId="0" borderId="0" xfId="9" applyFont="1"/>
    <xf numFmtId="0" fontId="31" fillId="0" borderId="0" xfId="0" applyFont="1"/>
    <xf numFmtId="0" fontId="32" fillId="0" borderId="0" xfId="0" applyFont="1"/>
    <xf numFmtId="2" fontId="33" fillId="0" borderId="24" xfId="0" applyNumberFormat="1" applyFont="1" applyBorder="1"/>
    <xf numFmtId="2" fontId="32" fillId="0" borderId="22" xfId="0" applyNumberFormat="1" applyFont="1" applyBorder="1"/>
    <xf numFmtId="2" fontId="33" fillId="0" borderId="62" xfId="0" applyNumberFormat="1" applyFont="1" applyBorder="1"/>
    <xf numFmtId="2" fontId="32" fillId="0" borderId="22" xfId="0" applyNumberFormat="1" applyFont="1" applyBorder="1" applyAlignment="1">
      <alignment horizontal="center"/>
    </xf>
    <xf numFmtId="2" fontId="33" fillId="0" borderId="43" xfId="0" applyNumberFormat="1" applyFont="1" applyBorder="1"/>
    <xf numFmtId="2" fontId="32" fillId="0" borderId="57" xfId="0" applyNumberFormat="1" applyFont="1" applyBorder="1"/>
    <xf numFmtId="2" fontId="33" fillId="0" borderId="63" xfId="0" applyNumberFormat="1" applyFont="1" applyBorder="1"/>
    <xf numFmtId="2" fontId="32" fillId="0" borderId="20" xfId="0" applyNumberFormat="1" applyFont="1" applyBorder="1"/>
    <xf numFmtId="2" fontId="32" fillId="0" borderId="18" xfId="0" applyNumberFormat="1" applyFont="1" applyBorder="1"/>
    <xf numFmtId="0" fontId="12" fillId="3" borderId="63" xfId="0" applyFont="1" applyFill="1" applyBorder="1" applyAlignment="1">
      <alignment horizontal="center"/>
    </xf>
    <xf numFmtId="0" fontId="10" fillId="0" borderId="18" xfId="0" applyFont="1" applyBorder="1" applyAlignment="1">
      <alignment horizontal="center"/>
    </xf>
    <xf numFmtId="2" fontId="33" fillId="0" borderId="53" xfId="0" applyNumberFormat="1" applyFont="1" applyBorder="1"/>
    <xf numFmtId="2" fontId="32" fillId="0" borderId="51" xfId="0" applyNumberFormat="1" applyFont="1" applyBorder="1"/>
    <xf numFmtId="2" fontId="33" fillId="0" borderId="56" xfId="0" applyNumberFormat="1" applyFont="1" applyBorder="1"/>
    <xf numFmtId="2" fontId="32" fillId="0" borderId="21" xfId="0" applyNumberFormat="1" applyFont="1" applyBorder="1" applyAlignment="1">
      <alignment horizontal="center"/>
    </xf>
    <xf numFmtId="2" fontId="32" fillId="0" borderId="22" xfId="0" applyNumberFormat="1" applyFont="1" applyBorder="1" applyAlignment="1">
      <alignment horizontal="right"/>
    </xf>
    <xf numFmtId="2" fontId="32" fillId="0" borderId="21" xfId="0" applyNumberFormat="1" applyFont="1" applyBorder="1"/>
    <xf numFmtId="2" fontId="32" fillId="0" borderId="21" xfId="0" applyNumberFormat="1" applyFont="1" applyBorder="1" applyAlignment="1">
      <alignment horizontal="right"/>
    </xf>
    <xf numFmtId="2" fontId="32" fillId="0" borderId="65" xfId="0" applyNumberFormat="1" applyFont="1" applyBorder="1" applyAlignment="1">
      <alignment horizontal="center"/>
    </xf>
    <xf numFmtId="2" fontId="32" fillId="0" borderId="61" xfId="0" applyNumberFormat="1" applyFont="1" applyBorder="1" applyAlignment="1">
      <alignment horizontal="center"/>
    </xf>
    <xf numFmtId="2" fontId="33" fillId="0" borderId="60" xfId="0" applyNumberFormat="1" applyFont="1" applyBorder="1"/>
    <xf numFmtId="0" fontId="34" fillId="6" borderId="4" xfId="0" applyFont="1" applyFill="1" applyBorder="1" applyAlignment="1">
      <alignment horizontal="center"/>
    </xf>
    <xf numFmtId="0" fontId="9" fillId="6" borderId="4" xfId="0" applyFont="1" applyFill="1" applyBorder="1"/>
    <xf numFmtId="0" fontId="34" fillId="6" borderId="17" xfId="0" applyFont="1" applyFill="1" applyBorder="1" applyAlignment="1">
      <alignment horizontal="center"/>
    </xf>
    <xf numFmtId="0" fontId="9" fillId="6" borderId="5" xfId="0" applyFont="1" applyFill="1" applyBorder="1"/>
    <xf numFmtId="0" fontId="34" fillId="6" borderId="5" xfId="0" applyFont="1" applyFill="1" applyBorder="1" applyAlignment="1">
      <alignment horizontal="center"/>
    </xf>
    <xf numFmtId="0" fontId="10" fillId="6" borderId="5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2" fontId="32" fillId="6" borderId="5" xfId="0" applyNumberFormat="1" applyFont="1" applyFill="1" applyBorder="1"/>
    <xf numFmtId="0" fontId="34" fillId="7" borderId="4" xfId="0" applyFont="1" applyFill="1" applyBorder="1" applyAlignment="1">
      <alignment horizontal="center"/>
    </xf>
    <xf numFmtId="0" fontId="9" fillId="7" borderId="4" xfId="0" applyFont="1" applyFill="1" applyBorder="1"/>
    <xf numFmtId="0" fontId="34" fillId="7" borderId="17" xfId="0" applyFont="1" applyFill="1" applyBorder="1" applyAlignment="1">
      <alignment horizontal="center"/>
    </xf>
    <xf numFmtId="0" fontId="9" fillId="7" borderId="5" xfId="0" applyFont="1" applyFill="1" applyBorder="1"/>
    <xf numFmtId="0" fontId="34" fillId="7" borderId="5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2" fillId="7" borderId="1" xfId="0" applyFont="1" applyFill="1" applyBorder="1" applyAlignment="1">
      <alignment horizontal="center"/>
    </xf>
    <xf numFmtId="2" fontId="32" fillId="7" borderId="5" xfId="0" applyNumberFormat="1" applyFont="1" applyFill="1" applyBorder="1"/>
    <xf numFmtId="0" fontId="34" fillId="4" borderId="4" xfId="0" applyFont="1" applyFill="1" applyBorder="1" applyAlignment="1">
      <alignment horizontal="center"/>
    </xf>
    <xf numFmtId="0" fontId="9" fillId="4" borderId="4" xfId="0" applyFont="1" applyFill="1" applyBorder="1"/>
    <xf numFmtId="0" fontId="34" fillId="4" borderId="17" xfId="0" applyFont="1" applyFill="1" applyBorder="1" applyAlignment="1">
      <alignment horizontal="center"/>
    </xf>
    <xf numFmtId="0" fontId="9" fillId="4" borderId="5" xfId="0" applyFont="1" applyFill="1" applyBorder="1"/>
    <xf numFmtId="0" fontId="34" fillId="4" borderId="5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2" fontId="32" fillId="4" borderId="5" xfId="0" applyNumberFormat="1" applyFont="1" applyFill="1" applyBorder="1"/>
    <xf numFmtId="0" fontId="10" fillId="0" borderId="3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66" xfId="0" applyFont="1" applyBorder="1" applyAlignment="1">
      <alignment horizontal="center"/>
    </xf>
    <xf numFmtId="2" fontId="32" fillId="0" borderId="55" xfId="0" applyNumberFormat="1" applyFont="1" applyBorder="1"/>
    <xf numFmtId="2" fontId="32" fillId="0" borderId="52" xfId="0" applyNumberFormat="1" applyFont="1" applyBorder="1"/>
    <xf numFmtId="0" fontId="11" fillId="3" borderId="10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left"/>
    </xf>
    <xf numFmtId="0" fontId="11" fillId="3" borderId="11" xfId="0" applyFont="1" applyFill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11" fillId="3" borderId="64" xfId="0" applyFont="1" applyFill="1" applyBorder="1" applyAlignment="1">
      <alignment horizontal="left"/>
    </xf>
    <xf numFmtId="0" fontId="10" fillId="0" borderId="67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2" fontId="32" fillId="0" borderId="0" xfId="0" applyNumberFormat="1" applyFont="1"/>
    <xf numFmtId="2" fontId="33" fillId="0" borderId="8" xfId="0" applyNumberFormat="1" applyFont="1" applyBorder="1"/>
    <xf numFmtId="2" fontId="33" fillId="7" borderId="1" xfId="0" applyNumberFormat="1" applyFont="1" applyFill="1" applyBorder="1"/>
    <xf numFmtId="2" fontId="33" fillId="6" borderId="1" xfId="0" applyNumberFormat="1" applyFont="1" applyFill="1" applyBorder="1"/>
    <xf numFmtId="2" fontId="33" fillId="4" borderId="1" xfId="0" applyNumberFormat="1" applyFont="1" applyFill="1" applyBorder="1"/>
    <xf numFmtId="43" fontId="15" fillId="0" borderId="14" xfId="8" applyFont="1" applyBorder="1"/>
    <xf numFmtId="0" fontId="19" fillId="6" borderId="4" xfId="7" applyFont="1" applyFill="1" applyBorder="1" applyAlignment="1">
      <alignment horizontal="center"/>
    </xf>
    <xf numFmtId="0" fontId="8" fillId="6" borderId="46" xfId="7" applyFont="1" applyFill="1" applyBorder="1" applyAlignment="1">
      <alignment horizontal="centerContinuous"/>
    </xf>
    <xf numFmtId="0" fontId="8" fillId="6" borderId="42" xfId="7" applyFont="1" applyFill="1" applyBorder="1" applyAlignment="1">
      <alignment horizontal="centerContinuous"/>
    </xf>
    <xf numFmtId="0" fontId="19" fillId="6" borderId="42" xfId="7" applyFont="1" applyFill="1" applyBorder="1" applyAlignment="1">
      <alignment horizontal="centerContinuous"/>
    </xf>
    <xf numFmtId="0" fontId="19" fillId="6" borderId="41" xfId="7" applyFont="1" applyFill="1" applyBorder="1" applyAlignment="1">
      <alignment horizontal="centerContinuous"/>
    </xf>
    <xf numFmtId="0" fontId="19" fillId="6" borderId="1" xfId="7" applyFont="1" applyFill="1" applyBorder="1" applyAlignment="1">
      <alignment horizontal="centerContinuous"/>
    </xf>
    <xf numFmtId="3" fontId="19" fillId="6" borderId="2" xfId="7" applyNumberFormat="1" applyFont="1" applyFill="1" applyBorder="1" applyAlignment="1">
      <alignment horizontal="centerContinuous"/>
    </xf>
    <xf numFmtId="3" fontId="19" fillId="6" borderId="3" xfId="7" quotePrefix="1" applyNumberFormat="1" applyFont="1" applyFill="1" applyBorder="1" applyAlignment="1">
      <alignment horizontal="centerContinuous"/>
    </xf>
    <xf numFmtId="4" fontId="19" fillId="6" borderId="4" xfId="7" applyNumberFormat="1" applyFont="1" applyFill="1" applyBorder="1" applyAlignment="1">
      <alignment horizontal="center"/>
    </xf>
    <xf numFmtId="0" fontId="8" fillId="6" borderId="4" xfId="7" applyFont="1" applyFill="1" applyBorder="1" applyAlignment="1">
      <alignment horizontal="center"/>
    </xf>
    <xf numFmtId="4" fontId="19" fillId="6" borderId="1" xfId="7" applyNumberFormat="1" applyFont="1" applyFill="1" applyBorder="1" applyAlignment="1">
      <alignment horizontal="centerContinuous"/>
    </xf>
    <xf numFmtId="4" fontId="19" fillId="6" borderId="4" xfId="7" applyNumberFormat="1" applyFont="1" applyFill="1" applyBorder="1" applyAlignment="1">
      <alignment horizontal="centerContinuous"/>
    </xf>
    <xf numFmtId="0" fontId="19" fillId="6" borderId="17" xfId="7" applyFont="1" applyFill="1" applyBorder="1" applyAlignment="1">
      <alignment horizontal="center"/>
    </xf>
    <xf numFmtId="0" fontId="19" fillId="6" borderId="40" xfId="7" applyFont="1" applyFill="1" applyBorder="1" applyAlignment="1">
      <alignment horizontal="center"/>
    </xf>
    <xf numFmtId="0" fontId="19" fillId="6" borderId="0" xfId="7" applyFont="1" applyFill="1" applyAlignment="1">
      <alignment horizontal="center"/>
    </xf>
    <xf numFmtId="0" fontId="19" fillId="6" borderId="26" xfId="7" applyFont="1" applyFill="1" applyBorder="1" applyAlignment="1">
      <alignment horizontal="center"/>
    </xf>
    <xf numFmtId="3" fontId="19" fillId="6" borderId="45" xfId="7" applyNumberFormat="1" applyFont="1" applyFill="1" applyBorder="1" applyAlignment="1">
      <alignment horizontal="centerContinuous"/>
    </xf>
    <xf numFmtId="3" fontId="19" fillId="6" borderId="44" xfId="7" quotePrefix="1" applyNumberFormat="1" applyFont="1" applyFill="1" applyBorder="1" applyAlignment="1">
      <alignment horizontal="centerContinuous"/>
    </xf>
    <xf numFmtId="3" fontId="19" fillId="6" borderId="44" xfId="7" applyNumberFormat="1" applyFont="1" applyFill="1" applyBorder="1" applyAlignment="1">
      <alignment horizontal="centerContinuous"/>
    </xf>
    <xf numFmtId="3" fontId="19" fillId="6" borderId="43" xfId="7" applyNumberFormat="1" applyFont="1" applyFill="1" applyBorder="1" applyAlignment="1">
      <alignment horizontal="centerContinuous"/>
    </xf>
    <xf numFmtId="4" fontId="19" fillId="6" borderId="17" xfId="7" applyNumberFormat="1" applyFont="1" applyFill="1" applyBorder="1" applyAlignment="1">
      <alignment horizontal="center"/>
    </xf>
    <xf numFmtId="0" fontId="8" fillId="6" borderId="17" xfId="7" applyFont="1" applyFill="1" applyBorder="1" applyAlignment="1">
      <alignment horizontal="center"/>
    </xf>
    <xf numFmtId="168" fontId="19" fillId="6" borderId="17" xfId="7" applyNumberFormat="1" applyFont="1" applyFill="1" applyBorder="1" applyAlignment="1">
      <alignment horizontal="center"/>
    </xf>
    <xf numFmtId="4" fontId="19" fillId="6" borderId="17" xfId="7" quotePrefix="1" applyNumberFormat="1" applyFont="1" applyFill="1" applyBorder="1" applyAlignment="1">
      <alignment horizontal="center"/>
    </xf>
    <xf numFmtId="4" fontId="20" fillId="6" borderId="17" xfId="7" applyNumberFormat="1" applyFont="1" applyFill="1" applyBorder="1" applyAlignment="1">
      <alignment horizontal="center"/>
    </xf>
    <xf numFmtId="4" fontId="21" fillId="6" borderId="17" xfId="7" applyNumberFormat="1" applyFont="1" applyFill="1" applyBorder="1" applyAlignment="1">
      <alignment horizontal="center"/>
    </xf>
    <xf numFmtId="4" fontId="8" fillId="6" borderId="17" xfId="7" applyNumberFormat="1" applyFont="1" applyFill="1" applyBorder="1" applyAlignment="1">
      <alignment horizontal="center"/>
    </xf>
    <xf numFmtId="3" fontId="19" fillId="6" borderId="29" xfId="7" applyNumberFormat="1" applyFont="1" applyFill="1" applyBorder="1" applyAlignment="1">
      <alignment horizontal="center"/>
    </xf>
    <xf numFmtId="3" fontId="19" fillId="6" borderId="30" xfId="7" applyNumberFormat="1" applyFont="1" applyFill="1" applyBorder="1" applyAlignment="1">
      <alignment horizontal="center"/>
    </xf>
    <xf numFmtId="3" fontId="19" fillId="6" borderId="27" xfId="7" applyNumberFormat="1" applyFont="1" applyFill="1" applyBorder="1" applyAlignment="1">
      <alignment horizontal="center"/>
    </xf>
    <xf numFmtId="3" fontId="19" fillId="6" borderId="28" xfId="7" applyNumberFormat="1" applyFont="1" applyFill="1" applyBorder="1" applyAlignment="1">
      <alignment horizontal="center"/>
    </xf>
    <xf numFmtId="1" fontId="19" fillId="6" borderId="17" xfId="7" quotePrefix="1" applyNumberFormat="1" applyFont="1" applyFill="1" applyBorder="1" applyAlignment="1">
      <alignment horizontal="center"/>
    </xf>
    <xf numFmtId="168" fontId="19" fillId="6" borderId="17" xfId="7" applyNumberFormat="1" applyFont="1" applyFill="1" applyBorder="1" applyAlignment="1">
      <alignment horizontal="right"/>
    </xf>
    <xf numFmtId="4" fontId="19" fillId="6" borderId="40" xfId="7" applyNumberFormat="1" applyFont="1" applyFill="1" applyBorder="1" applyAlignment="1">
      <alignment horizontal="center"/>
    </xf>
    <xf numFmtId="4" fontId="19" fillId="6" borderId="26" xfId="7" applyNumberFormat="1" applyFont="1" applyFill="1" applyBorder="1" applyAlignment="1">
      <alignment horizontal="center"/>
    </xf>
    <xf numFmtId="168" fontId="20" fillId="6" borderId="29" xfId="7" applyNumberFormat="1" applyFont="1" applyFill="1" applyBorder="1" applyAlignment="1">
      <alignment horizontal="center"/>
    </xf>
    <xf numFmtId="168" fontId="20" fillId="6" borderId="30" xfId="7" applyNumberFormat="1" applyFont="1" applyFill="1" applyBorder="1" applyAlignment="1">
      <alignment horizontal="center"/>
    </xf>
    <xf numFmtId="168" fontId="20" fillId="6" borderId="27" xfId="7" applyNumberFormat="1" applyFont="1" applyFill="1" applyBorder="1" applyAlignment="1">
      <alignment horizontal="center"/>
    </xf>
    <xf numFmtId="168" fontId="20" fillId="6" borderId="28" xfId="7" applyNumberFormat="1" applyFont="1" applyFill="1" applyBorder="1" applyAlignment="1">
      <alignment horizontal="center"/>
    </xf>
    <xf numFmtId="9" fontId="19" fillId="6" borderId="40" xfId="7" applyNumberFormat="1" applyFont="1" applyFill="1" applyBorder="1" applyAlignment="1">
      <alignment horizontal="center"/>
    </xf>
    <xf numFmtId="0" fontId="19" fillId="6" borderId="5" xfId="7" applyFont="1" applyFill="1" applyBorder="1" applyAlignment="1">
      <alignment horizontal="center"/>
    </xf>
    <xf numFmtId="0" fontId="19" fillId="6" borderId="39" xfId="7" applyFont="1" applyFill="1" applyBorder="1" applyAlignment="1">
      <alignment horizontal="center"/>
    </xf>
    <xf numFmtId="0" fontId="19" fillId="6" borderId="38" xfId="7" applyFont="1" applyFill="1" applyBorder="1" applyAlignment="1">
      <alignment horizontal="center"/>
    </xf>
    <xf numFmtId="0" fontId="19" fillId="6" borderId="33" xfId="7" applyFont="1" applyFill="1" applyBorder="1" applyAlignment="1">
      <alignment horizontal="center"/>
    </xf>
    <xf numFmtId="3" fontId="19" fillId="6" borderId="37" xfId="7" quotePrefix="1" applyNumberFormat="1" applyFont="1" applyFill="1" applyBorder="1" applyAlignment="1">
      <alignment horizontal="center"/>
    </xf>
    <xf numFmtId="3" fontId="19" fillId="6" borderId="34" xfId="7" quotePrefix="1" applyNumberFormat="1" applyFont="1" applyFill="1" applyBorder="1" applyAlignment="1">
      <alignment horizontal="center"/>
    </xf>
    <xf numFmtId="3" fontId="19" fillId="6" borderId="35" xfId="7" quotePrefix="1" applyNumberFormat="1" applyFont="1" applyFill="1" applyBorder="1" applyAlignment="1">
      <alignment horizontal="center"/>
    </xf>
    <xf numFmtId="3" fontId="19" fillId="6" borderId="36" xfId="7" quotePrefix="1" applyNumberFormat="1" applyFont="1" applyFill="1" applyBorder="1" applyAlignment="1">
      <alignment horizontal="center"/>
    </xf>
    <xf numFmtId="4" fontId="19" fillId="6" borderId="5" xfId="7" applyNumberFormat="1" applyFont="1" applyFill="1" applyBorder="1" applyAlignment="1">
      <alignment horizontal="center"/>
    </xf>
    <xf numFmtId="168" fontId="19" fillId="6" borderId="5" xfId="7" applyNumberFormat="1" applyFont="1" applyFill="1" applyBorder="1" applyAlignment="1">
      <alignment horizontal="center"/>
    </xf>
    <xf numFmtId="0" fontId="19" fillId="7" borderId="4" xfId="7" applyFont="1" applyFill="1" applyBorder="1" applyAlignment="1">
      <alignment horizontal="center"/>
    </xf>
    <xf numFmtId="0" fontId="8" fillId="7" borderId="46" xfId="7" applyFont="1" applyFill="1" applyBorder="1" applyAlignment="1">
      <alignment horizontal="centerContinuous"/>
    </xf>
    <xf numFmtId="0" fontId="8" fillId="7" borderId="42" xfId="7" applyFont="1" applyFill="1" applyBorder="1" applyAlignment="1">
      <alignment horizontal="centerContinuous"/>
    </xf>
    <xf numFmtId="0" fontId="19" fillId="7" borderId="42" xfId="7" applyFont="1" applyFill="1" applyBorder="1" applyAlignment="1">
      <alignment horizontal="centerContinuous"/>
    </xf>
    <xf numFmtId="0" fontId="19" fillId="7" borderId="41" xfId="7" applyFont="1" applyFill="1" applyBorder="1" applyAlignment="1">
      <alignment horizontal="centerContinuous"/>
    </xf>
    <xf numFmtId="0" fontId="19" fillId="7" borderId="1" xfId="7" applyFont="1" applyFill="1" applyBorder="1" applyAlignment="1">
      <alignment horizontal="centerContinuous"/>
    </xf>
    <xf numFmtId="3" fontId="19" fillId="7" borderId="2" xfId="7" applyNumberFormat="1" applyFont="1" applyFill="1" applyBorder="1" applyAlignment="1">
      <alignment horizontal="centerContinuous"/>
    </xf>
    <xf numFmtId="4" fontId="19" fillId="7" borderId="4" xfId="7" applyNumberFormat="1" applyFont="1" applyFill="1" applyBorder="1" applyAlignment="1">
      <alignment horizontal="center"/>
    </xf>
    <xf numFmtId="0" fontId="8" fillId="7" borderId="4" xfId="7" applyFont="1" applyFill="1" applyBorder="1" applyAlignment="1">
      <alignment horizontal="center"/>
    </xf>
    <xf numFmtId="4" fontId="19" fillId="7" borderId="1" xfId="7" applyNumberFormat="1" applyFont="1" applyFill="1" applyBorder="1" applyAlignment="1">
      <alignment horizontal="centerContinuous"/>
    </xf>
    <xf numFmtId="4" fontId="19" fillId="7" borderId="4" xfId="7" applyNumberFormat="1" applyFont="1" applyFill="1" applyBorder="1" applyAlignment="1">
      <alignment horizontal="centerContinuous"/>
    </xf>
    <xf numFmtId="0" fontId="19" fillId="7" borderId="17" xfId="7" applyFont="1" applyFill="1" applyBorder="1" applyAlignment="1">
      <alignment horizontal="center"/>
    </xf>
    <xf numFmtId="0" fontId="19" fillId="7" borderId="40" xfId="7" applyFont="1" applyFill="1" applyBorder="1" applyAlignment="1">
      <alignment horizontal="center"/>
    </xf>
    <xf numFmtId="0" fontId="19" fillId="7" borderId="0" xfId="7" applyFont="1" applyFill="1" applyAlignment="1">
      <alignment horizontal="center"/>
    </xf>
    <xf numFmtId="0" fontId="19" fillId="7" borderId="26" xfId="7" applyFont="1" applyFill="1" applyBorder="1" applyAlignment="1">
      <alignment horizontal="center"/>
    </xf>
    <xf numFmtId="3" fontId="19" fillId="7" borderId="45" xfId="7" applyNumberFormat="1" applyFont="1" applyFill="1" applyBorder="1" applyAlignment="1">
      <alignment horizontal="centerContinuous"/>
    </xf>
    <xf numFmtId="3" fontId="19" fillId="7" borderId="44" xfId="7" quotePrefix="1" applyNumberFormat="1" applyFont="1" applyFill="1" applyBorder="1" applyAlignment="1">
      <alignment horizontal="centerContinuous"/>
    </xf>
    <xf numFmtId="3" fontId="19" fillId="7" borderId="44" xfId="7" applyNumberFormat="1" applyFont="1" applyFill="1" applyBorder="1" applyAlignment="1">
      <alignment horizontal="centerContinuous"/>
    </xf>
    <xf numFmtId="3" fontId="19" fillId="7" borderId="43" xfId="7" applyNumberFormat="1" applyFont="1" applyFill="1" applyBorder="1" applyAlignment="1">
      <alignment horizontal="centerContinuous"/>
    </xf>
    <xf numFmtId="4" fontId="19" fillId="7" borderId="17" xfId="7" applyNumberFormat="1" applyFont="1" applyFill="1" applyBorder="1" applyAlignment="1">
      <alignment horizontal="center"/>
    </xf>
    <xf numFmtId="0" fontId="8" fillId="7" borderId="17" xfId="7" applyFont="1" applyFill="1" applyBorder="1" applyAlignment="1">
      <alignment horizontal="center"/>
    </xf>
    <xf numFmtId="168" fontId="19" fillId="7" borderId="17" xfId="7" applyNumberFormat="1" applyFont="1" applyFill="1" applyBorder="1" applyAlignment="1">
      <alignment horizontal="center"/>
    </xf>
    <xf numFmtId="4" fontId="19" fillId="7" borderId="17" xfId="7" quotePrefix="1" applyNumberFormat="1" applyFont="1" applyFill="1" applyBorder="1" applyAlignment="1">
      <alignment horizontal="center"/>
    </xf>
    <xf numFmtId="4" fontId="20" fillId="7" borderId="17" xfId="7" applyNumberFormat="1" applyFont="1" applyFill="1" applyBorder="1" applyAlignment="1">
      <alignment horizontal="center"/>
    </xf>
    <xf numFmtId="4" fontId="21" fillId="7" borderId="17" xfId="7" applyNumberFormat="1" applyFont="1" applyFill="1" applyBorder="1" applyAlignment="1">
      <alignment horizontal="center"/>
    </xf>
    <xf numFmtId="4" fontId="8" fillId="7" borderId="17" xfId="7" applyNumberFormat="1" applyFont="1" applyFill="1" applyBorder="1" applyAlignment="1">
      <alignment horizontal="center"/>
    </xf>
    <xf numFmtId="3" fontId="19" fillId="7" borderId="29" xfId="7" applyNumberFormat="1" applyFont="1" applyFill="1" applyBorder="1" applyAlignment="1">
      <alignment horizontal="center"/>
    </xf>
    <xf numFmtId="3" fontId="19" fillId="7" borderId="30" xfId="7" applyNumberFormat="1" applyFont="1" applyFill="1" applyBorder="1" applyAlignment="1">
      <alignment horizontal="center"/>
    </xf>
    <xf numFmtId="3" fontId="19" fillId="7" borderId="27" xfId="7" applyNumberFormat="1" applyFont="1" applyFill="1" applyBorder="1" applyAlignment="1">
      <alignment horizontal="center"/>
    </xf>
    <xf numFmtId="3" fontId="19" fillId="7" borderId="28" xfId="7" applyNumberFormat="1" applyFont="1" applyFill="1" applyBorder="1" applyAlignment="1">
      <alignment horizontal="center"/>
    </xf>
    <xf numFmtId="1" fontId="19" fillId="7" borderId="17" xfId="7" quotePrefix="1" applyNumberFormat="1" applyFont="1" applyFill="1" applyBorder="1" applyAlignment="1">
      <alignment horizontal="center"/>
    </xf>
    <xf numFmtId="168" fontId="19" fillId="7" borderId="17" xfId="7" applyNumberFormat="1" applyFont="1" applyFill="1" applyBorder="1" applyAlignment="1">
      <alignment horizontal="right"/>
    </xf>
    <xf numFmtId="4" fontId="19" fillId="7" borderId="40" xfId="7" applyNumberFormat="1" applyFont="1" applyFill="1" applyBorder="1" applyAlignment="1">
      <alignment horizontal="center"/>
    </xf>
    <xf numFmtId="4" fontId="19" fillId="7" borderId="26" xfId="7" applyNumberFormat="1" applyFont="1" applyFill="1" applyBorder="1" applyAlignment="1">
      <alignment horizontal="center"/>
    </xf>
    <xf numFmtId="168" fontId="20" fillId="7" borderId="29" xfId="7" applyNumberFormat="1" applyFont="1" applyFill="1" applyBorder="1" applyAlignment="1">
      <alignment horizontal="center"/>
    </xf>
    <xf numFmtId="168" fontId="20" fillId="7" borderId="30" xfId="7" applyNumberFormat="1" applyFont="1" applyFill="1" applyBorder="1" applyAlignment="1">
      <alignment horizontal="center"/>
    </xf>
    <xf numFmtId="168" fontId="20" fillId="7" borderId="27" xfId="7" applyNumberFormat="1" applyFont="1" applyFill="1" applyBorder="1" applyAlignment="1">
      <alignment horizontal="center"/>
    </xf>
    <xf numFmtId="168" fontId="20" fillId="7" borderId="28" xfId="7" applyNumberFormat="1" applyFont="1" applyFill="1" applyBorder="1" applyAlignment="1">
      <alignment horizontal="center"/>
    </xf>
    <xf numFmtId="9" fontId="19" fillId="7" borderId="40" xfId="7" applyNumberFormat="1" applyFont="1" applyFill="1" applyBorder="1" applyAlignment="1">
      <alignment horizontal="center"/>
    </xf>
    <xf numFmtId="0" fontId="19" fillId="7" borderId="5" xfId="7" applyFont="1" applyFill="1" applyBorder="1" applyAlignment="1">
      <alignment horizontal="center"/>
    </xf>
    <xf numFmtId="0" fontId="19" fillId="7" borderId="39" xfId="7" applyFont="1" applyFill="1" applyBorder="1" applyAlignment="1">
      <alignment horizontal="center"/>
    </xf>
    <xf numFmtId="0" fontId="19" fillId="7" borderId="38" xfId="7" applyFont="1" applyFill="1" applyBorder="1" applyAlignment="1">
      <alignment horizontal="center"/>
    </xf>
    <xf numFmtId="0" fontId="19" fillId="7" borderId="33" xfId="7" applyFont="1" applyFill="1" applyBorder="1" applyAlignment="1">
      <alignment horizontal="center"/>
    </xf>
    <xf numFmtId="3" fontId="19" fillId="7" borderId="37" xfId="7" quotePrefix="1" applyNumberFormat="1" applyFont="1" applyFill="1" applyBorder="1" applyAlignment="1">
      <alignment horizontal="center"/>
    </xf>
    <xf numFmtId="3" fontId="19" fillId="7" borderId="34" xfId="7" quotePrefix="1" applyNumberFormat="1" applyFont="1" applyFill="1" applyBorder="1" applyAlignment="1">
      <alignment horizontal="center"/>
    </xf>
    <xf numFmtId="3" fontId="19" fillId="7" borderId="35" xfId="7" quotePrefix="1" applyNumberFormat="1" applyFont="1" applyFill="1" applyBorder="1" applyAlignment="1">
      <alignment horizontal="center"/>
    </xf>
    <xf numFmtId="3" fontId="19" fillId="7" borderId="36" xfId="7" quotePrefix="1" applyNumberFormat="1" applyFont="1" applyFill="1" applyBorder="1" applyAlignment="1">
      <alignment horizontal="center"/>
    </xf>
    <xf numFmtId="4" fontId="19" fillId="7" borderId="5" xfId="7" applyNumberFormat="1" applyFont="1" applyFill="1" applyBorder="1" applyAlignment="1">
      <alignment horizontal="center"/>
    </xf>
    <xf numFmtId="168" fontId="19" fillId="7" borderId="5" xfId="7" applyNumberFormat="1" applyFont="1" applyFill="1" applyBorder="1" applyAlignment="1">
      <alignment horizontal="center"/>
    </xf>
    <xf numFmtId="0" fontId="19" fillId="4" borderId="4" xfId="7" applyFont="1" applyFill="1" applyBorder="1" applyAlignment="1">
      <alignment horizontal="center"/>
    </xf>
    <xf numFmtId="0" fontId="8" fillId="4" borderId="46" xfId="7" applyFont="1" applyFill="1" applyBorder="1" applyAlignment="1">
      <alignment horizontal="centerContinuous"/>
    </xf>
    <xf numFmtId="0" fontId="8" fillId="4" borderId="42" xfId="7" applyFont="1" applyFill="1" applyBorder="1" applyAlignment="1">
      <alignment horizontal="centerContinuous"/>
    </xf>
    <xf numFmtId="0" fontId="19" fillId="4" borderId="42" xfId="7" applyFont="1" applyFill="1" applyBorder="1" applyAlignment="1">
      <alignment horizontal="centerContinuous"/>
    </xf>
    <xf numFmtId="0" fontId="19" fillId="4" borderId="41" xfId="7" applyFont="1" applyFill="1" applyBorder="1" applyAlignment="1">
      <alignment horizontal="centerContinuous"/>
    </xf>
    <xf numFmtId="0" fontId="19" fillId="4" borderId="1" xfId="7" applyFont="1" applyFill="1" applyBorder="1" applyAlignment="1">
      <alignment horizontal="centerContinuous"/>
    </xf>
    <xf numFmtId="3" fontId="19" fillId="4" borderId="2" xfId="7" applyNumberFormat="1" applyFont="1" applyFill="1" applyBorder="1" applyAlignment="1">
      <alignment horizontal="centerContinuous"/>
    </xf>
    <xf numFmtId="3" fontId="19" fillId="4" borderId="3" xfId="7" quotePrefix="1" applyNumberFormat="1" applyFont="1" applyFill="1" applyBorder="1" applyAlignment="1">
      <alignment horizontal="centerContinuous"/>
    </xf>
    <xf numFmtId="4" fontId="19" fillId="4" borderId="4" xfId="7" applyNumberFormat="1" applyFont="1" applyFill="1" applyBorder="1" applyAlignment="1">
      <alignment horizontal="center"/>
    </xf>
    <xf numFmtId="0" fontId="8" fillId="4" borderId="4" xfId="7" applyFont="1" applyFill="1" applyBorder="1" applyAlignment="1">
      <alignment horizontal="center"/>
    </xf>
    <xf numFmtId="4" fontId="19" fillId="4" borderId="1" xfId="7" applyNumberFormat="1" applyFont="1" applyFill="1" applyBorder="1" applyAlignment="1">
      <alignment horizontal="centerContinuous"/>
    </xf>
    <xf numFmtId="4" fontId="19" fillId="4" borderId="4" xfId="7" applyNumberFormat="1" applyFont="1" applyFill="1" applyBorder="1" applyAlignment="1">
      <alignment horizontal="centerContinuous"/>
    </xf>
    <xf numFmtId="0" fontId="19" fillId="4" borderId="17" xfId="7" applyFont="1" applyFill="1" applyBorder="1" applyAlignment="1">
      <alignment horizontal="center"/>
    </xf>
    <xf numFmtId="0" fontId="19" fillId="4" borderId="40" xfId="7" applyFont="1" applyFill="1" applyBorder="1" applyAlignment="1">
      <alignment horizontal="center"/>
    </xf>
    <xf numFmtId="0" fontId="19" fillId="4" borderId="0" xfId="7" applyFont="1" applyFill="1" applyAlignment="1">
      <alignment horizontal="center"/>
    </xf>
    <xf numFmtId="0" fontId="19" fillId="4" borderId="26" xfId="7" applyFont="1" applyFill="1" applyBorder="1" applyAlignment="1">
      <alignment horizontal="center"/>
    </xf>
    <xf numFmtId="3" fontId="19" fillId="4" borderId="45" xfId="7" applyNumberFormat="1" applyFont="1" applyFill="1" applyBorder="1" applyAlignment="1">
      <alignment horizontal="centerContinuous"/>
    </xf>
    <xf numFmtId="3" fontId="19" fillId="4" borderId="44" xfId="7" quotePrefix="1" applyNumberFormat="1" applyFont="1" applyFill="1" applyBorder="1" applyAlignment="1">
      <alignment horizontal="centerContinuous"/>
    </xf>
    <xf numFmtId="3" fontId="19" fillId="4" borderId="44" xfId="7" applyNumberFormat="1" applyFont="1" applyFill="1" applyBorder="1" applyAlignment="1">
      <alignment horizontal="centerContinuous"/>
    </xf>
    <xf numFmtId="3" fontId="19" fillId="4" borderId="43" xfId="7" applyNumberFormat="1" applyFont="1" applyFill="1" applyBorder="1" applyAlignment="1">
      <alignment horizontal="centerContinuous"/>
    </xf>
    <xf numFmtId="4" fontId="19" fillId="4" borderId="17" xfId="7" applyNumberFormat="1" applyFont="1" applyFill="1" applyBorder="1" applyAlignment="1">
      <alignment horizontal="center"/>
    </xf>
    <xf numFmtId="0" fontId="8" fillId="4" borderId="17" xfId="7" applyFont="1" applyFill="1" applyBorder="1" applyAlignment="1">
      <alignment horizontal="center"/>
    </xf>
    <xf numFmtId="168" fontId="19" fillId="4" borderId="17" xfId="7" applyNumberFormat="1" applyFont="1" applyFill="1" applyBorder="1" applyAlignment="1">
      <alignment horizontal="center"/>
    </xf>
    <xf numFmtId="4" fontId="19" fillId="4" borderId="17" xfId="7" quotePrefix="1" applyNumberFormat="1" applyFont="1" applyFill="1" applyBorder="1" applyAlignment="1">
      <alignment horizontal="center"/>
    </xf>
    <xf numFmtId="4" fontId="20" fillId="4" borderId="17" xfId="7" applyNumberFormat="1" applyFont="1" applyFill="1" applyBorder="1" applyAlignment="1">
      <alignment horizontal="center"/>
    </xf>
    <xf numFmtId="4" fontId="21" fillId="4" borderId="17" xfId="7" applyNumberFormat="1" applyFont="1" applyFill="1" applyBorder="1" applyAlignment="1">
      <alignment horizontal="center"/>
    </xf>
    <xf numFmtId="4" fontId="8" fillId="4" borderId="17" xfId="7" applyNumberFormat="1" applyFont="1" applyFill="1" applyBorder="1" applyAlignment="1">
      <alignment horizontal="center"/>
    </xf>
    <xf numFmtId="3" fontId="19" fillId="4" borderId="29" xfId="7" applyNumberFormat="1" applyFont="1" applyFill="1" applyBorder="1" applyAlignment="1">
      <alignment horizontal="center"/>
    </xf>
    <xf numFmtId="3" fontId="19" fillId="4" borderId="30" xfId="7" applyNumberFormat="1" applyFont="1" applyFill="1" applyBorder="1" applyAlignment="1">
      <alignment horizontal="center"/>
    </xf>
    <xf numFmtId="3" fontId="19" fillId="4" borderId="27" xfId="7" applyNumberFormat="1" applyFont="1" applyFill="1" applyBorder="1" applyAlignment="1">
      <alignment horizontal="center"/>
    </xf>
    <xf numFmtId="3" fontId="19" fillId="4" borderId="28" xfId="7" applyNumberFormat="1" applyFont="1" applyFill="1" applyBorder="1" applyAlignment="1">
      <alignment horizontal="center"/>
    </xf>
    <xf numFmtId="1" fontId="19" fillId="4" borderId="17" xfId="7" quotePrefix="1" applyNumberFormat="1" applyFont="1" applyFill="1" applyBorder="1" applyAlignment="1">
      <alignment horizontal="center"/>
    </xf>
    <xf numFmtId="168" fontId="19" fillId="4" borderId="17" xfId="7" applyNumberFormat="1" applyFont="1" applyFill="1" applyBorder="1" applyAlignment="1">
      <alignment horizontal="right"/>
    </xf>
    <xf numFmtId="4" fontId="19" fillId="4" borderId="40" xfId="7" applyNumberFormat="1" applyFont="1" applyFill="1" applyBorder="1" applyAlignment="1">
      <alignment horizontal="center"/>
    </xf>
    <xf numFmtId="4" fontId="19" fillId="4" borderId="26" xfId="7" applyNumberFormat="1" applyFont="1" applyFill="1" applyBorder="1" applyAlignment="1">
      <alignment horizontal="center"/>
    </xf>
    <xf numFmtId="168" fontId="20" fillId="4" borderId="29" xfId="7" applyNumberFormat="1" applyFont="1" applyFill="1" applyBorder="1" applyAlignment="1">
      <alignment horizontal="center"/>
    </xf>
    <xf numFmtId="168" fontId="20" fillId="4" borderId="30" xfId="7" applyNumberFormat="1" applyFont="1" applyFill="1" applyBorder="1" applyAlignment="1">
      <alignment horizontal="center"/>
    </xf>
    <xf numFmtId="168" fontId="20" fillId="4" borderId="27" xfId="7" applyNumberFormat="1" applyFont="1" applyFill="1" applyBorder="1" applyAlignment="1">
      <alignment horizontal="center"/>
    </xf>
    <xf numFmtId="168" fontId="20" fillId="4" borderId="28" xfId="7" applyNumberFormat="1" applyFont="1" applyFill="1" applyBorder="1" applyAlignment="1">
      <alignment horizontal="center"/>
    </xf>
    <xf numFmtId="9" fontId="19" fillId="4" borderId="40" xfId="7" applyNumberFormat="1" applyFont="1" applyFill="1" applyBorder="1" applyAlignment="1">
      <alignment horizontal="center"/>
    </xf>
    <xf numFmtId="0" fontId="19" fillId="4" borderId="5" xfId="7" applyFont="1" applyFill="1" applyBorder="1" applyAlignment="1">
      <alignment horizontal="center"/>
    </xf>
    <xf numFmtId="0" fontId="19" fillId="4" borderId="39" xfId="7" applyFont="1" applyFill="1" applyBorder="1" applyAlignment="1">
      <alignment horizontal="center"/>
    </xf>
    <xf numFmtId="0" fontId="19" fillId="4" borderId="38" xfId="7" applyFont="1" applyFill="1" applyBorder="1" applyAlignment="1">
      <alignment horizontal="center"/>
    </xf>
    <xf numFmtId="0" fontId="19" fillId="4" borderId="33" xfId="7" applyFont="1" applyFill="1" applyBorder="1" applyAlignment="1">
      <alignment horizontal="center"/>
    </xf>
    <xf numFmtId="3" fontId="19" fillId="4" borderId="37" xfId="7" quotePrefix="1" applyNumberFormat="1" applyFont="1" applyFill="1" applyBorder="1" applyAlignment="1">
      <alignment horizontal="center"/>
    </xf>
    <xf numFmtId="3" fontId="19" fillId="4" borderId="34" xfId="7" quotePrefix="1" applyNumberFormat="1" applyFont="1" applyFill="1" applyBorder="1" applyAlignment="1">
      <alignment horizontal="center"/>
    </xf>
    <xf numFmtId="3" fontId="19" fillId="4" borderId="35" xfId="7" quotePrefix="1" applyNumberFormat="1" applyFont="1" applyFill="1" applyBorder="1" applyAlignment="1">
      <alignment horizontal="center"/>
    </xf>
    <xf numFmtId="3" fontId="19" fillId="4" borderId="36" xfId="7" quotePrefix="1" applyNumberFormat="1" applyFont="1" applyFill="1" applyBorder="1" applyAlignment="1">
      <alignment horizontal="center"/>
    </xf>
    <xf numFmtId="4" fontId="19" fillId="4" borderId="5" xfId="7" applyNumberFormat="1" applyFont="1" applyFill="1" applyBorder="1" applyAlignment="1">
      <alignment horizontal="center"/>
    </xf>
    <xf numFmtId="168" fontId="19" fillId="4" borderId="5" xfId="7" applyNumberFormat="1" applyFont="1" applyFill="1" applyBorder="1" applyAlignment="1">
      <alignment horizontal="center"/>
    </xf>
    <xf numFmtId="3" fontId="19" fillId="7" borderId="19" xfId="7" quotePrefix="1" applyNumberFormat="1" applyFont="1" applyFill="1" applyBorder="1" applyAlignment="1">
      <alignment horizontal="centerContinuous"/>
    </xf>
    <xf numFmtId="0" fontId="4" fillId="5" borderId="0" xfId="0" applyFont="1" applyFill="1"/>
    <xf numFmtId="0" fontId="15" fillId="0" borderId="68" xfId="7" quotePrefix="1" applyFont="1" applyBorder="1" applyAlignment="1">
      <alignment horizontal="center"/>
    </xf>
    <xf numFmtId="0" fontId="15" fillId="0" borderId="69" xfId="7" applyFont="1" applyBorder="1" applyAlignment="1">
      <alignment horizontal="left"/>
    </xf>
    <xf numFmtId="43" fontId="15" fillId="0" borderId="68" xfId="7" applyNumberFormat="1" applyFont="1" applyBorder="1"/>
    <xf numFmtId="43" fontId="15" fillId="0" borderId="68" xfId="7" applyNumberFormat="1" applyFont="1" applyBorder="1" applyAlignment="1">
      <alignment horizontal="right"/>
    </xf>
    <xf numFmtId="43" fontId="15" fillId="0" borderId="69" xfId="8" applyFont="1" applyBorder="1"/>
    <xf numFmtId="43" fontId="15" fillId="0" borderId="68" xfId="8" applyFont="1" applyBorder="1"/>
    <xf numFmtId="3" fontId="19" fillId="4" borderId="13" xfId="7" quotePrefix="1" applyNumberFormat="1" applyFont="1" applyFill="1" applyBorder="1" applyAlignment="1">
      <alignment horizontal="centerContinuous"/>
    </xf>
    <xf numFmtId="3" fontId="19" fillId="4" borderId="70" xfId="7" quotePrefix="1" applyNumberFormat="1" applyFont="1" applyFill="1" applyBorder="1" applyAlignment="1">
      <alignment horizontal="centerContinuous"/>
    </xf>
    <xf numFmtId="3" fontId="19" fillId="6" borderId="13" xfId="7" quotePrefix="1" applyNumberFormat="1" applyFont="1" applyFill="1" applyBorder="1" applyAlignment="1">
      <alignment horizontal="centerContinuous"/>
    </xf>
    <xf numFmtId="3" fontId="19" fillId="6" borderId="70" xfId="7" quotePrefix="1" applyNumberFormat="1" applyFont="1" applyFill="1" applyBorder="1" applyAlignment="1">
      <alignment horizontal="centerContinuous"/>
    </xf>
    <xf numFmtId="3" fontId="19" fillId="7" borderId="13" xfId="7" quotePrefix="1" applyNumberFormat="1" applyFont="1" applyFill="1" applyBorder="1" applyAlignment="1">
      <alignment horizontal="centerContinuous"/>
    </xf>
    <xf numFmtId="3" fontId="19" fillId="7" borderId="70" xfId="7" quotePrefix="1" applyNumberFormat="1" applyFont="1" applyFill="1" applyBorder="1" applyAlignment="1">
      <alignment horizontal="centerContinuous"/>
    </xf>
    <xf numFmtId="3" fontId="18" fillId="0" borderId="50" xfId="7" quotePrefix="1" applyNumberFormat="1" applyFont="1" applyBorder="1" applyAlignment="1">
      <alignment horizontal="center"/>
    </xf>
    <xf numFmtId="3" fontId="18" fillId="0" borderId="43" xfId="7" quotePrefix="1" applyNumberFormat="1" applyFont="1" applyBorder="1" applyAlignment="1">
      <alignment horizontal="center"/>
    </xf>
    <xf numFmtId="43" fontId="15" fillId="0" borderId="60" xfId="8" applyFont="1" applyBorder="1"/>
    <xf numFmtId="43" fontId="14" fillId="0" borderId="0" xfId="7" applyNumberFormat="1" applyFont="1"/>
    <xf numFmtId="4" fontId="19" fillId="7" borderId="1" xfId="7" applyNumberFormat="1" applyFont="1" applyFill="1" applyBorder="1" applyAlignment="1">
      <alignment horizontal="center"/>
    </xf>
    <xf numFmtId="43" fontId="15" fillId="0" borderId="6" xfId="8" applyFont="1" applyBorder="1"/>
    <xf numFmtId="4" fontId="19" fillId="4" borderId="1" xfId="7" applyNumberFormat="1" applyFont="1" applyFill="1" applyBorder="1" applyAlignment="1">
      <alignment horizontal="center"/>
    </xf>
    <xf numFmtId="4" fontId="18" fillId="0" borderId="5" xfId="7" applyNumberFormat="1" applyFont="1" applyBorder="1" applyAlignment="1">
      <alignment horizontal="center"/>
    </xf>
    <xf numFmtId="43" fontId="16" fillId="0" borderId="19" xfId="8" applyFont="1" applyBorder="1" applyAlignment="1">
      <alignment horizontal="center"/>
    </xf>
    <xf numFmtId="43" fontId="16" fillId="0" borderId="63" xfId="8" applyFont="1" applyBorder="1" applyAlignment="1">
      <alignment horizontal="center"/>
    </xf>
    <xf numFmtId="43" fontId="39" fillId="0" borderId="11" xfId="7" applyNumberFormat="1" applyFont="1" applyBorder="1" applyAlignment="1">
      <alignment horizontal="right"/>
    </xf>
    <xf numFmtId="0" fontId="39" fillId="5" borderId="11" xfId="7" applyFont="1" applyFill="1" applyBorder="1" applyAlignment="1">
      <alignment horizontal="center"/>
    </xf>
    <xf numFmtId="0" fontId="6" fillId="0" borderId="0" xfId="0" applyFont="1"/>
    <xf numFmtId="0" fontId="32" fillId="7" borderId="1" xfId="0" applyFont="1" applyFill="1" applyBorder="1" applyAlignment="1">
      <alignment horizontal="center"/>
    </xf>
    <xf numFmtId="0" fontId="25" fillId="0" borderId="0" xfId="9" applyFont="1" applyFill="1"/>
    <xf numFmtId="43" fontId="25" fillId="0" borderId="0" xfId="9" applyNumberFormat="1" applyFont="1" applyFill="1"/>
    <xf numFmtId="0" fontId="7" fillId="0" borderId="0" xfId="9" applyFont="1" applyFill="1"/>
    <xf numFmtId="0" fontId="7" fillId="0" borderId="0" xfId="9" applyFont="1" applyFill="1" applyAlignment="1">
      <alignment horizontal="center"/>
    </xf>
    <xf numFmtId="0" fontId="25" fillId="0" borderId="4" xfId="9" applyFont="1" applyFill="1" applyBorder="1" applyAlignment="1">
      <alignment horizontal="center"/>
    </xf>
    <xf numFmtId="0" fontId="25" fillId="0" borderId="41" xfId="9" applyFont="1" applyFill="1" applyBorder="1" applyAlignment="1">
      <alignment horizontal="center"/>
    </xf>
    <xf numFmtId="0" fontId="25" fillId="0" borderId="1" xfId="9" applyFont="1" applyFill="1" applyBorder="1" applyAlignment="1">
      <alignment horizontal="center"/>
    </xf>
    <xf numFmtId="0" fontId="25" fillId="0" borderId="17" xfId="9" applyFont="1" applyFill="1" applyBorder="1"/>
    <xf numFmtId="0" fontId="25" fillId="0" borderId="26" xfId="9" applyFont="1" applyFill="1" applyBorder="1"/>
    <xf numFmtId="0" fontId="29" fillId="0" borderId="1" xfId="9" applyFont="1" applyFill="1" applyBorder="1" applyAlignment="1">
      <alignment horizontal="center" vertical="center"/>
    </xf>
    <xf numFmtId="0" fontId="25" fillId="0" borderId="41" xfId="9" applyFont="1" applyFill="1" applyBorder="1" applyAlignment="1">
      <alignment horizontal="center" vertical="center"/>
    </xf>
    <xf numFmtId="0" fontId="25" fillId="0" borderId="4" xfId="9" applyFont="1" applyFill="1" applyBorder="1" applyAlignment="1">
      <alignment horizontal="center" vertical="center"/>
    </xf>
    <xf numFmtId="0" fontId="26" fillId="0" borderId="1" xfId="9" applyFont="1" applyFill="1" applyBorder="1" applyAlignment="1">
      <alignment horizontal="center"/>
    </xf>
    <xf numFmtId="0" fontId="26" fillId="0" borderId="4" xfId="9" applyFont="1" applyFill="1" applyBorder="1" applyAlignment="1">
      <alignment horizontal="center"/>
    </xf>
    <xf numFmtId="2" fontId="25" fillId="0" borderId="4" xfId="9" applyNumberFormat="1" applyFont="1" applyFill="1" applyBorder="1" applyAlignment="1">
      <alignment horizontal="center"/>
    </xf>
    <xf numFmtId="2" fontId="25" fillId="0" borderId="26" xfId="9" applyNumberFormat="1" applyFont="1" applyFill="1" applyBorder="1" applyAlignment="1">
      <alignment horizontal="center"/>
    </xf>
    <xf numFmtId="0" fontId="25" fillId="0" borderId="17" xfId="9" applyFont="1" applyFill="1" applyBorder="1" applyAlignment="1">
      <alignment horizontal="center"/>
    </xf>
    <xf numFmtId="0" fontId="29" fillId="0" borderId="4" xfId="9" applyFont="1" applyFill="1" applyBorder="1" applyAlignment="1">
      <alignment horizontal="center"/>
    </xf>
    <xf numFmtId="0" fontId="25" fillId="0" borderId="39" xfId="9" applyFont="1" applyFill="1" applyBorder="1" applyAlignment="1">
      <alignment horizontal="center"/>
    </xf>
    <xf numFmtId="0" fontId="26" fillId="0" borderId="39" xfId="9" applyFont="1" applyFill="1" applyBorder="1" applyAlignment="1">
      <alignment horizontal="center"/>
    </xf>
    <xf numFmtId="0" fontId="25" fillId="0" borderId="5" xfId="9" applyFont="1" applyFill="1" applyBorder="1" applyAlignment="1">
      <alignment horizontal="center"/>
    </xf>
    <xf numFmtId="0" fontId="25" fillId="0" borderId="5" xfId="9" applyFont="1" applyFill="1" applyBorder="1" applyAlignment="1">
      <alignment vertical="center"/>
    </xf>
    <xf numFmtId="0" fontId="5" fillId="0" borderId="4" xfId="9" applyFill="1" applyBorder="1" applyAlignment="1">
      <alignment horizontal="center" vertical="center"/>
    </xf>
    <xf numFmtId="0" fontId="8" fillId="0" borderId="4" xfId="9" applyFont="1" applyFill="1" applyBorder="1" applyAlignment="1">
      <alignment horizontal="center" vertical="center"/>
    </xf>
    <xf numFmtId="0" fontId="25" fillId="0" borderId="26" xfId="9" applyFont="1" applyFill="1" applyBorder="1" applyAlignment="1">
      <alignment horizontal="center"/>
    </xf>
    <xf numFmtId="0" fontId="25" fillId="0" borderId="26" xfId="9" applyFont="1" applyFill="1" applyBorder="1" applyAlignment="1">
      <alignment horizontal="center" vertical="center"/>
    </xf>
    <xf numFmtId="0" fontId="25" fillId="0" borderId="17" xfId="9" applyFont="1" applyFill="1" applyBorder="1" applyAlignment="1">
      <alignment horizontal="center" vertical="center"/>
    </xf>
    <xf numFmtId="0" fontId="25" fillId="0" borderId="4" xfId="9" applyFont="1" applyFill="1" applyBorder="1"/>
    <xf numFmtId="0" fontId="8" fillId="0" borderId="17" xfId="9" applyFont="1" applyFill="1" applyBorder="1" applyAlignment="1">
      <alignment horizontal="center"/>
    </xf>
    <xf numFmtId="0" fontId="25" fillId="0" borderId="0" xfId="9" applyFont="1" applyFill="1" applyAlignment="1">
      <alignment horizontal="center"/>
    </xf>
    <xf numFmtId="2" fontId="25" fillId="0" borderId="17" xfId="9" applyNumberFormat="1" applyFont="1" applyFill="1" applyBorder="1" applyAlignment="1">
      <alignment horizontal="center"/>
    </xf>
    <xf numFmtId="0" fontId="25" fillId="0" borderId="5" xfId="9" applyFont="1" applyFill="1" applyBorder="1"/>
    <xf numFmtId="0" fontId="25" fillId="0" borderId="33" xfId="9" applyFont="1" applyFill="1" applyBorder="1" applyAlignment="1">
      <alignment horizontal="center"/>
    </xf>
    <xf numFmtId="0" fontId="25" fillId="0" borderId="38" xfId="9" applyFont="1" applyFill="1" applyBorder="1" applyAlignment="1">
      <alignment horizontal="center"/>
    </xf>
    <xf numFmtId="0" fontId="7" fillId="0" borderId="11" xfId="9" applyFont="1" applyFill="1" applyBorder="1"/>
    <xf numFmtId="43" fontId="7" fillId="0" borderId="59" xfId="9" applyNumberFormat="1" applyFont="1" applyFill="1" applyBorder="1"/>
    <xf numFmtId="43" fontId="7" fillId="0" borderId="57" xfId="9" applyNumberFormat="1" applyFont="1" applyFill="1" applyBorder="1"/>
    <xf numFmtId="0" fontId="7" fillId="0" borderId="57" xfId="9" applyFont="1" applyFill="1" applyBorder="1"/>
    <xf numFmtId="0" fontId="7" fillId="0" borderId="58" xfId="9" applyFont="1" applyFill="1" applyBorder="1"/>
    <xf numFmtId="0" fontId="7" fillId="0" borderId="56" xfId="9" applyFont="1" applyFill="1" applyBorder="1"/>
    <xf numFmtId="43" fontId="7" fillId="0" borderId="55" xfId="9" applyNumberFormat="1" applyFont="1" applyFill="1" applyBorder="1"/>
    <xf numFmtId="43" fontId="7" fillId="0" borderId="58" xfId="9" applyNumberFormat="1" applyFont="1" applyFill="1" applyBorder="1"/>
    <xf numFmtId="43" fontId="7" fillId="0" borderId="56" xfId="9" applyNumberFormat="1" applyFont="1" applyFill="1" applyBorder="1"/>
    <xf numFmtId="0" fontId="7" fillId="0" borderId="55" xfId="9" applyFont="1" applyFill="1" applyBorder="1"/>
    <xf numFmtId="0" fontId="7" fillId="0" borderId="22" xfId="9" applyFont="1" applyFill="1" applyBorder="1"/>
    <xf numFmtId="0" fontId="7" fillId="0" borderId="71" xfId="9" applyFont="1" applyFill="1" applyBorder="1"/>
    <xf numFmtId="0" fontId="25" fillId="0" borderId="6" xfId="9" applyFont="1" applyFill="1" applyBorder="1"/>
    <xf numFmtId="0" fontId="28" fillId="0" borderId="23" xfId="9" applyFont="1" applyFill="1" applyBorder="1"/>
    <xf numFmtId="43" fontId="25" fillId="0" borderId="22" xfId="9" applyNumberFormat="1" applyFont="1" applyFill="1" applyBorder="1"/>
    <xf numFmtId="0" fontId="25" fillId="0" borderId="22" xfId="9" applyFont="1" applyFill="1" applyBorder="1"/>
    <xf numFmtId="0" fontId="25" fillId="0" borderId="25" xfId="9" applyFont="1" applyFill="1" applyBorder="1"/>
    <xf numFmtId="43" fontId="25" fillId="0" borderId="24" xfId="9" applyNumberFormat="1" applyFont="1" applyFill="1" applyBorder="1"/>
    <xf numFmtId="43" fontId="25" fillId="0" borderId="21" xfId="9" applyNumberFormat="1" applyFont="1" applyFill="1" applyBorder="1"/>
    <xf numFmtId="43" fontId="25" fillId="0" borderId="25" xfId="9" applyNumberFormat="1" applyFont="1" applyFill="1" applyBorder="1"/>
    <xf numFmtId="43" fontId="25" fillId="0" borderId="21" xfId="9" applyNumberFormat="1" applyFont="1" applyFill="1" applyBorder="1" applyAlignment="1">
      <alignment horizontal="center"/>
    </xf>
    <xf numFmtId="43" fontId="25" fillId="0" borderId="22" xfId="9" applyNumberFormat="1" applyFont="1" applyFill="1" applyBorder="1" applyAlignment="1">
      <alignment horizontal="center"/>
    </xf>
    <xf numFmtId="43" fontId="25" fillId="0" borderId="24" xfId="9" applyNumberFormat="1" applyFont="1" applyFill="1" applyBorder="1" applyAlignment="1">
      <alignment horizontal="center"/>
    </xf>
    <xf numFmtId="0" fontId="25" fillId="0" borderId="21" xfId="9" applyFont="1" applyFill="1" applyBorder="1"/>
    <xf numFmtId="0" fontId="25" fillId="0" borderId="24" xfId="9" applyFont="1" applyFill="1" applyBorder="1"/>
    <xf numFmtId="0" fontId="26" fillId="0" borderId="21" xfId="9" applyFont="1" applyFill="1" applyBorder="1"/>
    <xf numFmtId="2" fontId="26" fillId="0" borderId="22" xfId="9" applyNumberFormat="1" applyFont="1" applyFill="1" applyBorder="1"/>
    <xf numFmtId="43" fontId="26" fillId="0" borderId="22" xfId="9" applyNumberFormat="1" applyFont="1" applyFill="1" applyBorder="1" applyAlignment="1">
      <alignment horizontal="center"/>
    </xf>
    <xf numFmtId="2" fontId="26" fillId="0" borderId="21" xfId="9" applyNumberFormat="1" applyFont="1" applyFill="1" applyBorder="1"/>
    <xf numFmtId="4" fontId="25" fillId="0" borderId="0" xfId="9" applyNumberFormat="1" applyFont="1" applyFill="1"/>
    <xf numFmtId="43" fontId="25" fillId="0" borderId="11" xfId="9" applyNumberFormat="1" applyFont="1" applyFill="1" applyBorder="1"/>
    <xf numFmtId="43" fontId="26" fillId="0" borderId="21" xfId="9" applyNumberFormat="1" applyFont="1" applyFill="1" applyBorder="1"/>
    <xf numFmtId="43" fontId="26" fillId="0" borderId="22" xfId="9" applyNumberFormat="1" applyFont="1" applyFill="1" applyBorder="1"/>
    <xf numFmtId="43" fontId="25" fillId="0" borderId="68" xfId="9" applyNumberFormat="1" applyFont="1" applyFill="1" applyBorder="1"/>
    <xf numFmtId="43" fontId="26" fillId="0" borderId="24" xfId="9" applyNumberFormat="1" applyFont="1" applyFill="1" applyBorder="1"/>
    <xf numFmtId="43" fontId="26" fillId="0" borderId="25" xfId="9" applyNumberFormat="1" applyFont="1" applyFill="1" applyBorder="1"/>
    <xf numFmtId="43" fontId="30" fillId="0" borderId="21" xfId="9" applyNumberFormat="1" applyFont="1" applyFill="1" applyBorder="1"/>
    <xf numFmtId="2" fontId="25" fillId="0" borderId="21" xfId="9" applyNumberFormat="1" applyFont="1" applyFill="1" applyBorder="1"/>
    <xf numFmtId="2" fontId="25" fillId="0" borderId="22" xfId="9" applyNumberFormat="1" applyFont="1" applyFill="1" applyBorder="1"/>
    <xf numFmtId="2" fontId="25" fillId="0" borderId="25" xfId="9" applyNumberFormat="1" applyFont="1" applyFill="1" applyBorder="1"/>
    <xf numFmtId="2" fontId="25" fillId="0" borderId="24" xfId="9" applyNumberFormat="1" applyFont="1" applyFill="1" applyBorder="1"/>
    <xf numFmtId="0" fontId="25" fillId="0" borderId="11" xfId="9" applyFont="1" applyFill="1" applyBorder="1"/>
    <xf numFmtId="43" fontId="27" fillId="0" borderId="21" xfId="9" applyNumberFormat="1" applyFont="1" applyFill="1" applyBorder="1" applyAlignment="1">
      <alignment horizontal="right"/>
    </xf>
    <xf numFmtId="43" fontId="27" fillId="0" borderId="22" xfId="9" applyNumberFormat="1" applyFont="1" applyFill="1" applyBorder="1"/>
    <xf numFmtId="43" fontId="27" fillId="0" borderId="25" xfId="9" applyNumberFormat="1" applyFont="1" applyFill="1" applyBorder="1"/>
    <xf numFmtId="43" fontId="27" fillId="0" borderId="24" xfId="9" applyNumberFormat="1" applyFont="1" applyFill="1" applyBorder="1"/>
    <xf numFmtId="43" fontId="27" fillId="0" borderId="21" xfId="9" applyNumberFormat="1" applyFont="1" applyFill="1" applyBorder="1"/>
    <xf numFmtId="2" fontId="27" fillId="0" borderId="21" xfId="9" applyNumberFormat="1" applyFont="1" applyFill="1" applyBorder="1"/>
    <xf numFmtId="2" fontId="27" fillId="0" borderId="22" xfId="9" applyNumberFormat="1" applyFont="1" applyFill="1" applyBorder="1"/>
    <xf numFmtId="2" fontId="27" fillId="0" borderId="25" xfId="9" applyNumberFormat="1" applyFont="1" applyFill="1" applyBorder="1"/>
    <xf numFmtId="2" fontId="27" fillId="0" borderId="24" xfId="9" applyNumberFormat="1" applyFont="1" applyFill="1" applyBorder="1"/>
    <xf numFmtId="0" fontId="28" fillId="0" borderId="21" xfId="9" applyFont="1" applyFill="1" applyBorder="1"/>
    <xf numFmtId="43" fontId="25" fillId="0" borderId="25" xfId="9" applyNumberFormat="1" applyFont="1" applyFill="1" applyBorder="1" applyAlignment="1">
      <alignment horizontal="center"/>
    </xf>
    <xf numFmtId="0" fontId="26" fillId="0" borderId="11" xfId="9" applyFont="1" applyFill="1" applyBorder="1"/>
    <xf numFmtId="43" fontId="26" fillId="0" borderId="21" xfId="9" applyNumberFormat="1" applyFont="1" applyFill="1" applyBorder="1" applyAlignment="1">
      <alignment horizontal="center"/>
    </xf>
    <xf numFmtId="43" fontId="26" fillId="0" borderId="25" xfId="9" applyNumberFormat="1" applyFont="1" applyFill="1" applyBorder="1" applyAlignment="1">
      <alignment horizontal="center"/>
    </xf>
    <xf numFmtId="43" fontId="26" fillId="0" borderId="24" xfId="9" applyNumberFormat="1" applyFont="1" applyFill="1" applyBorder="1" applyAlignment="1">
      <alignment horizontal="center"/>
    </xf>
    <xf numFmtId="2" fontId="26" fillId="0" borderId="25" xfId="9" applyNumberFormat="1" applyFont="1" applyFill="1" applyBorder="1"/>
    <xf numFmtId="2" fontId="26" fillId="0" borderId="24" xfId="9" applyNumberFormat="1" applyFont="1" applyFill="1" applyBorder="1"/>
    <xf numFmtId="0" fontId="26" fillId="0" borderId="0" xfId="9" applyFont="1" applyFill="1"/>
    <xf numFmtId="0" fontId="25" fillId="0" borderId="68" xfId="9" applyFont="1" applyFill="1" applyBorder="1"/>
    <xf numFmtId="43" fontId="26" fillId="0" borderId="52" xfId="9" applyNumberFormat="1" applyFont="1" applyFill="1" applyBorder="1"/>
    <xf numFmtId="43" fontId="25" fillId="0" borderId="52" xfId="9" applyNumberFormat="1" applyFont="1" applyFill="1" applyBorder="1"/>
    <xf numFmtId="0" fontId="25" fillId="0" borderId="16" xfId="9" applyFont="1" applyFill="1" applyBorder="1"/>
    <xf numFmtId="43" fontId="27" fillId="0" borderId="52" xfId="9" applyNumberFormat="1" applyFont="1" applyFill="1" applyBorder="1"/>
    <xf numFmtId="43" fontId="25" fillId="0" borderId="51" xfId="9" applyNumberFormat="1" applyFont="1" applyFill="1" applyBorder="1"/>
    <xf numFmtId="0" fontId="25" fillId="0" borderId="51" xfId="9" applyFont="1" applyFill="1" applyBorder="1"/>
    <xf numFmtId="0" fontId="25" fillId="0" borderId="54" xfId="9" applyFont="1" applyFill="1" applyBorder="1"/>
    <xf numFmtId="0" fontId="25" fillId="0" borderId="53" xfId="9" applyFont="1" applyFill="1" applyBorder="1"/>
    <xf numFmtId="43" fontId="25" fillId="0" borderId="54" xfId="9" applyNumberFormat="1" applyFont="1" applyFill="1" applyBorder="1"/>
    <xf numFmtId="43" fontId="25" fillId="0" borderId="53" xfId="9" applyNumberFormat="1" applyFont="1" applyFill="1" applyBorder="1"/>
    <xf numFmtId="2" fontId="25" fillId="0" borderId="52" xfId="9" applyNumberFormat="1" applyFont="1" applyFill="1" applyBorder="1"/>
    <xf numFmtId="2" fontId="25" fillId="0" borderId="51" xfId="9" applyNumberFormat="1" applyFont="1" applyFill="1" applyBorder="1"/>
    <xf numFmtId="2" fontId="25" fillId="0" borderId="54" xfId="9" applyNumberFormat="1" applyFont="1" applyFill="1" applyBorder="1"/>
    <xf numFmtId="2" fontId="25" fillId="0" borderId="53" xfId="9" applyNumberFormat="1" applyFont="1" applyFill="1" applyBorder="1"/>
    <xf numFmtId="43" fontId="41" fillId="0" borderId="22" xfId="9" applyNumberFormat="1" applyFont="1" applyFill="1" applyBorder="1"/>
    <xf numFmtId="43" fontId="25" fillId="0" borderId="27" xfId="9" applyNumberFormat="1" applyFont="1" applyFill="1" applyBorder="1"/>
    <xf numFmtId="43" fontId="25" fillId="0" borderId="30" xfId="9" applyNumberFormat="1" applyFont="1" applyFill="1" applyBorder="1"/>
    <xf numFmtId="0" fontId="25" fillId="0" borderId="30" xfId="9" applyFont="1" applyFill="1" applyBorder="1"/>
    <xf numFmtId="0" fontId="25" fillId="0" borderId="50" xfId="9" applyFont="1" applyFill="1" applyBorder="1"/>
    <xf numFmtId="0" fontId="25" fillId="0" borderId="28" xfId="9" applyFont="1" applyFill="1" applyBorder="1"/>
    <xf numFmtId="43" fontId="25" fillId="0" borderId="50" xfId="9" applyNumberFormat="1" applyFont="1" applyFill="1" applyBorder="1"/>
    <xf numFmtId="43" fontId="25" fillId="0" borderId="28" xfId="9" applyNumberFormat="1" applyFont="1" applyFill="1" applyBorder="1"/>
    <xf numFmtId="2" fontId="25" fillId="0" borderId="27" xfId="9" applyNumberFormat="1" applyFont="1" applyFill="1" applyBorder="1"/>
    <xf numFmtId="2" fontId="25" fillId="0" borderId="30" xfId="9" applyNumberFormat="1" applyFont="1" applyFill="1" applyBorder="1"/>
    <xf numFmtId="2" fontId="25" fillId="0" borderId="50" xfId="9" applyNumberFormat="1" applyFont="1" applyFill="1" applyBorder="1"/>
    <xf numFmtId="2" fontId="25" fillId="0" borderId="28" xfId="9" applyNumberFormat="1" applyFont="1" applyFill="1" applyBorder="1"/>
    <xf numFmtId="0" fontId="25" fillId="0" borderId="49" xfId="9" applyFont="1" applyFill="1" applyBorder="1"/>
    <xf numFmtId="43" fontId="25" fillId="0" borderId="48" xfId="9" applyNumberFormat="1" applyFont="1" applyFill="1" applyBorder="1" applyAlignment="1">
      <alignment horizontal="centerContinuous"/>
    </xf>
    <xf numFmtId="43" fontId="27" fillId="0" borderId="47" xfId="9" applyNumberFormat="1" applyFont="1" applyFill="1" applyBorder="1"/>
    <xf numFmtId="43" fontId="26" fillId="0" borderId="0" xfId="9" applyNumberFormat="1" applyFont="1" applyFill="1"/>
    <xf numFmtId="43" fontId="38" fillId="0" borderId="69" xfId="7" applyNumberFormat="1" applyFont="1" applyFill="1" applyBorder="1"/>
    <xf numFmtId="43" fontId="25" fillId="0" borderId="0" xfId="9" applyNumberFormat="1" applyFont="1" applyFill="1" applyAlignment="1">
      <alignment horizontal="centerContinuous"/>
    </xf>
    <xf numFmtId="43" fontId="27" fillId="0" borderId="0" xfId="9" applyNumberFormat="1" applyFont="1" applyFill="1"/>
    <xf numFmtId="2" fontId="27" fillId="0" borderId="0" xfId="9" applyNumberFormat="1" applyFont="1" applyFill="1"/>
    <xf numFmtId="0" fontId="34" fillId="7" borderId="41" xfId="0" applyFont="1" applyFill="1" applyBorder="1" applyAlignment="1">
      <alignment horizontal="center"/>
    </xf>
    <xf numFmtId="0" fontId="34" fillId="7" borderId="26" xfId="0" applyFont="1" applyFill="1" applyBorder="1" applyAlignment="1">
      <alignment horizontal="center"/>
    </xf>
    <xf numFmtId="0" fontId="34" fillId="7" borderId="33" xfId="0" applyFont="1" applyFill="1" applyBorder="1" applyAlignment="1">
      <alignment horizontal="center"/>
    </xf>
    <xf numFmtId="2" fontId="32" fillId="0" borderId="25" xfId="0" applyNumberFormat="1" applyFont="1" applyBorder="1"/>
    <xf numFmtId="2" fontId="32" fillId="0" borderId="25" xfId="0" applyNumberFormat="1" applyFont="1" applyBorder="1" applyAlignment="1">
      <alignment horizontal="center"/>
    </xf>
    <xf numFmtId="2" fontId="32" fillId="0" borderId="54" xfId="0" applyNumberFormat="1" applyFont="1" applyBorder="1"/>
    <xf numFmtId="2" fontId="32" fillId="0" borderId="75" xfId="0" applyNumberFormat="1" applyFont="1" applyBorder="1"/>
    <xf numFmtId="2" fontId="32" fillId="0" borderId="71" xfId="0" applyNumberFormat="1" applyFont="1" applyBorder="1" applyAlignment="1">
      <alignment horizontal="center"/>
    </xf>
    <xf numFmtId="2" fontId="32" fillId="0" borderId="76" xfId="0" applyNumberFormat="1" applyFont="1" applyBorder="1" applyAlignment="1">
      <alignment horizontal="center"/>
    </xf>
    <xf numFmtId="0" fontId="11" fillId="3" borderId="68" xfId="0" applyFont="1" applyFill="1" applyBorder="1" applyAlignment="1">
      <alignment horizontal="left"/>
    </xf>
    <xf numFmtId="0" fontId="7" fillId="0" borderId="59" xfId="9" applyFont="1" applyFill="1" applyBorder="1"/>
    <xf numFmtId="43" fontId="8" fillId="0" borderId="0" xfId="9" applyNumberFormat="1" applyFont="1" applyFill="1"/>
    <xf numFmtId="164" fontId="8" fillId="0" borderId="0" xfId="9" applyNumberFormat="1" applyFont="1" applyFill="1" applyAlignment="1">
      <alignment horizontal="center"/>
    </xf>
    <xf numFmtId="164" fontId="25" fillId="0" borderId="0" xfId="9" applyNumberFormat="1" applyFont="1" applyFill="1"/>
    <xf numFmtId="43" fontId="25" fillId="0" borderId="83" xfId="9" applyNumberFormat="1" applyFont="1" applyFill="1" applyBorder="1"/>
    <xf numFmtId="43" fontId="25" fillId="0" borderId="84" xfId="9" applyNumberFormat="1" applyFont="1" applyFill="1" applyBorder="1"/>
    <xf numFmtId="43" fontId="25" fillId="0" borderId="82" xfId="9" applyNumberFormat="1" applyFont="1" applyFill="1" applyBorder="1"/>
    <xf numFmtId="0" fontId="25" fillId="0" borderId="82" xfId="9" applyFont="1" applyFill="1" applyBorder="1"/>
    <xf numFmtId="43" fontId="25" fillId="0" borderId="84" xfId="9" applyNumberFormat="1" applyFont="1" applyFill="1" applyBorder="1" applyAlignment="1">
      <alignment horizontal="center"/>
    </xf>
    <xf numFmtId="2" fontId="25" fillId="0" borderId="84" xfId="9" applyNumberFormat="1" applyFont="1" applyFill="1" applyBorder="1"/>
    <xf numFmtId="164" fontId="19" fillId="0" borderId="0" xfId="9" applyNumberFormat="1" applyFont="1" applyFill="1" applyAlignment="1">
      <alignment horizontal="center"/>
    </xf>
    <xf numFmtId="43" fontId="5" fillId="0" borderId="79" xfId="1" applyFont="1" applyBorder="1" applyAlignment="1">
      <alignment horizontal="center"/>
    </xf>
    <xf numFmtId="43" fontId="45" fillId="0" borderId="22" xfId="9" applyNumberFormat="1" applyFont="1" applyFill="1" applyBorder="1"/>
    <xf numFmtId="43" fontId="5" fillId="0" borderId="22" xfId="9" applyNumberFormat="1" applyFont="1" applyFill="1" applyBorder="1"/>
    <xf numFmtId="43" fontId="5" fillId="3" borderId="79" xfId="1" applyFont="1" applyFill="1" applyBorder="1" applyAlignment="1">
      <alignment horizontal="center" vertical="center"/>
    </xf>
    <xf numFmtId="43" fontId="5" fillId="3" borderId="79" xfId="1" applyFont="1" applyFill="1" applyBorder="1" applyAlignment="1">
      <alignment horizontal="center"/>
    </xf>
    <xf numFmtId="43" fontId="44" fillId="0" borderId="79" xfId="1" applyFont="1" applyFill="1" applyBorder="1"/>
    <xf numFmtId="43" fontId="44" fillId="0" borderId="86" xfId="1" applyFont="1" applyFill="1" applyBorder="1"/>
    <xf numFmtId="43" fontId="44" fillId="0" borderId="87" xfId="1" applyFont="1" applyBorder="1" applyProtection="1">
      <protection locked="0"/>
    </xf>
    <xf numFmtId="43" fontId="44" fillId="0" borderId="88" xfId="1" applyFont="1" applyBorder="1" applyProtection="1">
      <protection locked="0"/>
    </xf>
    <xf numFmtId="43" fontId="44" fillId="0" borderId="79" xfId="1" applyFont="1" applyBorder="1" applyProtection="1">
      <protection locked="0"/>
    </xf>
    <xf numFmtId="164" fontId="44" fillId="0" borderId="79" xfId="10" applyFont="1" applyFill="1" applyBorder="1"/>
    <xf numFmtId="164" fontId="44" fillId="0" borderId="86" xfId="10" applyFont="1" applyFill="1" applyBorder="1"/>
    <xf numFmtId="0" fontId="25" fillId="0" borderId="13" xfId="9" applyFont="1" applyFill="1" applyBorder="1" applyAlignment="1">
      <alignment horizontal="center"/>
    </xf>
    <xf numFmtId="43" fontId="47" fillId="0" borderId="0" xfId="1" applyFont="1" applyFill="1" applyAlignment="1">
      <alignment horizontal="right" vertical="center"/>
    </xf>
    <xf numFmtId="43" fontId="46" fillId="0" borderId="0" xfId="1" applyFont="1" applyFill="1" applyAlignment="1">
      <alignment horizontal="right" vertical="center"/>
    </xf>
    <xf numFmtId="43" fontId="47" fillId="0" borderId="0" xfId="1" applyFont="1" applyFill="1" applyAlignment="1">
      <alignment horizontal="left" vertical="center"/>
    </xf>
    <xf numFmtId="0" fontId="46" fillId="0" borderId="0" xfId="0" applyFont="1" applyAlignment="1">
      <alignment horizontal="right" vertical="top" wrapText="1"/>
    </xf>
    <xf numFmtId="43" fontId="46" fillId="0" borderId="0" xfId="0" applyNumberFormat="1" applyFont="1" applyFill="1" applyAlignment="1">
      <alignment vertical="top" wrapText="1"/>
    </xf>
    <xf numFmtId="0" fontId="48" fillId="0" borderId="17" xfId="3" applyFont="1" applyFill="1" applyBorder="1" applyAlignment="1">
      <alignment horizontal="center" vertical="center"/>
    </xf>
    <xf numFmtId="0" fontId="48" fillId="0" borderId="0" xfId="3" applyFont="1" applyFill="1" applyBorder="1" applyAlignment="1">
      <alignment horizontal="center" vertical="center"/>
    </xf>
    <xf numFmtId="43" fontId="48" fillId="0" borderId="17" xfId="1" applyFont="1" applyFill="1" applyBorder="1" applyAlignment="1">
      <alignment horizontal="center" vertical="center"/>
    </xf>
    <xf numFmtId="43" fontId="48" fillId="0" borderId="26" xfId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center" vertical="center"/>
    </xf>
    <xf numFmtId="43" fontId="48" fillId="0" borderId="40" xfId="1" applyFont="1" applyFill="1" applyBorder="1" applyAlignment="1">
      <alignment horizontal="center" vertical="center"/>
    </xf>
    <xf numFmtId="43" fontId="49" fillId="0" borderId="17" xfId="1" applyFont="1" applyFill="1" applyBorder="1" applyAlignment="1">
      <alignment horizontal="center" vertical="center" wrapText="1"/>
    </xf>
    <xf numFmtId="0" fontId="48" fillId="0" borderId="79" xfId="0" applyFont="1" applyFill="1" applyBorder="1" applyAlignment="1">
      <alignment horizontal="center" vertical="center"/>
    </xf>
    <xf numFmtId="0" fontId="48" fillId="0" borderId="79" xfId="0" applyFont="1" applyFill="1" applyBorder="1" applyAlignment="1">
      <alignment horizontal="left"/>
    </xf>
    <xf numFmtId="164" fontId="48" fillId="0" borderId="8" xfId="1" applyNumberFormat="1" applyFont="1" applyFill="1" applyBorder="1" applyAlignment="1">
      <alignment horizontal="center"/>
    </xf>
    <xf numFmtId="164" fontId="48" fillId="0" borderId="79" xfId="17" applyNumberFormat="1" applyFont="1" applyFill="1" applyBorder="1" applyAlignment="1" applyProtection="1">
      <alignment horizontal="center" vertical="center"/>
      <protection locked="0"/>
    </xf>
    <xf numFmtId="164" fontId="48" fillId="0" borderId="79" xfId="17" applyNumberFormat="1" applyFont="1" applyFill="1" applyBorder="1" applyAlignment="1">
      <alignment horizontal="center" vertical="center"/>
    </xf>
    <xf numFmtId="43" fontId="49" fillId="0" borderId="79" xfId="1" applyFont="1" applyFill="1" applyBorder="1"/>
    <xf numFmtId="43" fontId="49" fillId="0" borderId="9" xfId="1" applyFont="1" applyFill="1" applyBorder="1"/>
    <xf numFmtId="43" fontId="48" fillId="0" borderId="79" xfId="1" applyFont="1" applyFill="1" applyBorder="1"/>
    <xf numFmtId="4" fontId="49" fillId="0" borderId="79" xfId="19" applyNumberFormat="1" applyFont="1" applyFill="1" applyBorder="1" applyAlignment="1" applyProtection="1">
      <alignment horizontal="right" vertical="center"/>
      <protection locked="0"/>
    </xf>
    <xf numFmtId="0" fontId="48" fillId="0" borderId="7" xfId="0" applyFont="1" applyFill="1" applyBorder="1" applyAlignment="1">
      <alignment horizontal="left"/>
    </xf>
    <xf numFmtId="164" fontId="48" fillId="0" borderId="74" xfId="17" applyNumberFormat="1" applyFont="1" applyFill="1" applyBorder="1" applyAlignment="1">
      <alignment horizontal="center" vertical="center"/>
    </xf>
    <xf numFmtId="43" fontId="49" fillId="0" borderId="79" xfId="1" applyFont="1" applyFill="1" applyBorder="1" applyAlignment="1">
      <alignment horizontal="center" vertical="center" wrapText="1"/>
    </xf>
    <xf numFmtId="0" fontId="48" fillId="0" borderId="79" xfId="0" applyFont="1" applyBorder="1" applyAlignment="1">
      <alignment horizontal="center"/>
    </xf>
    <xf numFmtId="0" fontId="48" fillId="0" borderId="7" xfId="0" applyFont="1" applyBorder="1" applyAlignment="1">
      <alignment horizontal="left"/>
    </xf>
    <xf numFmtId="43" fontId="49" fillId="0" borderId="79" xfId="1" applyFont="1" applyBorder="1" applyAlignment="1">
      <alignment horizontal="center"/>
    </xf>
    <xf numFmtId="0" fontId="49" fillId="0" borderId="8" xfId="0" applyFont="1" applyBorder="1" applyAlignment="1">
      <alignment horizontal="center"/>
    </xf>
    <xf numFmtId="43" fontId="49" fillId="0" borderId="79" xfId="1" applyFont="1" applyBorder="1"/>
    <xf numFmtId="43" fontId="49" fillId="0" borderId="9" xfId="1" applyFont="1" applyBorder="1"/>
    <xf numFmtId="0" fontId="49" fillId="0" borderId="79" xfId="0" applyFont="1" applyBorder="1" applyAlignment="1">
      <alignment horizontal="center"/>
    </xf>
    <xf numFmtId="0" fontId="49" fillId="0" borderId="7" xfId="0" applyFont="1" applyBorder="1" applyAlignment="1">
      <alignment horizontal="left"/>
    </xf>
    <xf numFmtId="0" fontId="48" fillId="0" borderId="79" xfId="0" applyFont="1" applyFill="1" applyBorder="1" applyAlignment="1">
      <alignment horizontal="center"/>
    </xf>
    <xf numFmtId="0" fontId="49" fillId="0" borderId="8" xfId="0" applyFont="1" applyFill="1" applyBorder="1" applyAlignment="1">
      <alignment horizontal="center"/>
    </xf>
    <xf numFmtId="43" fontId="49" fillId="0" borderId="79" xfId="1" applyFont="1" applyFill="1" applyBorder="1" applyAlignment="1">
      <alignment horizontal="center"/>
    </xf>
    <xf numFmtId="43" fontId="49" fillId="0" borderId="7" xfId="1" applyFont="1" applyFill="1" applyBorder="1"/>
    <xf numFmtId="43" fontId="49" fillId="0" borderId="8" xfId="1" applyFont="1" applyFill="1" applyBorder="1"/>
    <xf numFmtId="0" fontId="49" fillId="0" borderId="79" xfId="0" applyFont="1" applyFill="1" applyBorder="1" applyAlignment="1">
      <alignment horizontal="left"/>
    </xf>
    <xf numFmtId="164" fontId="49" fillId="0" borderId="8" xfId="1" applyNumberFormat="1" applyFont="1" applyFill="1" applyBorder="1" applyAlignment="1">
      <alignment horizontal="center"/>
    </xf>
    <xf numFmtId="0" fontId="49" fillId="0" borderId="7" xfId="0" applyFont="1" applyFill="1" applyBorder="1" applyAlignment="1">
      <alignment horizontal="left"/>
    </xf>
    <xf numFmtId="43" fontId="49" fillId="0" borderId="79" xfId="18" applyNumberFormat="1" applyFont="1" applyFill="1" applyBorder="1" applyAlignment="1" applyProtection="1">
      <alignment horizontal="center" vertical="center"/>
      <protection locked="0"/>
    </xf>
    <xf numFmtId="0" fontId="48" fillId="0" borderId="17" xfId="0" applyFont="1" applyFill="1" applyBorder="1" applyAlignment="1">
      <alignment horizontal="center"/>
    </xf>
    <xf numFmtId="43" fontId="49" fillId="0" borderId="80" xfId="1" applyFont="1" applyFill="1" applyBorder="1"/>
    <xf numFmtId="0" fontId="48" fillId="0" borderId="7" xfId="0" applyFont="1" applyFill="1" applyBorder="1" applyAlignment="1">
      <alignment horizontal="center"/>
    </xf>
    <xf numFmtId="43" fontId="49" fillId="0" borderId="40" xfId="1" applyFont="1" applyFill="1" applyBorder="1"/>
    <xf numFmtId="43" fontId="49" fillId="0" borderId="17" xfId="1" applyFont="1" applyFill="1" applyBorder="1"/>
    <xf numFmtId="0" fontId="49" fillId="0" borderId="79" xfId="0" applyFont="1" applyFill="1" applyBorder="1" applyAlignment="1">
      <alignment horizontal="center"/>
    </xf>
    <xf numFmtId="0" fontId="50" fillId="0" borderId="7" xfId="0" applyFont="1" applyFill="1" applyBorder="1" applyAlignment="1">
      <alignment horizontal="left"/>
    </xf>
    <xf numFmtId="43" fontId="49" fillId="0" borderId="77" xfId="1" applyFont="1" applyFill="1" applyBorder="1"/>
    <xf numFmtId="43" fontId="49" fillId="0" borderId="79" xfId="1" applyFont="1" applyBorder="1" applyAlignment="1" applyProtection="1">
      <alignment horizontal="center"/>
      <protection locked="0"/>
    </xf>
    <xf numFmtId="0" fontId="49" fillId="0" borderId="7" xfId="0" applyFont="1" applyFill="1" applyBorder="1"/>
    <xf numFmtId="43" fontId="49" fillId="0" borderId="7" xfId="1" applyFont="1" applyBorder="1"/>
    <xf numFmtId="43" fontId="49" fillId="3" borderId="79" xfId="1" applyFont="1" applyFill="1" applyBorder="1"/>
    <xf numFmtId="0" fontId="48" fillId="0" borderId="7" xfId="0" applyFont="1" applyFill="1" applyBorder="1"/>
    <xf numFmtId="0" fontId="49" fillId="0" borderId="79" xfId="0" applyFont="1" applyFill="1" applyBorder="1" applyAlignment="1">
      <alignment horizontal="center" vertical="top"/>
    </xf>
    <xf numFmtId="43" fontId="49" fillId="0" borderId="79" xfId="1" applyFont="1" applyFill="1" applyBorder="1" applyAlignment="1">
      <alignment vertical="top"/>
    </xf>
    <xf numFmtId="43" fontId="49" fillId="0" borderId="9" xfId="1" applyFont="1" applyFill="1" applyBorder="1" applyAlignment="1">
      <alignment vertical="top"/>
    </xf>
    <xf numFmtId="0" fontId="49" fillId="0" borderId="8" xfId="0" applyFont="1" applyBorder="1" applyAlignment="1">
      <alignment horizontal="center" vertical="center"/>
    </xf>
    <xf numFmtId="43" fontId="49" fillId="0" borderId="79" xfId="1" applyFont="1" applyFill="1" applyBorder="1" applyAlignment="1">
      <alignment vertical="center"/>
    </xf>
    <xf numFmtId="43" fontId="49" fillId="0" borderId="9" xfId="1" applyFont="1" applyFill="1" applyBorder="1" applyAlignment="1">
      <alignment vertical="center"/>
    </xf>
    <xf numFmtId="0" fontId="49" fillId="0" borderId="8" xfId="0" applyFont="1" applyFill="1" applyBorder="1" applyAlignment="1">
      <alignment horizontal="center" vertical="center"/>
    </xf>
    <xf numFmtId="2" fontId="48" fillId="0" borderId="79" xfId="0" applyNumberFormat="1" applyFont="1" applyFill="1" applyBorder="1" applyAlignment="1">
      <alignment horizontal="center"/>
    </xf>
    <xf numFmtId="43" fontId="49" fillId="0" borderId="80" xfId="1" applyFont="1" applyFill="1" applyBorder="1" applyAlignment="1">
      <alignment vertical="center"/>
    </xf>
    <xf numFmtId="0" fontId="48" fillId="0" borderId="7" xfId="0" applyFont="1" applyBorder="1" applyAlignment="1">
      <alignment horizontal="center"/>
    </xf>
    <xf numFmtId="43" fontId="49" fillId="0" borderId="10" xfId="1" applyFont="1" applyFill="1" applyBorder="1" applyAlignment="1">
      <alignment horizontal="center"/>
    </xf>
    <xf numFmtId="0" fontId="48" fillId="0" borderId="9" xfId="22" applyFont="1" applyBorder="1" applyAlignment="1">
      <alignment horizontal="center"/>
    </xf>
    <xf numFmtId="0" fontId="48" fillId="0" borderId="9" xfId="22" applyFont="1" applyBorder="1" applyAlignment="1">
      <alignment horizontal="left"/>
    </xf>
    <xf numFmtId="0" fontId="49" fillId="0" borderId="9" xfId="22" applyFont="1" applyBorder="1" applyAlignment="1">
      <alignment horizontal="center"/>
    </xf>
    <xf numFmtId="0" fontId="49" fillId="0" borderId="9" xfId="22" applyFont="1" applyBorder="1" applyAlignment="1">
      <alignment horizontal="left"/>
    </xf>
    <xf numFmtId="43" fontId="49" fillId="0" borderId="8" xfId="23" applyFont="1" applyFill="1" applyBorder="1" applyAlignment="1">
      <alignment horizontal="center" vertical="top"/>
    </xf>
    <xf numFmtId="43" fontId="49" fillId="0" borderId="7" xfId="23" applyFont="1" applyFill="1" applyBorder="1" applyAlignment="1">
      <alignment horizontal="right" vertical="center"/>
    </xf>
    <xf numFmtId="43" fontId="49" fillId="0" borderId="9" xfId="23" applyFont="1" applyFill="1" applyBorder="1" applyAlignment="1">
      <alignment horizontal="right" vertical="center"/>
    </xf>
    <xf numFmtId="43" fontId="49" fillId="0" borderId="80" xfId="23" applyFont="1" applyFill="1" applyBorder="1" applyAlignment="1">
      <alignment horizontal="center" vertical="center"/>
    </xf>
    <xf numFmtId="0" fontId="48" fillId="0" borderId="9" xfId="24" quotePrefix="1" applyFont="1" applyBorder="1" applyAlignment="1">
      <alignment horizontal="center"/>
    </xf>
    <xf numFmtId="0" fontId="48" fillId="0" borderId="9" xfId="24" applyFont="1" applyBorder="1"/>
    <xf numFmtId="0" fontId="48" fillId="0" borderId="7" xfId="22" applyFont="1" applyBorder="1" applyAlignment="1">
      <alignment horizontal="left"/>
    </xf>
    <xf numFmtId="0" fontId="49" fillId="0" borderId="9" xfId="26" applyFont="1" applyBorder="1" applyAlignment="1">
      <alignment horizontal="center"/>
    </xf>
    <xf numFmtId="0" fontId="49" fillId="0" borderId="9" xfId="26" applyFont="1" applyBorder="1" applyAlignment="1">
      <alignment horizontal="left"/>
    </xf>
    <xf numFmtId="43" fontId="49" fillId="0" borderId="79" xfId="1" applyFont="1" applyFill="1" applyBorder="1" applyAlignment="1">
      <alignment horizontal="right"/>
    </xf>
    <xf numFmtId="0" fontId="48" fillId="0" borderId="9" xfId="26" applyFont="1" applyBorder="1" applyAlignment="1">
      <alignment horizontal="center"/>
    </xf>
    <xf numFmtId="0" fontId="48" fillId="0" borderId="9" xfId="26" applyFont="1" applyBorder="1" applyAlignment="1">
      <alignment horizontal="left"/>
    </xf>
    <xf numFmtId="0" fontId="48" fillId="0" borderId="9" xfId="0" applyFont="1" applyBorder="1"/>
    <xf numFmtId="0" fontId="49" fillId="0" borderId="9" xfId="0" applyFont="1" applyBorder="1"/>
    <xf numFmtId="0" fontId="49" fillId="0" borderId="7" xfId="0" applyFont="1" applyBorder="1" applyAlignment="1">
      <alignment horizontal="left" vertical="center"/>
    </xf>
    <xf numFmtId="43" fontId="49" fillId="0" borderId="80" xfId="0" applyNumberFormat="1" applyFont="1" applyBorder="1" applyAlignment="1">
      <alignment vertical="center"/>
    </xf>
    <xf numFmtId="43" fontId="49" fillId="0" borderId="7" xfId="1" applyFont="1" applyFill="1" applyBorder="1" applyAlignment="1">
      <alignment horizontal="center" vertical="center"/>
    </xf>
    <xf numFmtId="43" fontId="49" fillId="0" borderId="8" xfId="1" applyFont="1" applyFill="1" applyBorder="1" applyAlignment="1">
      <alignment horizontal="right"/>
    </xf>
    <xf numFmtId="0" fontId="49" fillId="0" borderId="9" xfId="24" quotePrefix="1" applyFont="1" applyBorder="1" applyAlignment="1">
      <alignment horizontal="center"/>
    </xf>
    <xf numFmtId="0" fontId="49" fillId="0" borderId="9" xfId="24" applyFont="1" applyBorder="1"/>
    <xf numFmtId="0" fontId="49" fillId="0" borderId="7" xfId="22" applyFont="1" applyBorder="1" applyAlignment="1">
      <alignment horizontal="left"/>
    </xf>
    <xf numFmtId="0" fontId="49" fillId="0" borderId="9" xfId="22" applyFont="1" applyBorder="1" applyAlignment="1">
      <alignment horizontal="right"/>
    </xf>
    <xf numFmtId="0" fontId="48" fillId="0" borderId="7" xfId="0" applyFont="1" applyBorder="1" applyAlignment="1">
      <alignment horizontal="left" vertical="center"/>
    </xf>
    <xf numFmtId="43" fontId="49" fillId="0" borderId="8" xfId="1" applyFont="1" applyFill="1" applyBorder="1" applyAlignment="1">
      <alignment horizontal="center"/>
    </xf>
    <xf numFmtId="43" fontId="48" fillId="0" borderId="8" xfId="1" applyFont="1" applyFill="1" applyBorder="1" applyAlignment="1">
      <alignment horizontal="right"/>
    </xf>
    <xf numFmtId="164" fontId="49" fillId="0" borderId="79" xfId="17" applyNumberFormat="1" applyFont="1" applyFill="1" applyBorder="1" applyAlignment="1">
      <alignment horizontal="center" vertical="center"/>
    </xf>
    <xf numFmtId="43" fontId="49" fillId="0" borderId="17" xfId="28" applyFont="1" applyFill="1" applyBorder="1" applyAlignment="1">
      <alignment vertical="center"/>
    </xf>
    <xf numFmtId="43" fontId="49" fillId="0" borderId="80" xfId="28" applyFont="1" applyFill="1" applyBorder="1" applyAlignment="1">
      <alignment vertical="center"/>
    </xf>
    <xf numFmtId="43" fontId="49" fillId="0" borderId="17" xfId="1" applyFont="1" applyFill="1" applyBorder="1" applyAlignment="1">
      <alignment horizontal="right"/>
    </xf>
    <xf numFmtId="43" fontId="49" fillId="0" borderId="17" xfId="1" applyFont="1" applyFill="1" applyBorder="1" applyAlignment="1">
      <alignment horizontal="center"/>
    </xf>
    <xf numFmtId="43" fontId="49" fillId="0" borderId="80" xfId="1" applyFont="1" applyFill="1" applyBorder="1" applyAlignment="1">
      <alignment horizontal="right"/>
    </xf>
    <xf numFmtId="0" fontId="48" fillId="0" borderId="78" xfId="30" applyFont="1" applyBorder="1" applyAlignment="1">
      <alignment vertical="center"/>
    </xf>
    <xf numFmtId="0" fontId="49" fillId="0" borderId="17" xfId="0" applyFont="1" applyBorder="1"/>
    <xf numFmtId="172" fontId="49" fillId="0" borderId="80" xfId="28" applyNumberFormat="1" applyFont="1" applyBorder="1" applyAlignment="1">
      <alignment horizontal="center" vertical="center" wrapText="1"/>
    </xf>
    <xf numFmtId="43" fontId="49" fillId="0" borderId="80" xfId="28" applyFont="1" applyBorder="1" applyAlignment="1">
      <alignment vertical="center"/>
    </xf>
    <xf numFmtId="0" fontId="49" fillId="0" borderId="81" xfId="30" applyFont="1" applyBorder="1" applyAlignment="1">
      <alignment vertical="center"/>
    </xf>
    <xf numFmtId="0" fontId="49" fillId="0" borderId="17" xfId="0" applyFont="1" applyBorder="1" applyAlignment="1">
      <alignment horizontal="center"/>
    </xf>
    <xf numFmtId="0" fontId="49" fillId="0" borderId="89" xfId="6" applyFont="1" applyFill="1" applyBorder="1" applyAlignment="1">
      <alignment horizontal="left" vertical="center"/>
    </xf>
    <xf numFmtId="3" fontId="49" fillId="0" borderId="90" xfId="6" applyNumberFormat="1" applyFont="1" applyFill="1" applyBorder="1" applyAlignment="1">
      <alignment horizontal="center" vertical="center"/>
    </xf>
    <xf numFmtId="43" fontId="49" fillId="0" borderId="90" xfId="1" applyFont="1" applyFill="1" applyBorder="1" applyAlignment="1">
      <alignment vertical="center"/>
    </xf>
    <xf numFmtId="43" fontId="49" fillId="0" borderId="91" xfId="1" applyFont="1" applyFill="1" applyBorder="1" applyAlignment="1">
      <alignment horizontal="right"/>
    </xf>
    <xf numFmtId="43" fontId="49" fillId="0" borderId="80" xfId="0" applyNumberFormat="1" applyFont="1" applyFill="1" applyBorder="1" applyAlignment="1">
      <alignment vertical="center"/>
    </xf>
    <xf numFmtId="0" fontId="49" fillId="0" borderId="7" xfId="0" applyFont="1" applyFill="1" applyBorder="1" applyAlignment="1">
      <alignment horizontal="left" vertical="center"/>
    </xf>
    <xf numFmtId="43" fontId="49" fillId="0" borderId="0" xfId="1" applyFont="1" applyFill="1" applyBorder="1" applyAlignment="1">
      <alignment horizontal="center" vertical="center"/>
    </xf>
    <xf numFmtId="43" fontId="49" fillId="0" borderId="9" xfId="1" applyFont="1" applyFill="1" applyBorder="1" applyAlignment="1">
      <alignment horizontal="right"/>
    </xf>
    <xf numFmtId="172" fontId="48" fillId="0" borderId="79" xfId="28" applyNumberFormat="1" applyFont="1" applyFill="1" applyBorder="1" applyAlignment="1">
      <alignment horizontal="right" vertical="center"/>
    </xf>
    <xf numFmtId="38" fontId="48" fillId="0" borderId="79" xfId="32" applyNumberFormat="1" applyFont="1" applyFill="1" applyBorder="1" applyAlignment="1">
      <alignment horizontal="center" vertical="center"/>
    </xf>
    <xf numFmtId="43" fontId="48" fillId="0" borderId="9" xfId="28" applyFont="1" applyFill="1" applyBorder="1" applyAlignment="1">
      <alignment vertical="center"/>
    </xf>
    <xf numFmtId="43" fontId="48" fillId="0" borderId="79" xfId="28" applyFont="1" applyFill="1" applyBorder="1" applyAlignment="1">
      <alignment vertical="center"/>
    </xf>
    <xf numFmtId="43" fontId="49" fillId="0" borderId="8" xfId="1" applyFont="1" applyBorder="1" applyAlignment="1">
      <alignment horizontal="center"/>
    </xf>
    <xf numFmtId="0" fontId="49" fillId="0" borderId="0" xfId="0" applyFont="1" applyFill="1"/>
    <xf numFmtId="43" fontId="49" fillId="0" borderId="0" xfId="1" applyFont="1" applyFill="1" applyAlignment="1">
      <alignment horizontal="center"/>
    </xf>
    <xf numFmtId="0" fontId="49" fillId="0" borderId="0" xfId="0" applyFont="1" applyFill="1" applyAlignment="1">
      <alignment horizontal="center"/>
    </xf>
    <xf numFmtId="43" fontId="49" fillId="0" borderId="0" xfId="1" applyFont="1" applyFill="1"/>
    <xf numFmtId="43" fontId="49" fillId="0" borderId="0" xfId="0" applyNumberFormat="1" applyFont="1" applyFill="1"/>
    <xf numFmtId="0" fontId="49" fillId="0" borderId="77" xfId="30" applyFont="1" applyFill="1" applyBorder="1" applyAlignment="1">
      <alignment horizontal="left" vertical="center"/>
    </xf>
    <xf numFmtId="172" fontId="49" fillId="0" borderId="17" xfId="29" applyNumberFormat="1" applyFont="1" applyFill="1" applyBorder="1" applyAlignment="1">
      <alignment horizontal="center" vertical="center"/>
    </xf>
    <xf numFmtId="3" fontId="49" fillId="0" borderId="7" xfId="6" applyNumberFormat="1" applyFont="1" applyBorder="1" applyAlignment="1">
      <alignment horizontal="center" vertical="center"/>
    </xf>
    <xf numFmtId="0" fontId="48" fillId="0" borderId="85" xfId="30" applyFont="1" applyBorder="1" applyAlignment="1">
      <alignment horizontal="center" vertical="center"/>
    </xf>
    <xf numFmtId="173" fontId="48" fillId="0" borderId="79" xfId="31" quotePrefix="1" applyNumberFormat="1" applyFont="1" applyBorder="1" applyAlignment="1">
      <alignment horizontal="center" vertical="center"/>
    </xf>
    <xf numFmtId="0" fontId="48" fillId="0" borderId="9" xfId="31" applyFont="1" applyBorder="1" applyAlignment="1">
      <alignment vertical="center"/>
    </xf>
    <xf numFmtId="2" fontId="49" fillId="0" borderId="79" xfId="31" applyNumberFormat="1" applyFont="1" applyBorder="1" applyAlignment="1">
      <alignment horizontal="center" vertical="center"/>
    </xf>
    <xf numFmtId="3" fontId="49" fillId="0" borderId="80" xfId="6" applyNumberFormat="1" applyFont="1" applyBorder="1" applyAlignment="1">
      <alignment horizontal="center" vertical="center"/>
    </xf>
    <xf numFmtId="43" fontId="49" fillId="0" borderId="80" xfId="6" applyNumberFormat="1" applyFont="1" applyBorder="1" applyAlignment="1">
      <alignment horizontal="center" vertical="center"/>
    </xf>
    <xf numFmtId="43" fontId="49" fillId="0" borderId="79" xfId="28" applyFont="1" applyFill="1" applyBorder="1" applyAlignment="1">
      <alignment vertical="center"/>
    </xf>
    <xf numFmtId="38" fontId="49" fillId="0" borderId="95" xfId="25" applyNumberFormat="1" applyFont="1" applyFill="1" applyBorder="1" applyAlignment="1">
      <alignment horizontal="center" vertical="center"/>
    </xf>
    <xf numFmtId="0" fontId="48" fillId="0" borderId="96" xfId="30" quotePrefix="1" applyFont="1" applyBorder="1" applyAlignment="1">
      <alignment horizontal="center" vertical="center"/>
    </xf>
    <xf numFmtId="43" fontId="49" fillId="0" borderId="97" xfId="28" applyFont="1" applyFill="1" applyBorder="1" applyAlignment="1">
      <alignment vertical="center"/>
    </xf>
    <xf numFmtId="43" fontId="49" fillId="0" borderId="100" xfId="1" applyFont="1" applyFill="1" applyBorder="1" applyAlignment="1">
      <alignment vertical="center"/>
    </xf>
    <xf numFmtId="0" fontId="49" fillId="0" borderId="99" xfId="30" applyFont="1" applyBorder="1" applyAlignment="1">
      <alignment vertical="center"/>
    </xf>
    <xf numFmtId="164" fontId="49" fillId="0" borderId="98" xfId="17" applyNumberFormat="1" applyFont="1" applyFill="1" applyBorder="1" applyAlignment="1">
      <alignment horizontal="center" vertical="center"/>
    </xf>
    <xf numFmtId="43" fontId="49" fillId="0" borderId="17" xfId="0" applyNumberFormat="1" applyFont="1" applyBorder="1" applyAlignment="1">
      <alignment vertical="center"/>
    </xf>
    <xf numFmtId="166" fontId="49" fillId="0" borderId="77" xfId="32" applyFont="1" applyFill="1" applyBorder="1" applyAlignment="1">
      <alignment vertical="center"/>
    </xf>
    <xf numFmtId="0" fontId="48" fillId="0" borderId="17" xfId="0" applyFont="1" applyBorder="1" applyAlignment="1">
      <alignment horizontal="center"/>
    </xf>
    <xf numFmtId="0" fontId="49" fillId="0" borderId="74" xfId="0" applyFont="1" applyBorder="1" applyAlignment="1">
      <alignment horizontal="center" vertical="center"/>
    </xf>
    <xf numFmtId="0" fontId="48" fillId="0" borderId="0" xfId="0" applyFont="1" applyBorder="1" applyAlignment="1">
      <alignment horizontal="left"/>
    </xf>
    <xf numFmtId="0" fontId="49" fillId="0" borderId="26" xfId="0" applyFont="1" applyBorder="1" applyAlignment="1">
      <alignment horizontal="center"/>
    </xf>
    <xf numFmtId="43" fontId="49" fillId="0" borderId="0" xfId="1" applyFont="1" applyFill="1" applyBorder="1"/>
    <xf numFmtId="43" fontId="49" fillId="0" borderId="26" xfId="1" applyFont="1" applyFill="1" applyBorder="1"/>
    <xf numFmtId="0" fontId="48" fillId="0" borderId="79" xfId="0" applyFont="1" applyBorder="1" applyAlignment="1">
      <alignment horizontal="left"/>
    </xf>
    <xf numFmtId="38" fontId="49" fillId="0" borderId="98" xfId="32" applyNumberFormat="1" applyFont="1" applyFill="1" applyBorder="1" applyAlignment="1">
      <alignment horizontal="center" vertical="center"/>
    </xf>
    <xf numFmtId="43" fontId="49" fillId="0" borderId="98" xfId="28" applyFont="1" applyFill="1" applyBorder="1" applyAlignment="1">
      <alignment vertical="center"/>
    </xf>
    <xf numFmtId="41" fontId="49" fillId="0" borderId="80" xfId="0" applyNumberFormat="1" applyFont="1" applyFill="1" applyBorder="1" applyAlignment="1">
      <alignment horizontal="center" vertical="center"/>
    </xf>
    <xf numFmtId="1" fontId="49" fillId="0" borderId="80" xfId="0" applyNumberFormat="1" applyFont="1" applyFill="1" applyBorder="1" applyAlignment="1">
      <alignment horizontal="center" vertical="center"/>
    </xf>
    <xf numFmtId="0" fontId="46" fillId="0" borderId="0" xfId="3" applyFont="1" applyAlignment="1">
      <alignment horizontal="right" vertical="center"/>
    </xf>
    <xf numFmtId="0" fontId="46" fillId="0" borderId="0" xfId="3" applyFont="1" applyAlignment="1">
      <alignment horizontal="left" vertical="center"/>
    </xf>
    <xf numFmtId="43" fontId="49" fillId="0" borderId="40" xfId="1" applyFont="1" applyBorder="1"/>
    <xf numFmtId="0" fontId="48" fillId="0" borderId="1" xfId="0" applyFont="1" applyBorder="1" applyAlignment="1">
      <alignment horizontal="center"/>
    </xf>
    <xf numFmtId="43" fontId="49" fillId="0" borderId="1" xfId="1" applyFont="1" applyBorder="1"/>
    <xf numFmtId="43" fontId="48" fillId="0" borderId="1" xfId="1" applyFont="1" applyBorder="1"/>
    <xf numFmtId="164" fontId="49" fillId="0" borderId="1" xfId="1" applyNumberFormat="1" applyFont="1" applyBorder="1" applyAlignment="1">
      <alignment horizontal="right" vertical="center"/>
    </xf>
    <xf numFmtId="0" fontId="49" fillId="0" borderId="0" xfId="0" applyFont="1"/>
    <xf numFmtId="43" fontId="49" fillId="0" borderId="0" xfId="0" applyNumberFormat="1" applyFont="1"/>
    <xf numFmtId="0" fontId="49" fillId="0" borderId="0" xfId="0" applyFont="1" applyAlignment="1">
      <alignment horizontal="center"/>
    </xf>
    <xf numFmtId="0" fontId="49" fillId="0" borderId="1" xfId="0" applyFont="1" applyBorder="1" applyAlignment="1">
      <alignment horizontal="center" vertical="center"/>
    </xf>
    <xf numFmtId="170" fontId="49" fillId="0" borderId="1" xfId="1" applyNumberFormat="1" applyFont="1" applyBorder="1" applyAlignment="1">
      <alignment horizontal="right" vertical="center"/>
    </xf>
    <xf numFmtId="0" fontId="49" fillId="0" borderId="1" xfId="0" applyFont="1" applyBorder="1" applyAlignment="1">
      <alignment horizontal="right" vertical="center"/>
    </xf>
    <xf numFmtId="164" fontId="48" fillId="0" borderId="1" xfId="1" applyNumberFormat="1" applyFont="1" applyBorder="1" applyAlignment="1">
      <alignment horizontal="right" vertical="center"/>
    </xf>
    <xf numFmtId="0" fontId="49" fillId="0" borderId="5" xfId="0" applyFont="1" applyBorder="1" applyAlignment="1">
      <alignment horizontal="center" vertical="center"/>
    </xf>
    <xf numFmtId="38" fontId="49" fillId="0" borderId="8" xfId="32" applyNumberFormat="1" applyFont="1" applyFill="1" applyBorder="1" applyAlignment="1">
      <alignment horizontal="center" vertical="center"/>
    </xf>
    <xf numFmtId="43" fontId="49" fillId="0" borderId="7" xfId="28" applyFont="1" applyFill="1" applyBorder="1" applyAlignment="1">
      <alignment vertical="center"/>
    </xf>
    <xf numFmtId="43" fontId="49" fillId="0" borderId="9" xfId="28" applyFont="1" applyFill="1" applyBorder="1" applyAlignment="1">
      <alignment vertical="center"/>
    </xf>
    <xf numFmtId="0" fontId="48" fillId="0" borderId="7" xfId="31" applyFont="1" applyBorder="1" applyAlignment="1">
      <alignment vertical="center"/>
    </xf>
    <xf numFmtId="0" fontId="49" fillId="0" borderId="7" xfId="26" applyFont="1" applyBorder="1" applyAlignment="1">
      <alignment horizontal="left"/>
    </xf>
    <xf numFmtId="0" fontId="49" fillId="0" borderId="9" xfId="22" applyFont="1" applyFill="1" applyBorder="1" applyAlignment="1">
      <alignment horizontal="left"/>
    </xf>
    <xf numFmtId="0" fontId="49" fillId="0" borderId="7" xfId="31" applyFont="1" applyFill="1" applyBorder="1" applyAlignment="1">
      <alignment horizontal="left" vertical="center"/>
    </xf>
    <xf numFmtId="0" fontId="48" fillId="0" borderId="9" xfId="31" applyFont="1" applyFill="1" applyBorder="1" applyAlignment="1">
      <alignment vertical="center"/>
    </xf>
    <xf numFmtId="0" fontId="49" fillId="0" borderId="74" xfId="0" applyFont="1" applyFill="1" applyBorder="1" applyAlignment="1">
      <alignment horizontal="center" vertical="center"/>
    </xf>
    <xf numFmtId="0" fontId="49" fillId="0" borderId="77" xfId="30" applyFont="1" applyBorder="1" applyAlignment="1">
      <alignment horizontal="left" vertical="center"/>
    </xf>
    <xf numFmtId="172" fontId="49" fillId="0" borderId="101" xfId="28" applyNumberFormat="1" applyFont="1" applyFill="1" applyBorder="1" applyAlignment="1">
      <alignment horizontal="center" vertical="center"/>
    </xf>
    <xf numFmtId="43" fontId="49" fillId="0" borderId="102" xfId="28" applyFont="1" applyFill="1" applyBorder="1" applyAlignment="1">
      <alignment vertical="center"/>
    </xf>
    <xf numFmtId="43" fontId="4" fillId="0" borderId="0" xfId="0" applyNumberFormat="1" applyFont="1"/>
    <xf numFmtId="0" fontId="49" fillId="0" borderId="99" xfId="30" applyFont="1" applyBorder="1" applyAlignment="1">
      <alignment horizontal="left" vertical="center"/>
    </xf>
    <xf numFmtId="0" fontId="25" fillId="0" borderId="0" xfId="9" applyFont="1" applyFill="1" applyBorder="1"/>
    <xf numFmtId="2" fontId="25" fillId="0" borderId="103" xfId="9" applyNumberFormat="1" applyFont="1" applyFill="1" applyBorder="1"/>
    <xf numFmtId="2" fontId="25" fillId="0" borderId="105" xfId="9" applyNumberFormat="1" applyFont="1" applyFill="1" applyBorder="1"/>
    <xf numFmtId="43" fontId="25" fillId="0" borderId="101" xfId="9" applyNumberFormat="1" applyFont="1" applyFill="1" applyBorder="1"/>
    <xf numFmtId="43" fontId="26" fillId="0" borderId="104" xfId="9" applyNumberFormat="1" applyFont="1" applyFill="1" applyBorder="1"/>
    <xf numFmtId="43" fontId="25" fillId="0" borderId="104" xfId="9" applyNumberFormat="1" applyFont="1" applyFill="1" applyBorder="1"/>
    <xf numFmtId="43" fontId="49" fillId="0" borderId="101" xfId="1" applyFont="1" applyFill="1" applyBorder="1"/>
    <xf numFmtId="0" fontId="48" fillId="0" borderId="101" xfId="0" applyFont="1" applyFill="1" applyBorder="1" applyAlignment="1">
      <alignment horizontal="center"/>
    </xf>
    <xf numFmtId="0" fontId="49" fillId="0" borderId="102" xfId="0" applyFont="1" applyBorder="1"/>
    <xf numFmtId="43" fontId="49" fillId="3" borderId="101" xfId="1" applyFont="1" applyFill="1" applyBorder="1"/>
    <xf numFmtId="43" fontId="49" fillId="0" borderId="102" xfId="1" applyFont="1" applyBorder="1"/>
    <xf numFmtId="43" fontId="49" fillId="0" borderId="106" xfId="1" applyFont="1" applyFill="1" applyBorder="1"/>
    <xf numFmtId="0" fontId="48" fillId="0" borderId="102" xfId="0" applyFont="1" applyBorder="1"/>
    <xf numFmtId="0" fontId="49" fillId="0" borderId="8" xfId="0" applyFont="1" applyBorder="1" applyAlignment="1">
      <alignment horizontal="center" vertical="top"/>
    </xf>
    <xf numFmtId="43" fontId="49" fillId="0" borderId="101" xfId="1" applyFont="1" applyFill="1" applyBorder="1" applyAlignment="1">
      <alignment vertical="top"/>
    </xf>
    <xf numFmtId="43" fontId="49" fillId="0" borderId="102" xfId="1" applyFont="1" applyFill="1" applyBorder="1" applyAlignment="1">
      <alignment vertical="top"/>
    </xf>
    <xf numFmtId="43" fontId="49" fillId="0" borderId="106" xfId="1" applyFont="1" applyFill="1" applyBorder="1" applyAlignment="1">
      <alignment vertical="top"/>
    </xf>
    <xf numFmtId="172" fontId="49" fillId="0" borderId="79" xfId="28" applyNumberFormat="1" applyFont="1" applyFill="1" applyBorder="1" applyAlignment="1">
      <alignment horizontal="right" vertical="center"/>
    </xf>
    <xf numFmtId="43" fontId="49" fillId="0" borderId="102" xfId="1" applyFont="1" applyFill="1" applyBorder="1"/>
    <xf numFmtId="43" fontId="49" fillId="0" borderId="101" xfId="28" applyFont="1" applyFill="1" applyBorder="1" applyAlignment="1">
      <alignment vertical="center"/>
    </xf>
    <xf numFmtId="164" fontId="49" fillId="0" borderId="101" xfId="17" applyNumberFormat="1" applyFont="1" applyFill="1" applyBorder="1" applyAlignment="1">
      <alignment horizontal="center" vertical="center"/>
    </xf>
    <xf numFmtId="0" fontId="49" fillId="0" borderId="107" xfId="0" applyFont="1" applyBorder="1" applyAlignment="1">
      <alignment horizontal="center"/>
    </xf>
    <xf numFmtId="43" fontId="49" fillId="0" borderId="101" xfId="1" applyFont="1" applyFill="1" applyBorder="1" applyAlignment="1">
      <alignment horizontal="right"/>
    </xf>
    <xf numFmtId="0" fontId="49" fillId="0" borderId="8" xfId="0" applyFont="1" applyBorder="1" applyAlignment="1">
      <alignment horizontal="right"/>
    </xf>
    <xf numFmtId="0" fontId="48" fillId="0" borderId="101" xfId="0" applyFont="1" applyFill="1" applyBorder="1" applyAlignment="1">
      <alignment horizontal="center" vertical="center"/>
    </xf>
    <xf numFmtId="164" fontId="48" fillId="0" borderId="107" xfId="17" applyNumberFormat="1" applyFont="1" applyFill="1" applyBorder="1" applyAlignment="1">
      <alignment horizontal="center" vertical="center"/>
    </xf>
    <xf numFmtId="164" fontId="48" fillId="0" borderId="101" xfId="17" applyNumberFormat="1" applyFont="1" applyFill="1" applyBorder="1" applyAlignment="1">
      <alignment horizontal="center" vertical="center"/>
    </xf>
    <xf numFmtId="0" fontId="48" fillId="0" borderId="101" xfId="0" applyFont="1" applyBorder="1" applyAlignment="1">
      <alignment horizontal="center"/>
    </xf>
    <xf numFmtId="43" fontId="49" fillId="0" borderId="101" xfId="1" applyFont="1" applyFill="1" applyBorder="1" applyAlignment="1">
      <alignment horizontal="center"/>
    </xf>
    <xf numFmtId="43" fontId="49" fillId="0" borderId="101" xfId="1" applyFont="1" applyFill="1" applyBorder="1" applyAlignment="1">
      <alignment horizontal="center" vertical="center"/>
    </xf>
    <xf numFmtId="43" fontId="49" fillId="0" borderId="106" xfId="1" applyFont="1" applyFill="1" applyBorder="1" applyAlignment="1">
      <alignment horizontal="center" vertical="center"/>
    </xf>
    <xf numFmtId="0" fontId="49" fillId="0" borderId="101" xfId="0" applyFont="1" applyFill="1" applyBorder="1" applyAlignment="1">
      <alignment horizontal="center"/>
    </xf>
    <xf numFmtId="0" fontId="48" fillId="0" borderId="1" xfId="0" applyFont="1" applyFill="1" applyBorder="1" applyAlignment="1">
      <alignment horizontal="center" vertical="center"/>
    </xf>
    <xf numFmtId="0" fontId="48" fillId="0" borderId="101" xfId="0" applyFont="1" applyFill="1" applyBorder="1" applyAlignment="1">
      <alignment horizontal="left"/>
    </xf>
    <xf numFmtId="4" fontId="51" fillId="0" borderId="1" xfId="0" applyNumberFormat="1" applyFont="1" applyBorder="1"/>
    <xf numFmtId="4" fontId="49" fillId="0" borderId="1" xfId="0" applyNumberFormat="1" applyFont="1" applyBorder="1" applyAlignment="1">
      <alignment horizontal="center"/>
    </xf>
    <xf numFmtId="0" fontId="53" fillId="0" borderId="0" xfId="37" applyFont="1"/>
    <xf numFmtId="0" fontId="49" fillId="0" borderId="0" xfId="37" applyFont="1"/>
    <xf numFmtId="0" fontId="37" fillId="0" borderId="0" xfId="37" applyFont="1"/>
    <xf numFmtId="0" fontId="54" fillId="0" borderId="0" xfId="37" applyFont="1"/>
    <xf numFmtId="0" fontId="55" fillId="0" borderId="0" xfId="37" applyFont="1"/>
    <xf numFmtId="0" fontId="54" fillId="0" borderId="0" xfId="37" applyFont="1" applyAlignment="1">
      <alignment horizontal="center"/>
    </xf>
    <xf numFmtId="0" fontId="55" fillId="0" borderId="38" xfId="37" applyFont="1" applyBorder="1"/>
    <xf numFmtId="0" fontId="55" fillId="0" borderId="38" xfId="37" applyFont="1" applyBorder="1" applyAlignment="1">
      <alignment horizontal="right"/>
    </xf>
    <xf numFmtId="0" fontId="54" fillId="0" borderId="38" xfId="37" applyFont="1" applyBorder="1"/>
    <xf numFmtId="0" fontId="55" fillId="0" borderId="0" xfId="37" applyFont="1" applyAlignment="1">
      <alignment horizontal="right"/>
    </xf>
    <xf numFmtId="43" fontId="54" fillId="0" borderId="0" xfId="37" applyNumberFormat="1" applyFont="1"/>
    <xf numFmtId="0" fontId="55" fillId="0" borderId="0" xfId="37" applyFont="1" applyAlignment="1">
      <alignment vertical="center"/>
    </xf>
    <xf numFmtId="0" fontId="55" fillId="0" borderId="0" xfId="37" applyFont="1" applyAlignment="1">
      <alignment horizontal="left"/>
    </xf>
    <xf numFmtId="170" fontId="55" fillId="0" borderId="0" xfId="37" applyNumberFormat="1" applyFont="1" applyAlignment="1">
      <alignment horizontal="left"/>
    </xf>
    <xf numFmtId="175" fontId="55" fillId="0" borderId="0" xfId="37" applyNumberFormat="1" applyFont="1"/>
    <xf numFmtId="176" fontId="54" fillId="0" borderId="0" xfId="37" applyNumberFormat="1" applyFont="1"/>
    <xf numFmtId="43" fontId="25" fillId="0" borderId="94" xfId="9" applyNumberFormat="1" applyFont="1" applyFill="1" applyBorder="1"/>
    <xf numFmtId="0" fontId="26" fillId="0" borderId="84" xfId="9" applyFont="1" applyFill="1" applyBorder="1"/>
    <xf numFmtId="43" fontId="25" fillId="0" borderId="0" xfId="1" applyFont="1" applyFill="1"/>
    <xf numFmtId="43" fontId="29" fillId="0" borderId="0" xfId="9" applyNumberFormat="1" applyFont="1" applyFill="1" applyAlignment="1">
      <alignment horizontal="center"/>
    </xf>
    <xf numFmtId="0" fontId="10" fillId="0" borderId="106" xfId="0" applyFont="1" applyBorder="1" applyAlignment="1">
      <alignment horizontal="center"/>
    </xf>
    <xf numFmtId="43" fontId="44" fillId="0" borderId="92" xfId="1" applyFont="1" applyBorder="1" applyProtection="1">
      <protection locked="0"/>
    </xf>
    <xf numFmtId="2" fontId="32" fillId="0" borderId="84" xfId="0" applyNumberFormat="1" applyFont="1" applyBorder="1"/>
    <xf numFmtId="2" fontId="32" fillId="0" borderId="84" xfId="0" applyNumberFormat="1" applyFont="1" applyBorder="1" applyAlignment="1">
      <alignment horizontal="right"/>
    </xf>
    <xf numFmtId="0" fontId="10" fillId="0" borderId="81" xfId="0" applyFont="1" applyBorder="1" applyAlignment="1">
      <alignment horizontal="center"/>
    </xf>
    <xf numFmtId="0" fontId="4" fillId="3" borderId="80" xfId="0" applyFont="1" applyFill="1" applyBorder="1" applyAlignment="1">
      <alignment horizontal="left"/>
    </xf>
    <xf numFmtId="0" fontId="11" fillId="3" borderId="101" xfId="0" applyFont="1" applyFill="1" applyBorder="1" applyAlignment="1">
      <alignment horizontal="left"/>
    </xf>
    <xf numFmtId="43" fontId="44" fillId="0" borderId="92" xfId="1" applyFont="1" applyFill="1" applyBorder="1"/>
    <xf numFmtId="164" fontId="44" fillId="0" borderId="92" xfId="10" applyFont="1" applyFill="1" applyBorder="1"/>
    <xf numFmtId="43" fontId="32" fillId="0" borderId="104" xfId="1" applyFont="1" applyBorder="1"/>
    <xf numFmtId="43" fontId="32" fillId="0" borderId="22" xfId="1" applyFont="1" applyBorder="1"/>
    <xf numFmtId="43" fontId="32" fillId="0" borderId="84" xfId="1" applyFont="1" applyBorder="1"/>
    <xf numFmtId="43" fontId="32" fillId="0" borderId="22" xfId="1" applyFont="1" applyBorder="1" applyAlignment="1">
      <alignment horizontal="right"/>
    </xf>
    <xf numFmtId="43" fontId="32" fillId="0" borderId="25" xfId="1" applyFont="1" applyBorder="1" applyAlignment="1">
      <alignment horizontal="right"/>
    </xf>
    <xf numFmtId="43" fontId="32" fillId="0" borderId="25" xfId="1" applyFont="1" applyBorder="1"/>
    <xf numFmtId="43" fontId="32" fillId="0" borderId="58" xfId="1" applyFont="1" applyBorder="1"/>
    <xf numFmtId="43" fontId="32" fillId="0" borderId="21" xfId="1" applyFont="1" applyBorder="1"/>
    <xf numFmtId="43" fontId="32" fillId="0" borderId="21" xfId="1" applyFont="1" applyBorder="1" applyAlignment="1">
      <alignment horizontal="right"/>
    </xf>
    <xf numFmtId="43" fontId="32" fillId="0" borderId="14" xfId="1" applyFont="1" applyBorder="1" applyAlignment="1">
      <alignment horizontal="right"/>
    </xf>
    <xf numFmtId="43" fontId="32" fillId="0" borderId="55" xfId="1" applyFont="1" applyBorder="1"/>
    <xf numFmtId="43" fontId="32" fillId="0" borderId="57" xfId="1" applyFont="1" applyBorder="1"/>
    <xf numFmtId="43" fontId="32" fillId="0" borderId="55" xfId="1" applyFont="1" applyBorder="1" applyAlignment="1">
      <alignment horizontal="right"/>
    </xf>
    <xf numFmtId="43" fontId="32" fillId="0" borderId="104" xfId="1" applyFont="1" applyBorder="1" applyAlignment="1">
      <alignment horizontal="right"/>
    </xf>
    <xf numFmtId="43" fontId="32" fillId="0" borderId="84" xfId="1" applyFont="1" applyBorder="1" applyAlignment="1">
      <alignment horizontal="right"/>
    </xf>
    <xf numFmtId="43" fontId="11" fillId="3" borderId="80" xfId="1" applyFont="1" applyFill="1" applyBorder="1" applyAlignment="1">
      <alignment vertical="center"/>
    </xf>
    <xf numFmtId="43" fontId="11" fillId="3" borderId="17" xfId="1" applyFont="1" applyFill="1" applyBorder="1" applyAlignment="1">
      <alignment vertical="center"/>
    </xf>
    <xf numFmtId="43" fontId="11" fillId="3" borderId="79" xfId="1" applyFont="1" applyFill="1" applyBorder="1" applyAlignment="1">
      <alignment vertical="center"/>
    </xf>
    <xf numFmtId="43" fontId="44" fillId="0" borderId="77" xfId="1" applyFont="1" applyFill="1" applyBorder="1" applyAlignment="1">
      <alignment vertical="center"/>
    </xf>
    <xf numFmtId="43" fontId="44" fillId="0" borderId="0" xfId="1" applyFont="1" applyFill="1" applyBorder="1" applyAlignment="1">
      <alignment vertical="center"/>
    </xf>
    <xf numFmtId="4" fontId="57" fillId="0" borderId="0" xfId="0" applyNumberFormat="1" applyFont="1"/>
    <xf numFmtId="0" fontId="4" fillId="0" borderId="101" xfId="0" applyFont="1" applyBorder="1" applyAlignment="1">
      <alignment horizontal="left"/>
    </xf>
    <xf numFmtId="2" fontId="32" fillId="0" borderId="7" xfId="0" applyNumberFormat="1" applyFont="1" applyBorder="1" applyAlignment="1">
      <alignment horizontal="right"/>
    </xf>
    <xf numFmtId="2" fontId="33" fillId="0" borderId="28" xfId="0" applyNumberFormat="1" applyFont="1" applyBorder="1"/>
    <xf numFmtId="43" fontId="44" fillId="0" borderId="0" xfId="1" applyFont="1" applyFill="1" applyBorder="1"/>
    <xf numFmtId="0" fontId="49" fillId="0" borderId="8" xfId="0" applyFont="1" applyFill="1" applyBorder="1" applyAlignment="1">
      <alignment horizontal="center" vertical="top"/>
    </xf>
    <xf numFmtId="0" fontId="48" fillId="0" borderId="7" xfId="0" applyFont="1" applyBorder="1"/>
    <xf numFmtId="10" fontId="49" fillId="0" borderId="1" xfId="0" applyNumberFormat="1" applyFont="1" applyBorder="1"/>
    <xf numFmtId="0" fontId="25" fillId="0" borderId="46" xfId="9" applyFont="1" applyFill="1" applyBorder="1" applyAlignment="1">
      <alignment horizontal="center" vertical="center"/>
    </xf>
    <xf numFmtId="43" fontId="27" fillId="0" borderId="84" xfId="9" applyNumberFormat="1" applyFont="1" applyFill="1" applyBorder="1"/>
    <xf numFmtId="0" fontId="34" fillId="6" borderId="1" xfId="0" applyFont="1" applyFill="1" applyBorder="1" applyAlignment="1">
      <alignment horizontal="center" vertical="center"/>
    </xf>
    <xf numFmtId="0" fontId="34" fillId="6" borderId="3" xfId="0" applyFont="1" applyFill="1" applyBorder="1" applyAlignment="1">
      <alignment horizontal="center" vertical="center"/>
    </xf>
    <xf numFmtId="0" fontId="25" fillId="5" borderId="39" xfId="9" applyFont="1" applyFill="1" applyBorder="1" applyAlignment="1">
      <alignment horizontal="center"/>
    </xf>
    <xf numFmtId="2" fontId="25" fillId="5" borderId="4" xfId="9" applyNumberFormat="1" applyFont="1" applyFill="1" applyBorder="1" applyAlignment="1">
      <alignment horizontal="center"/>
    </xf>
    <xf numFmtId="0" fontId="25" fillId="5" borderId="4" xfId="9" applyFont="1" applyFill="1" applyBorder="1" applyAlignment="1">
      <alignment horizontal="center"/>
    </xf>
    <xf numFmtId="0" fontId="25" fillId="5" borderId="17" xfId="9" applyFont="1" applyFill="1" applyBorder="1" applyAlignment="1">
      <alignment horizontal="center"/>
    </xf>
    <xf numFmtId="0" fontId="25" fillId="5" borderId="5" xfId="9" applyFont="1" applyFill="1" applyBorder="1" applyAlignment="1">
      <alignment horizontal="center"/>
    </xf>
    <xf numFmtId="0" fontId="25" fillId="5" borderId="1" xfId="9" applyFont="1" applyFill="1" applyBorder="1" applyAlignment="1">
      <alignment horizontal="center"/>
    </xf>
    <xf numFmtId="2" fontId="25" fillId="5" borderId="17" xfId="9" applyNumberFormat="1" applyFont="1" applyFill="1" applyBorder="1" applyAlignment="1">
      <alignment horizontal="center"/>
    </xf>
    <xf numFmtId="0" fontId="34" fillId="6" borderId="41" xfId="0" applyFont="1" applyFill="1" applyBorder="1" applyAlignment="1">
      <alignment horizontal="center" vertical="center"/>
    </xf>
    <xf numFmtId="0" fontId="34" fillId="6" borderId="33" xfId="0" applyFont="1" applyFill="1" applyBorder="1" applyAlignment="1">
      <alignment horizontal="center" vertical="center"/>
    </xf>
    <xf numFmtId="2" fontId="33" fillId="0" borderId="0" xfId="0" applyNumberFormat="1" applyFont="1" applyBorder="1"/>
    <xf numFmtId="2" fontId="33" fillId="0" borderId="77" xfId="0" applyNumberFormat="1" applyFont="1" applyBorder="1"/>
    <xf numFmtId="2" fontId="33" fillId="0" borderId="92" xfId="0" applyNumberFormat="1" applyFont="1" applyBorder="1"/>
    <xf numFmtId="2" fontId="33" fillId="0" borderId="13" xfId="0" applyNumberFormat="1" applyFont="1" applyBorder="1"/>
    <xf numFmtId="2" fontId="33" fillId="0" borderId="42" xfId="0" applyNumberFormat="1" applyFont="1" applyBorder="1"/>
    <xf numFmtId="2" fontId="33" fillId="0" borderId="7" xfId="0" applyNumberFormat="1" applyFont="1" applyBorder="1"/>
    <xf numFmtId="2" fontId="33" fillId="0" borderId="90" xfId="0" applyNumberFormat="1" applyFont="1" applyBorder="1"/>
    <xf numFmtId="2" fontId="33" fillId="6" borderId="5" xfId="0" applyNumberFormat="1" applyFont="1" applyFill="1" applyBorder="1" applyAlignment="1">
      <alignment horizontal="center"/>
    </xf>
    <xf numFmtId="43" fontId="4" fillId="0" borderId="10" xfId="1" applyFont="1" applyBorder="1" applyProtection="1">
      <protection locked="0"/>
    </xf>
    <xf numFmtId="43" fontId="4" fillId="0" borderId="111" xfId="1" applyFont="1" applyBorder="1" applyProtection="1">
      <protection locked="0"/>
    </xf>
    <xf numFmtId="43" fontId="4" fillId="0" borderId="79" xfId="1" applyFont="1" applyBorder="1" applyProtection="1">
      <protection locked="0"/>
    </xf>
    <xf numFmtId="43" fontId="4" fillId="0" borderId="88" xfId="1" applyFont="1" applyBorder="1" applyProtection="1">
      <protection locked="0"/>
    </xf>
    <xf numFmtId="43" fontId="4" fillId="0" borderId="79" xfId="1" applyFont="1" applyFill="1" applyBorder="1"/>
    <xf numFmtId="43" fontId="4" fillId="3" borderId="80" xfId="1" applyFont="1" applyFill="1" applyBorder="1" applyAlignment="1">
      <alignment vertical="center"/>
    </xf>
    <xf numFmtId="43" fontId="4" fillId="3" borderId="17" xfId="1" applyFont="1" applyFill="1" applyBorder="1" applyAlignment="1">
      <alignment vertical="center"/>
    </xf>
    <xf numFmtId="43" fontId="4" fillId="3" borderId="79" xfId="1" applyFont="1" applyFill="1" applyBorder="1" applyAlignment="1">
      <alignment vertical="center"/>
    </xf>
    <xf numFmtId="2" fontId="58" fillId="0" borderId="92" xfId="0" applyNumberFormat="1" applyFont="1" applyBorder="1"/>
    <xf numFmtId="2" fontId="9" fillId="0" borderId="92" xfId="0" applyNumberFormat="1" applyFont="1" applyBorder="1"/>
    <xf numFmtId="43" fontId="4" fillId="0" borderId="0" xfId="1" applyFont="1"/>
    <xf numFmtId="43" fontId="25" fillId="0" borderId="104" xfId="9" applyNumberFormat="1" applyFont="1" applyFill="1" applyBorder="1" applyAlignment="1">
      <alignment horizontal="center"/>
    </xf>
    <xf numFmtId="2" fontId="25" fillId="0" borderId="104" xfId="9" applyNumberFormat="1" applyFont="1" applyFill="1" applyBorder="1"/>
    <xf numFmtId="0" fontId="25" fillId="0" borderId="101" xfId="9" applyFont="1" applyFill="1" applyBorder="1"/>
    <xf numFmtId="0" fontId="26" fillId="0" borderId="101" xfId="9" applyFont="1" applyFill="1" applyBorder="1"/>
    <xf numFmtId="0" fontId="25" fillId="0" borderId="104" xfId="9" applyFont="1" applyFill="1" applyBorder="1"/>
    <xf numFmtId="43" fontId="26" fillId="0" borderId="104" xfId="9" applyNumberFormat="1" applyFont="1" applyFill="1" applyBorder="1" applyAlignment="1">
      <alignment horizontal="center"/>
    </xf>
    <xf numFmtId="0" fontId="48" fillId="0" borderId="102" xfId="0" applyFont="1" applyFill="1" applyBorder="1"/>
    <xf numFmtId="0" fontId="49" fillId="0" borderId="102" xfId="0" applyFont="1" applyBorder="1" applyAlignment="1">
      <alignment horizontal="left" vertical="center" wrapText="1"/>
    </xf>
    <xf numFmtId="43" fontId="49" fillId="0" borderId="102" xfId="1" applyFont="1" applyFill="1" applyBorder="1" applyAlignment="1">
      <alignment horizontal="center" vertical="center"/>
    </xf>
    <xf numFmtId="43" fontId="54" fillId="0" borderId="79" xfId="1" applyFont="1" applyBorder="1" applyAlignment="1">
      <alignment horizontal="center"/>
    </xf>
    <xf numFmtId="0" fontId="49" fillId="0" borderId="79" xfId="0" applyFont="1" applyFill="1" applyBorder="1" applyAlignment="1">
      <alignment horizontal="center" vertical="center"/>
    </xf>
    <xf numFmtId="0" fontId="25" fillId="0" borderId="13" xfId="9" applyFont="1" applyFill="1" applyBorder="1" applyAlignment="1">
      <alignment horizontal="center"/>
    </xf>
    <xf numFmtId="0" fontId="49" fillId="0" borderId="0" xfId="0" applyFont="1" applyFill="1" applyBorder="1" applyAlignment="1">
      <alignment horizontal="left"/>
    </xf>
    <xf numFmtId="0" fontId="49" fillId="0" borderId="26" xfId="0" applyFont="1" applyFill="1" applyBorder="1" applyAlignment="1">
      <alignment horizontal="center"/>
    </xf>
    <xf numFmtId="0" fontId="49" fillId="0" borderId="9" xfId="22" quotePrefix="1" applyFont="1" applyBorder="1" applyAlignment="1">
      <alignment horizontal="left"/>
    </xf>
    <xf numFmtId="0" fontId="26" fillId="0" borderId="5" xfId="9" applyFont="1" applyFill="1" applyBorder="1" applyAlignment="1">
      <alignment horizontal="center"/>
    </xf>
    <xf numFmtId="0" fontId="32" fillId="4" borderId="3" xfId="0" applyFont="1" applyFill="1" applyBorder="1" applyAlignment="1">
      <alignment horizontal="center"/>
    </xf>
    <xf numFmtId="0" fontId="34" fillId="4" borderId="41" xfId="0" applyFont="1" applyFill="1" applyBorder="1" applyAlignment="1">
      <alignment horizontal="center"/>
    </xf>
    <xf numFmtId="0" fontId="34" fillId="4" borderId="26" xfId="0" applyFont="1" applyFill="1" applyBorder="1" applyAlignment="1">
      <alignment horizontal="center"/>
    </xf>
    <xf numFmtId="0" fontId="34" fillId="4" borderId="33" xfId="0" applyFont="1" applyFill="1" applyBorder="1" applyAlignment="1">
      <alignment horizontal="center"/>
    </xf>
    <xf numFmtId="43" fontId="32" fillId="0" borderId="71" xfId="1" applyFont="1" applyBorder="1"/>
    <xf numFmtId="43" fontId="32" fillId="0" borderId="71" xfId="1" applyFont="1" applyBorder="1" applyAlignment="1">
      <alignment horizontal="right"/>
    </xf>
    <xf numFmtId="43" fontId="32" fillId="0" borderId="7" xfId="1" applyFont="1" applyBorder="1"/>
    <xf numFmtId="43" fontId="32" fillId="0" borderId="7" xfId="1" applyFont="1" applyBorder="1" applyAlignment="1">
      <alignment horizontal="right"/>
    </xf>
    <xf numFmtId="43" fontId="32" fillId="0" borderId="112" xfId="1" applyFont="1" applyBorder="1"/>
    <xf numFmtId="43" fontId="32" fillId="0" borderId="50" xfId="1" applyFont="1" applyBorder="1"/>
    <xf numFmtId="43" fontId="32" fillId="0" borderId="50" xfId="1" applyFont="1" applyBorder="1" applyAlignment="1">
      <alignment horizontal="right"/>
    </xf>
    <xf numFmtId="43" fontId="32" fillId="0" borderId="0" xfId="1" applyFont="1" applyBorder="1"/>
    <xf numFmtId="43" fontId="32" fillId="0" borderId="0" xfId="1" applyFont="1" applyBorder="1" applyAlignment="1">
      <alignment horizontal="right"/>
    </xf>
    <xf numFmtId="2" fontId="32" fillId="0" borderId="0" xfId="0" applyNumberFormat="1" applyFont="1" applyBorder="1" applyAlignment="1">
      <alignment horizontal="right"/>
    </xf>
    <xf numFmtId="0" fontId="32" fillId="4" borderId="3" xfId="0" applyFont="1" applyFill="1" applyBorder="1" applyAlignment="1">
      <alignment horizontal="center"/>
    </xf>
    <xf numFmtId="0" fontId="10" fillId="0" borderId="93" xfId="0" applyFont="1" applyBorder="1" applyAlignment="1">
      <alignment horizontal="center"/>
    </xf>
    <xf numFmtId="0" fontId="4" fillId="0" borderId="94" xfId="0" applyFont="1" applyBorder="1" applyAlignment="1">
      <alignment horizontal="left"/>
    </xf>
    <xf numFmtId="43" fontId="8" fillId="0" borderId="52" xfId="13" applyNumberFormat="1" applyFont="1" applyBorder="1"/>
    <xf numFmtId="0" fontId="25" fillId="0" borderId="80" xfId="9" applyFont="1" applyFill="1" applyBorder="1"/>
    <xf numFmtId="43" fontId="25" fillId="0" borderId="52" xfId="9" applyNumberFormat="1" applyFont="1" applyFill="1" applyBorder="1" applyAlignment="1">
      <alignment horizontal="center"/>
    </xf>
    <xf numFmtId="43" fontId="25" fillId="0" borderId="51" xfId="9" applyNumberFormat="1" applyFont="1" applyFill="1" applyBorder="1" applyAlignment="1">
      <alignment horizontal="center"/>
    </xf>
    <xf numFmtId="43" fontId="25" fillId="0" borderId="54" xfId="9" applyNumberFormat="1" applyFont="1" applyFill="1" applyBorder="1" applyAlignment="1">
      <alignment horizontal="center"/>
    </xf>
    <xf numFmtId="43" fontId="25" fillId="0" borderId="53" xfId="9" applyNumberFormat="1" applyFont="1" applyFill="1" applyBorder="1" applyAlignment="1">
      <alignment horizontal="center"/>
    </xf>
    <xf numFmtId="2" fontId="26" fillId="0" borderId="54" xfId="9" applyNumberFormat="1" applyFont="1" applyFill="1" applyBorder="1"/>
    <xf numFmtId="43" fontId="5" fillId="0" borderId="84" xfId="13" applyNumberFormat="1" applyFont="1" applyBorder="1"/>
    <xf numFmtId="43" fontId="45" fillId="0" borderId="52" xfId="9" applyNumberFormat="1" applyFont="1" applyFill="1" applyBorder="1"/>
    <xf numFmtId="0" fontId="5" fillId="0" borderId="84" xfId="13" applyFont="1" applyBorder="1"/>
    <xf numFmtId="43" fontId="5" fillId="0" borderId="52" xfId="13" applyNumberFormat="1" applyFont="1" applyBorder="1"/>
    <xf numFmtId="0" fontId="5" fillId="0" borderId="21" xfId="9" applyFont="1" applyFill="1" applyBorder="1"/>
    <xf numFmtId="0" fontId="25" fillId="0" borderId="79" xfId="9" applyFont="1" applyFill="1" applyBorder="1"/>
    <xf numFmtId="0" fontId="28" fillId="0" borderId="104" xfId="9" applyFont="1" applyFill="1" applyBorder="1"/>
    <xf numFmtId="0" fontId="49" fillId="0" borderId="7" xfId="0" applyFont="1" applyFill="1" applyBorder="1" applyAlignment="1">
      <alignment wrapText="1"/>
    </xf>
    <xf numFmtId="43" fontId="54" fillId="0" borderId="0" xfId="1" applyFont="1" applyBorder="1" applyAlignment="1">
      <alignment horizontal="center"/>
    </xf>
    <xf numFmtId="43" fontId="25" fillId="0" borderId="88" xfId="9" applyNumberFormat="1" applyFont="1" applyFill="1" applyBorder="1"/>
    <xf numFmtId="0" fontId="49" fillId="0" borderId="79" xfId="0" applyFont="1" applyBorder="1" applyAlignment="1">
      <alignment horizontal="left"/>
    </xf>
    <xf numFmtId="4" fontId="49" fillId="0" borderId="79" xfId="19" applyNumberFormat="1" applyFont="1" applyBorder="1" applyAlignment="1" applyProtection="1">
      <alignment horizontal="right" vertical="center"/>
      <protection locked="0"/>
    </xf>
    <xf numFmtId="0" fontId="52" fillId="0" borderId="26" xfId="0" applyFont="1" applyBorder="1" applyAlignment="1">
      <alignment horizontal="center"/>
    </xf>
    <xf numFmtId="0" fontId="49" fillId="9" borderId="1" xfId="0" applyFont="1" applyFill="1" applyBorder="1" applyAlignment="1">
      <alignment horizontal="center"/>
    </xf>
    <xf numFmtId="0" fontId="48" fillId="9" borderId="13" xfId="0" applyFont="1" applyFill="1" applyBorder="1" applyAlignment="1">
      <alignment horizontal="center"/>
    </xf>
    <xf numFmtId="43" fontId="49" fillId="9" borderId="1" xfId="1" applyFont="1" applyFill="1" applyBorder="1" applyAlignment="1">
      <alignment horizontal="center"/>
    </xf>
    <xf numFmtId="43" fontId="49" fillId="9" borderId="3" xfId="1" applyFont="1" applyFill="1" applyBorder="1" applyAlignment="1">
      <alignment horizontal="center"/>
    </xf>
    <xf numFmtId="43" fontId="49" fillId="9" borderId="1" xfId="1" applyFont="1" applyFill="1" applyBorder="1"/>
    <xf numFmtId="43" fontId="48" fillId="9" borderId="1" xfId="1" applyFont="1" applyFill="1" applyBorder="1"/>
    <xf numFmtId="0" fontId="48" fillId="9" borderId="1" xfId="0" applyFont="1" applyFill="1" applyBorder="1" applyAlignment="1">
      <alignment horizontal="center"/>
    </xf>
    <xf numFmtId="43" fontId="48" fillId="9" borderId="1" xfId="1" applyFont="1" applyFill="1" applyBorder="1" applyAlignment="1">
      <alignment horizontal="right"/>
    </xf>
    <xf numFmtId="43" fontId="48" fillId="9" borderId="1" xfId="1" applyFont="1" applyFill="1" applyBorder="1" applyAlignment="1">
      <alignment horizontal="center"/>
    </xf>
    <xf numFmtId="0" fontId="48" fillId="9" borderId="3" xfId="0" applyFont="1" applyFill="1" applyBorder="1" applyAlignment="1">
      <alignment horizontal="center"/>
    </xf>
    <xf numFmtId="43" fontId="48" fillId="9" borderId="2" xfId="1" applyFont="1" applyFill="1" applyBorder="1"/>
    <xf numFmtId="43" fontId="48" fillId="9" borderId="3" xfId="1" applyFont="1" applyFill="1" applyBorder="1"/>
    <xf numFmtId="0" fontId="48" fillId="9" borderId="2" xfId="0" applyFont="1" applyFill="1" applyBorder="1" applyAlignment="1">
      <alignment horizontal="center"/>
    </xf>
    <xf numFmtId="0" fontId="49" fillId="9" borderId="3" xfId="0" applyFont="1" applyFill="1" applyBorder="1" applyAlignment="1">
      <alignment horizontal="center"/>
    </xf>
    <xf numFmtId="0" fontId="48" fillId="9" borderId="1" xfId="0" applyFont="1" applyFill="1" applyBorder="1" applyAlignment="1">
      <alignment vertical="center"/>
    </xf>
    <xf numFmtId="0" fontId="48" fillId="9" borderId="1" xfId="0" applyFont="1" applyFill="1" applyBorder="1" applyAlignment="1">
      <alignment horizontal="center" vertical="center"/>
    </xf>
    <xf numFmtId="0" fontId="49" fillId="9" borderId="1" xfId="0" applyFont="1" applyFill="1" applyBorder="1" applyAlignment="1">
      <alignment vertical="center"/>
    </xf>
    <xf numFmtId="164" fontId="49" fillId="9" borderId="1" xfId="17" applyNumberFormat="1" applyFont="1" applyFill="1" applyBorder="1" applyAlignment="1">
      <alignment vertical="center"/>
    </xf>
    <xf numFmtId="164" fontId="48" fillId="9" borderId="1" xfId="17" applyNumberFormat="1" applyFont="1" applyFill="1" applyBorder="1" applyAlignment="1">
      <alignment vertical="center"/>
    </xf>
    <xf numFmtId="164" fontId="48" fillId="9" borderId="1" xfId="17" applyNumberFormat="1" applyFont="1" applyFill="1" applyBorder="1" applyAlignment="1">
      <alignment horizontal="center" vertical="center"/>
    </xf>
    <xf numFmtId="43" fontId="49" fillId="0" borderId="17" xfId="0" applyNumberFormat="1" applyFont="1" applyFill="1" applyBorder="1" applyAlignment="1">
      <alignment vertical="center"/>
    </xf>
    <xf numFmtId="0" fontId="55" fillId="0" borderId="0" xfId="37" applyFont="1" applyAlignment="1">
      <alignment horizontal="center"/>
    </xf>
    <xf numFmtId="0" fontId="55" fillId="0" borderId="0" xfId="37" applyFont="1" applyAlignment="1">
      <alignment horizontal="left" vertical="center"/>
    </xf>
    <xf numFmtId="0" fontId="55" fillId="0" borderId="0" xfId="37" applyFont="1" applyAlignment="1">
      <alignment horizontal="center" vertical="center"/>
    </xf>
    <xf numFmtId="0" fontId="55" fillId="0" borderId="38" xfId="37" applyFont="1" applyBorder="1" applyAlignment="1">
      <alignment horizontal="center"/>
    </xf>
    <xf numFmtId="9" fontId="54" fillId="0" borderId="0" xfId="37" applyNumberFormat="1" applyFont="1" applyAlignment="1">
      <alignment horizontal="center"/>
    </xf>
    <xf numFmtId="0" fontId="49" fillId="0" borderId="4" xfId="0" applyFont="1" applyBorder="1" applyAlignment="1">
      <alignment horizontal="center" vertical="center"/>
    </xf>
    <xf numFmtId="164" fontId="49" fillId="0" borderId="4" xfId="1" applyNumberFormat="1" applyFont="1" applyBorder="1" applyAlignment="1">
      <alignment horizontal="right" vertical="center"/>
    </xf>
    <xf numFmtId="164" fontId="48" fillId="0" borderId="49" xfId="0" applyNumberFormat="1" applyFont="1" applyBorder="1"/>
    <xf numFmtId="0" fontId="49" fillId="0" borderId="73" xfId="0" applyFont="1" applyBorder="1"/>
    <xf numFmtId="0" fontId="49" fillId="0" borderId="102" xfId="0" applyFont="1" applyFill="1" applyBorder="1"/>
    <xf numFmtId="0" fontId="49" fillId="0" borderId="102" xfId="0" applyFont="1" applyFill="1" applyBorder="1" applyAlignment="1">
      <alignment horizontal="left"/>
    </xf>
    <xf numFmtId="0" fontId="46" fillId="0" borderId="0" xfId="2" applyFont="1" applyAlignment="1">
      <alignment horizontal="center" vertical="center"/>
    </xf>
    <xf numFmtId="43" fontId="49" fillId="0" borderId="80" xfId="1" applyFont="1" applyFill="1" applyBorder="1" applyAlignment="1">
      <alignment horizontal="center" vertical="center"/>
    </xf>
    <xf numFmtId="43" fontId="49" fillId="0" borderId="79" xfId="1" applyFont="1" applyFill="1" applyBorder="1" applyAlignment="1">
      <alignment horizontal="center" vertical="center"/>
    </xf>
    <xf numFmtId="43" fontId="49" fillId="0" borderId="79" xfId="1" applyFont="1" applyFill="1" applyBorder="1" applyAlignment="1">
      <alignment horizontal="center" vertical="top"/>
    </xf>
    <xf numFmtId="43" fontId="48" fillId="0" borderId="1" xfId="1" applyFont="1" applyFill="1" applyBorder="1" applyAlignment="1">
      <alignment horizontal="center" vertical="center"/>
    </xf>
    <xf numFmtId="43" fontId="48" fillId="0" borderId="2" xfId="1" applyFont="1" applyFill="1" applyBorder="1" applyAlignment="1">
      <alignment horizontal="center" vertical="center"/>
    </xf>
    <xf numFmtId="0" fontId="46" fillId="0" borderId="0" xfId="3" applyFont="1" applyFill="1" applyAlignment="1">
      <alignment horizontal="left" vertical="center"/>
    </xf>
    <xf numFmtId="0" fontId="46" fillId="0" borderId="0" xfId="3" applyFont="1" applyFill="1" applyAlignment="1">
      <alignment horizontal="right" vertical="center"/>
    </xf>
    <xf numFmtId="164" fontId="48" fillId="0" borderId="107" xfId="1" applyNumberFormat="1" applyFont="1" applyFill="1" applyBorder="1" applyAlignment="1">
      <alignment horizontal="center"/>
    </xf>
    <xf numFmtId="43" fontId="49" fillId="0" borderId="101" xfId="0" applyNumberFormat="1" applyFont="1" applyFill="1" applyBorder="1" applyAlignment="1">
      <alignment vertical="center"/>
    </xf>
    <xf numFmtId="0" fontId="49" fillId="0" borderId="107" xfId="0" applyFont="1" applyFill="1" applyBorder="1" applyAlignment="1">
      <alignment horizontal="center"/>
    </xf>
    <xf numFmtId="0" fontId="48" fillId="0" borderId="7" xfId="0" quotePrefix="1" applyFont="1" applyFill="1" applyBorder="1" applyAlignment="1">
      <alignment horizontal="left"/>
    </xf>
    <xf numFmtId="0" fontId="49" fillId="0" borderId="102" xfId="0" applyFont="1" applyBorder="1" applyAlignment="1">
      <alignment horizontal="left"/>
    </xf>
    <xf numFmtId="0" fontId="48" fillId="0" borderId="102" xfId="0" applyFont="1" applyBorder="1" applyAlignment="1">
      <alignment horizontal="left"/>
    </xf>
    <xf numFmtId="0" fontId="62" fillId="0" borderId="0" xfId="0" applyFont="1"/>
    <xf numFmtId="0" fontId="63" fillId="0" borderId="0" xfId="0" applyFont="1"/>
    <xf numFmtId="164" fontId="48" fillId="0" borderId="117" xfId="0" applyNumberFormat="1" applyFont="1" applyBorder="1" applyAlignment="1">
      <alignment vertical="center"/>
    </xf>
    <xf numFmtId="10" fontId="49" fillId="0" borderId="117" xfId="1" applyNumberFormat="1" applyFont="1" applyBorder="1" applyAlignment="1">
      <alignment horizontal="right" vertical="center"/>
    </xf>
    <xf numFmtId="43" fontId="48" fillId="0" borderId="49" xfId="1" applyFont="1" applyFill="1" applyBorder="1" applyAlignment="1">
      <alignment horizontal="left" vertical="center"/>
    </xf>
    <xf numFmtId="164" fontId="48" fillId="0" borderId="49" xfId="1" applyNumberFormat="1" applyFont="1" applyBorder="1" applyAlignment="1">
      <alignment vertical="center"/>
    </xf>
    <xf numFmtId="0" fontId="48" fillId="0" borderId="119" xfId="0" applyFont="1" applyBorder="1" applyAlignment="1">
      <alignment horizontal="center" vertical="center"/>
    </xf>
    <xf numFmtId="0" fontId="48" fillId="0" borderId="121" xfId="0" applyFont="1" applyBorder="1" applyAlignment="1">
      <alignment vertical="center"/>
    </xf>
    <xf numFmtId="0" fontId="48" fillId="0" borderId="1" xfId="0" applyFont="1" applyBorder="1" applyAlignment="1">
      <alignment horizontal="center" vertical="center"/>
    </xf>
    <xf numFmtId="0" fontId="48" fillId="0" borderId="101" xfId="0" applyFont="1" applyFill="1" applyBorder="1" applyAlignment="1">
      <alignment vertical="center"/>
    </xf>
    <xf numFmtId="0" fontId="50" fillId="0" borderId="101" xfId="0" applyFont="1" applyFill="1" applyBorder="1" applyAlignment="1">
      <alignment vertical="center"/>
    </xf>
    <xf numFmtId="0" fontId="48" fillId="0" borderId="107" xfId="0" applyFont="1" applyFill="1" applyBorder="1" applyAlignment="1">
      <alignment vertical="center"/>
    </xf>
    <xf numFmtId="164" fontId="48" fillId="0" borderId="101" xfId="17" applyNumberFormat="1" applyFont="1" applyFill="1" applyBorder="1" applyAlignment="1">
      <alignment vertical="center"/>
    </xf>
    <xf numFmtId="164" fontId="48" fillId="0" borderId="101" xfId="17" applyNumberFormat="1" applyFont="1" applyFill="1" applyBorder="1" applyAlignment="1" applyProtection="1">
      <alignment horizontal="center" vertical="center"/>
      <protection locked="0"/>
    </xf>
    <xf numFmtId="43" fontId="48" fillId="0" borderId="101" xfId="1" applyFont="1" applyFill="1" applyBorder="1"/>
    <xf numFmtId="4" fontId="49" fillId="0" borderId="101" xfId="19" applyNumberFormat="1" applyFont="1" applyFill="1" applyBorder="1" applyAlignment="1" applyProtection="1">
      <alignment horizontal="right" vertical="center"/>
      <protection hidden="1"/>
    </xf>
    <xf numFmtId="0" fontId="48" fillId="0" borderId="101" xfId="3" applyFont="1" applyFill="1" applyBorder="1" applyAlignment="1">
      <alignment horizontal="center" vertical="center"/>
    </xf>
    <xf numFmtId="43" fontId="48" fillId="0" borderId="101" xfId="1" applyFont="1" applyFill="1" applyBorder="1" applyAlignment="1">
      <alignment horizontal="center" vertical="center"/>
    </xf>
    <xf numFmtId="43" fontId="49" fillId="0" borderId="101" xfId="1" applyFont="1" applyFill="1" applyBorder="1" applyAlignment="1">
      <alignment horizontal="center" vertical="center" wrapText="1"/>
    </xf>
    <xf numFmtId="43" fontId="49" fillId="0" borderId="101" xfId="1" applyFont="1" applyBorder="1"/>
    <xf numFmtId="43" fontId="49" fillId="0" borderId="106" xfId="1" applyFont="1" applyBorder="1"/>
    <xf numFmtId="0" fontId="48" fillId="0" borderId="101" xfId="3" applyFont="1" applyBorder="1" applyAlignment="1">
      <alignment horizontal="left" vertical="center"/>
    </xf>
    <xf numFmtId="43" fontId="48" fillId="0" borderId="107" xfId="1" applyFont="1" applyFill="1" applyBorder="1" applyAlignment="1">
      <alignment horizontal="center" vertical="center"/>
    </xf>
    <xf numFmtId="43" fontId="48" fillId="0" borderId="102" xfId="1" applyFont="1" applyFill="1" applyBorder="1" applyAlignment="1">
      <alignment horizontal="center" vertical="center"/>
    </xf>
    <xf numFmtId="43" fontId="48" fillId="0" borderId="106" xfId="1" applyFont="1" applyFill="1" applyBorder="1" applyAlignment="1">
      <alignment horizontal="center" vertical="center"/>
    </xf>
    <xf numFmtId="0" fontId="49" fillId="0" borderId="101" xfId="3" applyFont="1" applyBorder="1" applyAlignment="1">
      <alignment horizontal="left" vertical="center"/>
    </xf>
    <xf numFmtId="43" fontId="49" fillId="0" borderId="101" xfId="25" applyFont="1" applyFill="1" applyBorder="1" applyAlignment="1">
      <alignment vertical="center"/>
    </xf>
    <xf numFmtId="38" fontId="49" fillId="0" borderId="101" xfId="25" applyNumberFormat="1" applyFont="1" applyFill="1" applyBorder="1" applyAlignment="1">
      <alignment horizontal="center" vertical="center"/>
    </xf>
    <xf numFmtId="0" fontId="48" fillId="0" borderId="101" xfId="0" applyFont="1" applyBorder="1" applyAlignment="1">
      <alignment vertical="center"/>
    </xf>
    <xf numFmtId="0" fontId="48" fillId="0" borderId="107" xfId="0" applyFont="1" applyBorder="1" applyAlignment="1">
      <alignment vertical="center"/>
    </xf>
    <xf numFmtId="164" fontId="49" fillId="0" borderId="107" xfId="1" applyNumberFormat="1" applyFont="1" applyFill="1" applyBorder="1" applyAlignment="1">
      <alignment horizontal="center"/>
    </xf>
    <xf numFmtId="164" fontId="49" fillId="0" borderId="101" xfId="17" applyNumberFormat="1" applyFont="1" applyFill="1" applyBorder="1" applyAlignment="1" applyProtection="1">
      <alignment horizontal="center" vertical="center"/>
      <protection locked="0"/>
    </xf>
    <xf numFmtId="172" fontId="49" fillId="0" borderId="101" xfId="29" applyNumberFormat="1" applyFont="1" applyFill="1" applyBorder="1" applyAlignment="1">
      <alignment horizontal="center" vertical="center"/>
    </xf>
    <xf numFmtId="0" fontId="49" fillId="0" borderId="101" xfId="0" applyFont="1" applyBorder="1"/>
    <xf numFmtId="0" fontId="49" fillId="0" borderId="101" xfId="0" applyFont="1" applyBorder="1" applyAlignment="1">
      <alignment horizontal="center"/>
    </xf>
    <xf numFmtId="43" fontId="49" fillId="0" borderId="101" xfId="0" applyNumberFormat="1" applyFont="1" applyBorder="1"/>
    <xf numFmtId="0" fontId="49" fillId="0" borderId="106" xfId="0" applyFont="1" applyBorder="1" applyAlignment="1">
      <alignment horizontal="left" vertical="center"/>
    </xf>
    <xf numFmtId="43" fontId="49" fillId="0" borderId="101" xfId="1" applyFont="1" applyBorder="1" applyAlignment="1">
      <alignment horizontal="center"/>
    </xf>
    <xf numFmtId="174" fontId="49" fillId="0" borderId="101" xfId="13" applyNumberFormat="1" applyFont="1" applyBorder="1" applyAlignment="1">
      <alignment horizontal="center" vertical="center"/>
    </xf>
    <xf numFmtId="43" fontId="49" fillId="3" borderId="106" xfId="1" applyFont="1" applyFill="1" applyBorder="1"/>
    <xf numFmtId="0" fontId="48" fillId="0" borderId="102" xfId="0" applyFont="1" applyFill="1" applyBorder="1" applyAlignment="1">
      <alignment horizontal="center"/>
    </xf>
    <xf numFmtId="0" fontId="48" fillId="0" borderId="102" xfId="0" applyFont="1" applyFill="1" applyBorder="1" applyAlignment="1">
      <alignment horizontal="left"/>
    </xf>
    <xf numFmtId="43" fontId="49" fillId="0" borderId="101" xfId="1" applyFont="1" applyBorder="1" applyProtection="1">
      <protection locked="0"/>
    </xf>
    <xf numFmtId="43" fontId="49" fillId="0" borderId="107" xfId="1" applyFont="1" applyBorder="1" applyProtection="1">
      <protection locked="0"/>
    </xf>
    <xf numFmtId="164" fontId="49" fillId="0" borderId="101" xfId="10" applyFont="1" applyFill="1" applyBorder="1"/>
    <xf numFmtId="43" fontId="49" fillId="0" borderId="101" xfId="0" applyNumberFormat="1" applyFont="1" applyBorder="1" applyProtection="1">
      <protection locked="0"/>
    </xf>
    <xf numFmtId="0" fontId="49" fillId="0" borderId="102" xfId="0" applyFont="1" applyFill="1" applyBorder="1" applyAlignment="1">
      <alignment wrapText="1"/>
    </xf>
    <xf numFmtId="0" fontId="49" fillId="0" borderId="102" xfId="0" applyFont="1" applyFill="1" applyBorder="1" applyAlignment="1"/>
    <xf numFmtId="0" fontId="49" fillId="0" borderId="102" xfId="0" applyFont="1" applyFill="1" applyBorder="1" applyAlignment="1">
      <alignment horizontal="left" vertical="center" wrapText="1"/>
    </xf>
    <xf numFmtId="0" fontId="49" fillId="0" borderId="102" xfId="0" applyFont="1" applyFill="1" applyBorder="1" applyAlignment="1">
      <alignment vertical="top" wrapText="1"/>
    </xf>
    <xf numFmtId="0" fontId="49" fillId="0" borderId="102" xfId="0" applyFont="1" applyBorder="1" applyAlignment="1">
      <alignment vertical="top" wrapText="1"/>
    </xf>
    <xf numFmtId="0" fontId="49" fillId="0" borderId="79" xfId="0" applyFont="1" applyBorder="1" applyAlignment="1">
      <alignment horizontal="center" vertical="top"/>
    </xf>
    <xf numFmtId="0" fontId="49" fillId="0" borderId="102" xfId="0" applyFont="1" applyBorder="1" applyAlignment="1">
      <alignment vertical="top"/>
    </xf>
    <xf numFmtId="43" fontId="49" fillId="0" borderId="102" xfId="1" applyFont="1" applyFill="1" applyBorder="1" applyAlignment="1">
      <alignment vertical="center"/>
    </xf>
    <xf numFmtId="0" fontId="48" fillId="0" borderId="102" xfId="0" applyFont="1" applyFill="1" applyBorder="1" applyAlignment="1">
      <alignment vertical="top" wrapText="1"/>
    </xf>
    <xf numFmtId="0" fontId="49" fillId="0" borderId="102" xfId="0" applyFont="1" applyFill="1" applyBorder="1" applyAlignment="1">
      <alignment vertical="top"/>
    </xf>
    <xf numFmtId="43" fontId="49" fillId="3" borderId="102" xfId="1" applyFont="1" applyFill="1" applyBorder="1"/>
    <xf numFmtId="2" fontId="48" fillId="0" borderId="101" xfId="0" applyNumberFormat="1" applyFont="1" applyFill="1" applyBorder="1" applyAlignment="1">
      <alignment horizontal="center"/>
    </xf>
    <xf numFmtId="43" fontId="48" fillId="0" borderId="102" xfId="1" applyFont="1" applyFill="1" applyBorder="1" applyAlignment="1">
      <alignment vertical="top" wrapText="1"/>
    </xf>
    <xf numFmtId="0" fontId="48" fillId="0" borderId="106" xfId="22" applyFont="1" applyBorder="1" applyAlignment="1">
      <alignment horizontal="left"/>
    </xf>
    <xf numFmtId="0" fontId="49" fillId="0" borderId="106" xfId="22" applyFont="1" applyBorder="1" applyAlignment="1">
      <alignment horizontal="left"/>
    </xf>
    <xf numFmtId="1" fontId="49" fillId="0" borderId="101" xfId="23" quotePrefix="1" applyNumberFormat="1" applyFont="1" applyFill="1" applyBorder="1" applyAlignment="1">
      <alignment horizontal="right" vertical="center"/>
    </xf>
    <xf numFmtId="43" fontId="49" fillId="0" borderId="101" xfId="23" applyFont="1" applyFill="1" applyBorder="1" applyAlignment="1">
      <alignment horizontal="right" vertical="center"/>
    </xf>
    <xf numFmtId="1" fontId="49" fillId="0" borderId="101" xfId="23" applyNumberFormat="1" applyFont="1" applyFill="1" applyBorder="1" applyAlignment="1">
      <alignment horizontal="right" vertical="center"/>
    </xf>
    <xf numFmtId="43" fontId="49" fillId="0" borderId="101" xfId="23" applyFont="1" applyFill="1" applyBorder="1" applyAlignment="1">
      <alignment horizontal="center" vertical="center"/>
    </xf>
    <xf numFmtId="43" fontId="49" fillId="0" borderId="101" xfId="23" applyFont="1" applyFill="1" applyBorder="1" applyAlignment="1">
      <alignment horizontal="center" vertical="top"/>
    </xf>
    <xf numFmtId="0" fontId="49" fillId="0" borderId="106" xfId="0" applyFont="1" applyBorder="1" applyAlignment="1">
      <alignment horizontal="left"/>
    </xf>
    <xf numFmtId="1" fontId="49" fillId="0" borderId="79" xfId="23" applyNumberFormat="1" applyFont="1" applyFill="1" applyBorder="1" applyAlignment="1">
      <alignment horizontal="right" vertical="center"/>
    </xf>
    <xf numFmtId="43" fontId="49" fillId="0" borderId="79" xfId="23" applyFont="1" applyFill="1" applyBorder="1" applyAlignment="1">
      <alignment horizontal="right" vertical="center"/>
    </xf>
    <xf numFmtId="0" fontId="49" fillId="0" borderId="106" xfId="22" applyFont="1" applyBorder="1" applyAlignment="1">
      <alignment horizontal="right"/>
    </xf>
    <xf numFmtId="0" fontId="49" fillId="0" borderId="106" xfId="22" quotePrefix="1" applyFont="1" applyBorder="1" applyAlignment="1">
      <alignment horizontal="right"/>
    </xf>
    <xf numFmtId="0" fontId="49" fillId="0" borderId="106" xfId="0" quotePrefix="1" applyFont="1" applyBorder="1" applyAlignment="1">
      <alignment horizontal="left"/>
    </xf>
    <xf numFmtId="0" fontId="49" fillId="0" borderId="101" xfId="0" applyFont="1" applyBorder="1" applyAlignment="1">
      <alignment horizontal="center" vertical="top"/>
    </xf>
    <xf numFmtId="0" fontId="49" fillId="0" borderId="107" xfId="0" applyFont="1" applyBorder="1" applyAlignment="1">
      <alignment horizontal="center" vertical="center"/>
    </xf>
    <xf numFmtId="0" fontId="49" fillId="0" borderId="79" xfId="26" applyFont="1" applyBorder="1" applyAlignment="1">
      <alignment horizontal="center"/>
    </xf>
    <xf numFmtId="43" fontId="49" fillId="0" borderId="101" xfId="23" quotePrefix="1" applyFont="1" applyFill="1" applyBorder="1" applyAlignment="1">
      <alignment horizontal="right" vertical="center"/>
    </xf>
    <xf numFmtId="43" fontId="49" fillId="0" borderId="79" xfId="1" applyFont="1" applyFill="1" applyBorder="1" applyAlignment="1">
      <alignment horizontal="left"/>
    </xf>
    <xf numFmtId="43" fontId="49" fillId="0" borderId="102" xfId="1" applyFont="1" applyFill="1" applyBorder="1" applyAlignment="1">
      <alignment horizontal="right"/>
    </xf>
    <xf numFmtId="43" fontId="49" fillId="0" borderId="106" xfId="1" applyFont="1" applyFill="1" applyBorder="1" applyAlignment="1">
      <alignment horizontal="right"/>
    </xf>
    <xf numFmtId="0" fontId="48" fillId="0" borderId="106" xfId="6" applyFont="1" applyBorder="1" applyAlignment="1">
      <alignment horizontal="left" vertical="center"/>
    </xf>
    <xf numFmtId="43" fontId="48" fillId="0" borderId="101" xfId="6" applyNumberFormat="1" applyFont="1" applyBorder="1" applyAlignment="1">
      <alignment horizontal="center" vertical="center"/>
    </xf>
    <xf numFmtId="43" fontId="48" fillId="0" borderId="100" xfId="1" applyFont="1" applyFill="1" applyBorder="1" applyAlignment="1">
      <alignment vertical="center"/>
    </xf>
    <xf numFmtId="0" fontId="48" fillId="0" borderId="106" xfId="0" applyFont="1" applyBorder="1"/>
    <xf numFmtId="3" fontId="49" fillId="0" borderId="101" xfId="6" applyNumberFormat="1" applyFont="1" applyBorder="1" applyAlignment="1">
      <alignment horizontal="center" vertical="center"/>
    </xf>
    <xf numFmtId="0" fontId="49" fillId="0" borderId="106" xfId="6" applyFont="1" applyBorder="1" applyAlignment="1">
      <alignment horizontal="left" vertical="center"/>
    </xf>
    <xf numFmtId="43" fontId="49" fillId="0" borderId="101" xfId="6" applyNumberFormat="1" applyFont="1" applyBorder="1" applyAlignment="1">
      <alignment horizontal="center" vertical="center"/>
    </xf>
    <xf numFmtId="3" fontId="49" fillId="0" borderId="102" xfId="6" applyNumberFormat="1" applyFont="1" applyBorder="1" applyAlignment="1">
      <alignment horizontal="center" vertical="center"/>
    </xf>
    <xf numFmtId="0" fontId="48" fillId="0" borderId="99" xfId="30" applyFont="1" applyBorder="1" applyAlignment="1">
      <alignment vertical="center"/>
    </xf>
    <xf numFmtId="173" fontId="49" fillId="0" borderId="101" xfId="31" applyNumberFormat="1" applyFont="1" applyBorder="1" applyAlignment="1">
      <alignment horizontal="center" vertical="center"/>
    </xf>
    <xf numFmtId="0" fontId="49" fillId="0" borderId="106" xfId="31" applyFont="1" applyBorder="1" applyAlignment="1">
      <alignment vertical="center"/>
    </xf>
    <xf numFmtId="38" fontId="49" fillId="0" borderId="101" xfId="32" applyNumberFormat="1" applyFont="1" applyFill="1" applyBorder="1" applyAlignment="1">
      <alignment horizontal="center" vertical="center"/>
    </xf>
    <xf numFmtId="2" fontId="49" fillId="0" borderId="101" xfId="31" applyNumberFormat="1" applyFont="1" applyBorder="1" applyAlignment="1">
      <alignment horizontal="center" vertical="center"/>
    </xf>
    <xf numFmtId="43" fontId="49" fillId="0" borderId="101" xfId="28" applyFont="1" applyBorder="1" applyAlignment="1">
      <alignment vertical="center"/>
    </xf>
    <xf numFmtId="0" fontId="49" fillId="0" borderId="106" xfId="30" applyFont="1" applyBorder="1" applyAlignment="1">
      <alignment horizontal="left" vertical="center"/>
    </xf>
    <xf numFmtId="173" fontId="49" fillId="0" borderId="98" xfId="31" applyNumberFormat="1" applyFont="1" applyBorder="1" applyAlignment="1">
      <alignment horizontal="center" vertical="center"/>
    </xf>
    <xf numFmtId="172" fontId="49" fillId="0" borderId="98" xfId="29" applyNumberFormat="1" applyFont="1" applyFill="1" applyBorder="1" applyAlignment="1">
      <alignment horizontal="center" vertical="center"/>
    </xf>
    <xf numFmtId="2" fontId="49" fillId="0" borderId="98" xfId="31" applyNumberFormat="1" applyFont="1" applyBorder="1" applyAlignment="1">
      <alignment horizontal="center" vertical="center"/>
    </xf>
    <xf numFmtId="38" fontId="49" fillId="0" borderId="123" xfId="25" applyNumberFormat="1" applyFont="1" applyFill="1" applyBorder="1" applyAlignment="1">
      <alignment horizontal="center" vertical="center"/>
    </xf>
    <xf numFmtId="172" fontId="49" fillId="0" borderId="98" xfId="32" applyNumberFormat="1" applyFont="1" applyFill="1" applyBorder="1" applyAlignment="1">
      <alignment vertical="center"/>
    </xf>
    <xf numFmtId="0" fontId="49" fillId="0" borderId="124" xfId="31" applyFont="1" applyBorder="1" applyAlignment="1">
      <alignment vertical="center"/>
    </xf>
    <xf numFmtId="172" fontId="49" fillId="0" borderId="101" xfId="32" applyNumberFormat="1" applyFont="1" applyFill="1" applyBorder="1" applyAlignment="1">
      <alignment horizontal="center" vertical="center"/>
    </xf>
    <xf numFmtId="38" fontId="49" fillId="0" borderId="125" xfId="25" applyNumberFormat="1" applyFont="1" applyFill="1" applyBorder="1" applyAlignment="1">
      <alignment horizontal="center" vertical="center"/>
    </xf>
    <xf numFmtId="43" fontId="49" fillId="0" borderId="126" xfId="28" applyFont="1" applyBorder="1" applyAlignment="1">
      <alignment vertical="center"/>
    </xf>
    <xf numFmtId="43" fontId="49" fillId="0" borderId="126" xfId="28" applyFont="1" applyFill="1" applyBorder="1" applyAlignment="1">
      <alignment vertical="center"/>
    </xf>
    <xf numFmtId="43" fontId="49" fillId="0" borderId="127" xfId="1" applyFont="1" applyFill="1" applyBorder="1" applyAlignment="1">
      <alignment horizontal="right"/>
    </xf>
    <xf numFmtId="173" fontId="49" fillId="0" borderId="127" xfId="31" applyNumberFormat="1" applyFont="1" applyBorder="1" applyAlignment="1">
      <alignment horizontal="center" vertical="center"/>
    </xf>
    <xf numFmtId="38" fontId="49" fillId="0" borderId="127" xfId="32" applyNumberFormat="1" applyFont="1" applyFill="1" applyBorder="1" applyAlignment="1">
      <alignment horizontal="center" vertical="center"/>
    </xf>
    <xf numFmtId="43" fontId="49" fillId="0" borderId="127" xfId="28" applyFont="1" applyFill="1" applyBorder="1" applyAlignment="1">
      <alignment vertical="center"/>
    </xf>
    <xf numFmtId="172" fontId="49" fillId="0" borderId="127" xfId="29" applyNumberFormat="1" applyFont="1" applyFill="1" applyBorder="1" applyAlignment="1">
      <alignment horizontal="center" vertical="center"/>
    </xf>
    <xf numFmtId="172" fontId="49" fillId="0" borderId="127" xfId="32" applyNumberFormat="1" applyFont="1" applyFill="1" applyBorder="1" applyAlignment="1">
      <alignment horizontal="center" vertical="center"/>
    </xf>
    <xf numFmtId="164" fontId="49" fillId="0" borderId="127" xfId="17" applyNumberFormat="1" applyFont="1" applyFill="1" applyBorder="1" applyAlignment="1">
      <alignment horizontal="center" vertical="center"/>
    </xf>
    <xf numFmtId="2" fontId="49" fillId="0" borderId="127" xfId="31" applyNumberFormat="1" applyFont="1" applyBorder="1" applyAlignment="1">
      <alignment horizontal="center" vertical="center"/>
    </xf>
    <xf numFmtId="38" fontId="49" fillId="0" borderId="128" xfId="25" applyNumberFormat="1" applyFont="1" applyFill="1" applyBorder="1" applyAlignment="1">
      <alignment horizontal="center" vertical="center"/>
    </xf>
    <xf numFmtId="43" fontId="49" fillId="0" borderId="129" xfId="28" applyFont="1" applyBorder="1" applyAlignment="1">
      <alignment vertical="center"/>
    </xf>
    <xf numFmtId="43" fontId="49" fillId="0" borderId="129" xfId="28" applyFont="1" applyFill="1" applyBorder="1" applyAlignment="1">
      <alignment vertical="center"/>
    </xf>
    <xf numFmtId="0" fontId="48" fillId="0" borderId="130" xfId="30" quotePrefix="1" applyFont="1" applyBorder="1" applyAlignment="1">
      <alignment horizontal="center" vertical="center"/>
    </xf>
    <xf numFmtId="0" fontId="48" fillId="0" borderId="106" xfId="30" applyFont="1" applyBorder="1" applyAlignment="1">
      <alignment vertical="center" shrinkToFit="1"/>
    </xf>
    <xf numFmtId="43" fontId="49" fillId="0" borderId="130" xfId="34" applyNumberFormat="1" applyFont="1" applyBorder="1" applyAlignment="1">
      <alignment horizontal="center" vertical="center"/>
    </xf>
    <xf numFmtId="43" fontId="49" fillId="0" borderId="130" xfId="34" applyNumberFormat="1" applyFont="1" applyBorder="1" applyAlignment="1">
      <alignment vertical="center"/>
    </xf>
    <xf numFmtId="43" fontId="49" fillId="0" borderId="130" xfId="34" applyNumberFormat="1" applyFont="1" applyFill="1" applyBorder="1" applyAlignment="1">
      <alignment vertical="center"/>
    </xf>
    <xf numFmtId="43" fontId="49" fillId="0" borderId="130" xfId="35" applyNumberFormat="1" applyFont="1" applyBorder="1" applyAlignment="1">
      <alignment vertical="center"/>
    </xf>
    <xf numFmtId="43" fontId="49" fillId="0" borderId="130" xfId="30" applyNumberFormat="1" applyFont="1" applyBorder="1" applyAlignment="1">
      <alignment vertical="center"/>
    </xf>
    <xf numFmtId="0" fontId="49" fillId="0" borderId="130" xfId="30" applyFont="1" applyBorder="1" applyAlignment="1">
      <alignment horizontal="center" vertical="center"/>
    </xf>
    <xf numFmtId="0" fontId="49" fillId="0" borderId="106" xfId="30" quotePrefix="1" applyFont="1" applyBorder="1" applyAlignment="1">
      <alignment vertical="center" shrinkToFit="1"/>
    </xf>
    <xf numFmtId="172" fontId="49" fillId="0" borderId="130" xfId="29" applyNumberFormat="1" applyFont="1" applyFill="1" applyBorder="1" applyAlignment="1">
      <alignment horizontal="center" vertical="center"/>
    </xf>
    <xf numFmtId="164" fontId="49" fillId="0" borderId="130" xfId="17" applyNumberFormat="1" applyFont="1" applyFill="1" applyBorder="1" applyAlignment="1">
      <alignment horizontal="center" vertical="center"/>
    </xf>
    <xf numFmtId="0" fontId="49" fillId="0" borderId="106" xfId="30" applyFont="1" applyBorder="1" applyAlignment="1">
      <alignment vertical="center" shrinkToFit="1"/>
    </xf>
    <xf numFmtId="43" fontId="49" fillId="0" borderId="130" xfId="35" applyNumberFormat="1" applyFont="1" applyFill="1" applyBorder="1" applyAlignment="1">
      <alignment vertical="center"/>
    </xf>
    <xf numFmtId="38" fontId="49" fillId="0" borderId="130" xfId="32" applyNumberFormat="1" applyFont="1" applyFill="1" applyBorder="1" applyAlignment="1">
      <alignment horizontal="center" vertical="center"/>
    </xf>
    <xf numFmtId="38" fontId="49" fillId="0" borderId="131" xfId="25" applyNumberFormat="1" applyFont="1" applyFill="1" applyBorder="1" applyAlignment="1">
      <alignment horizontal="center" vertical="center"/>
    </xf>
    <xf numFmtId="43" fontId="49" fillId="0" borderId="132" xfId="28" applyFont="1" applyBorder="1" applyAlignment="1">
      <alignment vertical="center"/>
    </xf>
    <xf numFmtId="43" fontId="49" fillId="0" borderId="132" xfId="28" applyFont="1" applyFill="1" applyBorder="1" applyAlignment="1">
      <alignment vertical="center"/>
    </xf>
    <xf numFmtId="43" fontId="49" fillId="0" borderId="133" xfId="35" applyNumberFormat="1" applyFont="1" applyFill="1" applyBorder="1" applyAlignment="1">
      <alignment vertical="center"/>
    </xf>
    <xf numFmtId="43" fontId="49" fillId="0" borderId="133" xfId="30" applyNumberFormat="1" applyFont="1" applyBorder="1" applyAlignment="1">
      <alignment vertical="center"/>
    </xf>
    <xf numFmtId="0" fontId="49" fillId="0" borderId="133" xfId="30" applyFont="1" applyBorder="1" applyAlignment="1">
      <alignment horizontal="center" vertical="center"/>
    </xf>
    <xf numFmtId="0" fontId="49" fillId="0" borderId="134" xfId="30" quotePrefix="1" applyFont="1" applyBorder="1" applyAlignment="1">
      <alignment vertical="center" shrinkToFit="1"/>
    </xf>
    <xf numFmtId="43" fontId="49" fillId="0" borderId="133" xfId="34" applyNumberFormat="1" applyFont="1" applyBorder="1" applyAlignment="1">
      <alignment horizontal="center" vertical="center"/>
    </xf>
    <xf numFmtId="43" fontId="49" fillId="0" borderId="133" xfId="34" applyNumberFormat="1" applyFont="1" applyBorder="1" applyAlignment="1">
      <alignment vertical="center"/>
    </xf>
    <xf numFmtId="43" fontId="49" fillId="0" borderId="133" xfId="34" applyNumberFormat="1" applyFont="1" applyFill="1" applyBorder="1" applyAlignment="1">
      <alignment vertical="center"/>
    </xf>
    <xf numFmtId="0" fontId="48" fillId="0" borderId="133" xfId="0" applyFont="1" applyBorder="1" applyAlignment="1">
      <alignment horizontal="center"/>
    </xf>
    <xf numFmtId="0" fontId="48" fillId="0" borderId="134" xfId="6" applyFont="1" applyBorder="1" applyAlignment="1">
      <alignment horizontal="left" vertical="center"/>
    </xf>
    <xf numFmtId="43" fontId="48" fillId="0" borderId="133" xfId="1" applyFont="1" applyFill="1" applyBorder="1" applyAlignment="1">
      <alignment horizontal="center" vertical="center"/>
    </xf>
    <xf numFmtId="43" fontId="48" fillId="0" borderId="133" xfId="6" applyNumberFormat="1" applyFont="1" applyBorder="1" applyAlignment="1">
      <alignment horizontal="center" vertical="center"/>
    </xf>
    <xf numFmtId="164" fontId="48" fillId="0" borderId="133" xfId="17" applyNumberFormat="1" applyFont="1" applyFill="1" applyBorder="1" applyAlignment="1">
      <alignment horizontal="center" vertical="center"/>
    </xf>
    <xf numFmtId="43" fontId="48" fillId="0" borderId="135" xfId="1" applyFont="1" applyFill="1" applyBorder="1" applyAlignment="1">
      <alignment vertical="center"/>
    </xf>
    <xf numFmtId="0" fontId="48" fillId="0" borderId="136" xfId="30" quotePrefix="1" applyFont="1" applyBorder="1" applyAlignment="1">
      <alignment horizontal="center" vertical="center"/>
    </xf>
    <xf numFmtId="173" fontId="49" fillId="0" borderId="130" xfId="31" applyNumberFormat="1" applyFont="1" applyBorder="1" applyAlignment="1">
      <alignment horizontal="center" vertical="center"/>
    </xf>
    <xf numFmtId="43" fontId="49" fillId="0" borderId="130" xfId="28" applyFont="1" applyFill="1" applyBorder="1" applyAlignment="1">
      <alignment vertical="center"/>
    </xf>
    <xf numFmtId="2" fontId="49" fillId="0" borderId="130" xfId="31" applyNumberFormat="1" applyFont="1" applyBorder="1" applyAlignment="1">
      <alignment horizontal="center" vertical="center"/>
    </xf>
    <xf numFmtId="172" fontId="49" fillId="0" borderId="130" xfId="32" applyNumberFormat="1" applyFont="1" applyFill="1" applyBorder="1" applyAlignment="1">
      <alignment vertical="center"/>
    </xf>
    <xf numFmtId="0" fontId="49" fillId="0" borderId="137" xfId="31" applyFont="1" applyBorder="1" applyAlignment="1">
      <alignment vertical="center"/>
    </xf>
    <xf numFmtId="172" fontId="49" fillId="0" borderId="130" xfId="32" applyNumberFormat="1" applyFont="1" applyFill="1" applyBorder="1" applyAlignment="1">
      <alignment horizontal="center" vertical="center"/>
    </xf>
    <xf numFmtId="0" fontId="49" fillId="0" borderId="130" xfId="31" applyFont="1" applyBorder="1" applyAlignment="1">
      <alignment vertical="center"/>
    </xf>
    <xf numFmtId="0" fontId="49" fillId="0" borderId="130" xfId="36" applyFont="1" applyBorder="1" applyAlignment="1">
      <alignment vertical="center"/>
    </xf>
    <xf numFmtId="43" fontId="49" fillId="0" borderId="138" xfId="1" applyFont="1" applyFill="1" applyBorder="1" applyAlignment="1">
      <alignment horizontal="right"/>
    </xf>
    <xf numFmtId="173" fontId="49" fillId="0" borderId="138" xfId="31" applyNumberFormat="1" applyFont="1" applyBorder="1" applyAlignment="1">
      <alignment horizontal="center" vertical="center"/>
    </xf>
    <xf numFmtId="38" fontId="49" fillId="0" borderId="138" xfId="32" applyNumberFormat="1" applyFont="1" applyFill="1" applyBorder="1" applyAlignment="1">
      <alignment horizontal="center" vertical="center"/>
    </xf>
    <xf numFmtId="43" fontId="49" fillId="0" borderId="138" xfId="28" applyFont="1" applyFill="1" applyBorder="1" applyAlignment="1">
      <alignment vertical="center"/>
    </xf>
    <xf numFmtId="172" fontId="49" fillId="0" borderId="138" xfId="29" applyNumberFormat="1" applyFont="1" applyFill="1" applyBorder="1" applyAlignment="1">
      <alignment horizontal="center" vertical="center"/>
    </xf>
    <xf numFmtId="172" fontId="49" fillId="0" borderId="138" xfId="32" applyNumberFormat="1" applyFont="1" applyFill="1" applyBorder="1" applyAlignment="1">
      <alignment horizontal="center" vertical="center"/>
    </xf>
    <xf numFmtId="164" fontId="49" fillId="0" borderId="138" xfId="17" applyNumberFormat="1" applyFont="1" applyFill="1" applyBorder="1" applyAlignment="1">
      <alignment horizontal="center" vertical="center"/>
    </xf>
    <xf numFmtId="2" fontId="49" fillId="0" borderId="138" xfId="31" applyNumberFormat="1" applyFont="1" applyBorder="1" applyAlignment="1">
      <alignment horizontal="center" vertical="center"/>
    </xf>
    <xf numFmtId="38" fontId="49" fillId="0" borderId="139" xfId="25" applyNumberFormat="1" applyFont="1" applyFill="1" applyBorder="1" applyAlignment="1">
      <alignment horizontal="center" vertical="center"/>
    </xf>
    <xf numFmtId="43" fontId="49" fillId="0" borderId="140" xfId="28" applyFont="1" applyBorder="1" applyAlignment="1">
      <alignment vertical="center"/>
    </xf>
    <xf numFmtId="43" fontId="49" fillId="0" borderId="140" xfId="28" applyFont="1" applyFill="1" applyBorder="1" applyAlignment="1">
      <alignment vertical="center"/>
    </xf>
    <xf numFmtId="0" fontId="48" fillId="0" borderId="141" xfId="0" applyFont="1" applyBorder="1" applyAlignment="1">
      <alignment horizontal="center"/>
    </xf>
    <xf numFmtId="43" fontId="48" fillId="0" borderId="141" xfId="1" applyFont="1" applyFill="1" applyBorder="1" applyAlignment="1">
      <alignment horizontal="center" vertical="center"/>
    </xf>
    <xf numFmtId="43" fontId="48" fillId="0" borderId="141" xfId="6" applyNumberFormat="1" applyFont="1" applyBorder="1" applyAlignment="1">
      <alignment horizontal="center" vertical="center"/>
    </xf>
    <xf numFmtId="164" fontId="48" fillId="0" borderId="141" xfId="17" applyNumberFormat="1" applyFont="1" applyFill="1" applyBorder="1" applyAlignment="1">
      <alignment horizontal="center" vertical="center"/>
    </xf>
    <xf numFmtId="0" fontId="49" fillId="0" borderId="142" xfId="31" applyFont="1" applyBorder="1" applyAlignment="1">
      <alignment vertical="center"/>
    </xf>
    <xf numFmtId="0" fontId="48" fillId="0" borderId="136" xfId="30" applyFont="1" applyBorder="1" applyAlignment="1">
      <alignment horizontal="center" vertical="center"/>
    </xf>
    <xf numFmtId="173" fontId="49" fillId="0" borderId="141" xfId="31" applyNumberFormat="1" applyFont="1" applyBorder="1" applyAlignment="1">
      <alignment horizontal="center" vertical="center"/>
    </xf>
    <xf numFmtId="38" fontId="49" fillId="0" borderId="141" xfId="32" applyNumberFormat="1" applyFont="1" applyFill="1" applyBorder="1" applyAlignment="1">
      <alignment horizontal="center" vertical="center"/>
    </xf>
    <xf numFmtId="43" fontId="49" fillId="0" borderId="141" xfId="28" applyFont="1" applyFill="1" applyBorder="1" applyAlignment="1">
      <alignment vertical="center"/>
    </xf>
    <xf numFmtId="172" fontId="49" fillId="0" borderId="141" xfId="29" applyNumberFormat="1" applyFont="1" applyFill="1" applyBorder="1" applyAlignment="1">
      <alignment horizontal="center" vertical="center"/>
    </xf>
    <xf numFmtId="164" fontId="49" fillId="0" borderId="141" xfId="17" applyNumberFormat="1" applyFont="1" applyFill="1" applyBorder="1" applyAlignment="1">
      <alignment horizontal="center" vertical="center"/>
    </xf>
    <xf numFmtId="2" fontId="49" fillId="0" borderId="141" xfId="31" applyNumberFormat="1" applyFont="1" applyBorder="1" applyAlignment="1">
      <alignment horizontal="center" vertical="center"/>
    </xf>
    <xf numFmtId="38" fontId="49" fillId="0" borderId="143" xfId="25" applyNumberFormat="1" applyFont="1" applyFill="1" applyBorder="1" applyAlignment="1">
      <alignment horizontal="center" vertical="center"/>
    </xf>
    <xf numFmtId="43" fontId="49" fillId="0" borderId="144" xfId="28" applyFont="1" applyBorder="1" applyAlignment="1">
      <alignment vertical="center"/>
    </xf>
    <xf numFmtId="43" fontId="49" fillId="0" borderId="144" xfId="28" applyFont="1" applyFill="1" applyBorder="1" applyAlignment="1">
      <alignment vertical="center"/>
    </xf>
    <xf numFmtId="43" fontId="49" fillId="0" borderId="145" xfId="1" applyFont="1" applyFill="1" applyBorder="1" applyAlignment="1">
      <alignment horizontal="right"/>
    </xf>
    <xf numFmtId="0" fontId="48" fillId="0" borderId="145" xfId="31" applyFont="1" applyBorder="1" applyAlignment="1">
      <alignment vertical="center"/>
    </xf>
    <xf numFmtId="173" fontId="49" fillId="0" borderId="145" xfId="31" applyNumberFormat="1" applyFont="1" applyBorder="1" applyAlignment="1">
      <alignment horizontal="center" vertical="center"/>
    </xf>
    <xf numFmtId="0" fontId="49" fillId="0" borderId="146" xfId="31" applyFont="1" applyBorder="1" applyAlignment="1">
      <alignment vertical="center"/>
    </xf>
    <xf numFmtId="38" fontId="49" fillId="0" borderId="145" xfId="32" applyNumberFormat="1" applyFont="1" applyFill="1" applyBorder="1" applyAlignment="1">
      <alignment horizontal="center" vertical="center"/>
    </xf>
    <xf numFmtId="43" fontId="49" fillId="0" borderId="145" xfId="28" applyFont="1" applyFill="1" applyBorder="1" applyAlignment="1">
      <alignment vertical="center"/>
    </xf>
    <xf numFmtId="172" fontId="49" fillId="0" borderId="145" xfId="29" applyNumberFormat="1" applyFont="1" applyFill="1" applyBorder="1" applyAlignment="1">
      <alignment horizontal="center" vertical="center"/>
    </xf>
    <xf numFmtId="172" fontId="49" fillId="0" borderId="145" xfId="32" applyNumberFormat="1" applyFont="1" applyFill="1" applyBorder="1" applyAlignment="1">
      <alignment horizontal="center" vertical="center"/>
    </xf>
    <xf numFmtId="164" fontId="49" fillId="0" borderId="145" xfId="17" applyNumberFormat="1" applyFont="1" applyFill="1" applyBorder="1" applyAlignment="1">
      <alignment horizontal="center" vertical="center"/>
    </xf>
    <xf numFmtId="43" fontId="49" fillId="0" borderId="147" xfId="1" applyFont="1" applyFill="1" applyBorder="1"/>
    <xf numFmtId="2" fontId="49" fillId="0" borderId="145" xfId="31" applyNumberFormat="1" applyFont="1" applyBorder="1" applyAlignment="1">
      <alignment horizontal="center" vertical="center"/>
    </xf>
    <xf numFmtId="0" fontId="49" fillId="0" borderId="146" xfId="30" applyFont="1" applyBorder="1" applyAlignment="1">
      <alignment horizontal="left" vertical="center"/>
    </xf>
    <xf numFmtId="38" fontId="49" fillId="0" borderId="148" xfId="25" applyNumberFormat="1" applyFont="1" applyFill="1" applyBorder="1" applyAlignment="1">
      <alignment horizontal="center" vertical="center"/>
    </xf>
    <xf numFmtId="43" fontId="49" fillId="0" borderId="149" xfId="28" applyFont="1" applyBorder="1" applyAlignment="1">
      <alignment vertical="center"/>
    </xf>
    <xf numFmtId="43" fontId="49" fillId="0" borderId="149" xfId="28" applyFont="1" applyFill="1" applyBorder="1" applyAlignment="1">
      <alignment vertical="center"/>
    </xf>
    <xf numFmtId="0" fontId="48" fillId="0" borderId="150" xfId="0" applyFont="1" applyBorder="1" applyAlignment="1">
      <alignment horizontal="center"/>
    </xf>
    <xf numFmtId="0" fontId="48" fillId="0" borderId="146" xfId="6" applyFont="1" applyBorder="1" applyAlignment="1">
      <alignment horizontal="left" vertical="center"/>
    </xf>
    <xf numFmtId="43" fontId="48" fillId="0" borderId="150" xfId="1" applyFont="1" applyFill="1" applyBorder="1" applyAlignment="1">
      <alignment horizontal="center" vertical="center"/>
    </xf>
    <xf numFmtId="43" fontId="48" fillId="0" borderId="150" xfId="6" applyNumberFormat="1" applyFont="1" applyBorder="1" applyAlignment="1">
      <alignment horizontal="center" vertical="center"/>
    </xf>
    <xf numFmtId="164" fontId="48" fillId="0" borderId="150" xfId="17" applyNumberFormat="1" applyFont="1" applyFill="1" applyBorder="1" applyAlignment="1">
      <alignment horizontal="center" vertical="center"/>
    </xf>
    <xf numFmtId="43" fontId="48" fillId="0" borderId="151" xfId="1" applyFont="1" applyFill="1" applyBorder="1" applyAlignment="1">
      <alignment vertical="center"/>
    </xf>
    <xf numFmtId="164" fontId="48" fillId="0" borderId="152" xfId="17" applyNumberFormat="1" applyFont="1" applyFill="1" applyBorder="1" applyAlignment="1">
      <alignment horizontal="center" vertical="center"/>
    </xf>
    <xf numFmtId="0" fontId="48" fillId="0" borderId="146" xfId="0" applyFont="1" applyBorder="1"/>
    <xf numFmtId="43" fontId="49" fillId="0" borderId="152" xfId="1" applyFont="1" applyFill="1" applyBorder="1" applyAlignment="1">
      <alignment horizontal="center" vertical="center"/>
    </xf>
    <xf numFmtId="3" fontId="49" fillId="0" borderId="152" xfId="6" applyNumberFormat="1" applyFont="1" applyBorder="1" applyAlignment="1">
      <alignment horizontal="center" vertical="center"/>
    </xf>
    <xf numFmtId="43" fontId="49" fillId="0" borderId="152" xfId="1" applyFont="1" applyFill="1" applyBorder="1" applyAlignment="1">
      <alignment horizontal="right"/>
    </xf>
    <xf numFmtId="43" fontId="49" fillId="0" borderId="152" xfId="1" applyFont="1" applyFill="1" applyBorder="1" applyAlignment="1">
      <alignment horizontal="center"/>
    </xf>
    <xf numFmtId="0" fontId="49" fillId="0" borderId="146" xfId="6" applyFont="1" applyBorder="1" applyAlignment="1">
      <alignment horizontal="left" vertical="center"/>
    </xf>
    <xf numFmtId="164" fontId="49" fillId="0" borderId="152" xfId="17" applyNumberFormat="1" applyFont="1" applyFill="1" applyBorder="1" applyAlignment="1">
      <alignment horizontal="center" vertical="center"/>
    </xf>
    <xf numFmtId="43" fontId="49" fillId="0" borderId="151" xfId="1" applyFont="1" applyFill="1" applyBorder="1" applyAlignment="1">
      <alignment vertical="center"/>
    </xf>
    <xf numFmtId="43" fontId="49" fillId="0" borderId="152" xfId="6" applyNumberFormat="1" applyFont="1" applyBorder="1" applyAlignment="1">
      <alignment horizontal="center" vertical="center"/>
    </xf>
    <xf numFmtId="0" fontId="49" fillId="0" borderId="152" xfId="0" applyFont="1" applyBorder="1" applyAlignment="1">
      <alignment horizontal="center"/>
    </xf>
    <xf numFmtId="43" fontId="49" fillId="0" borderId="152" xfId="1" applyFont="1" applyFill="1" applyBorder="1"/>
    <xf numFmtId="43" fontId="49" fillId="0" borderId="152" xfId="0" applyNumberFormat="1" applyFont="1" applyBorder="1"/>
    <xf numFmtId="3" fontId="49" fillId="0" borderId="147" xfId="6" applyNumberFormat="1" applyFont="1" applyBorder="1" applyAlignment="1">
      <alignment horizontal="center" vertical="center"/>
    </xf>
    <xf numFmtId="43" fontId="49" fillId="0" borderId="147" xfId="1" applyFont="1" applyFill="1" applyBorder="1" applyAlignment="1">
      <alignment vertical="center"/>
    </xf>
    <xf numFmtId="172" fontId="49" fillId="0" borderId="152" xfId="29" applyNumberFormat="1" applyFont="1" applyFill="1" applyBorder="1" applyAlignment="1">
      <alignment horizontal="center" vertical="center"/>
    </xf>
    <xf numFmtId="0" fontId="49" fillId="0" borderId="147" xfId="0" applyFont="1" applyBorder="1" applyAlignment="1">
      <alignment horizontal="center"/>
    </xf>
    <xf numFmtId="43" fontId="49" fillId="0" borderId="147" xfId="0" applyNumberFormat="1" applyFont="1" applyBorder="1"/>
    <xf numFmtId="0" fontId="48" fillId="0" borderId="147" xfId="0" applyFont="1" applyBorder="1" applyAlignment="1">
      <alignment horizontal="left"/>
    </xf>
    <xf numFmtId="172" fontId="49" fillId="0" borderId="152" xfId="28" applyNumberFormat="1" applyFont="1" applyFill="1" applyBorder="1" applyAlignment="1">
      <alignment horizontal="center" vertical="center"/>
    </xf>
    <xf numFmtId="38" fontId="49" fillId="0" borderId="152" xfId="32" applyNumberFormat="1" applyFont="1" applyFill="1" applyBorder="1" applyAlignment="1">
      <alignment horizontal="center" vertical="center"/>
    </xf>
    <xf numFmtId="43" fontId="49" fillId="0" borderId="152" xfId="28" applyFont="1" applyFill="1" applyBorder="1" applyAlignment="1">
      <alignment vertical="center"/>
    </xf>
    <xf numFmtId="172" fontId="49" fillId="0" borderId="152" xfId="28" applyNumberFormat="1" applyFont="1" applyFill="1" applyBorder="1" applyAlignment="1">
      <alignment vertical="center"/>
    </xf>
    <xf numFmtId="0" fontId="49" fillId="0" borderId="153" xfId="30" applyFont="1" applyBorder="1" applyAlignment="1">
      <alignment vertical="center"/>
    </xf>
    <xf numFmtId="43" fontId="49" fillId="0" borderId="152" xfId="28" applyFont="1" applyBorder="1" applyAlignment="1">
      <alignment vertical="center"/>
    </xf>
    <xf numFmtId="173" fontId="49" fillId="0" borderId="152" xfId="31" applyNumberFormat="1" applyFont="1" applyBorder="1" applyAlignment="1">
      <alignment horizontal="center" vertical="center"/>
    </xf>
    <xf numFmtId="172" fontId="49" fillId="0" borderId="152" xfId="32" applyNumberFormat="1" applyFont="1" applyFill="1" applyBorder="1" applyAlignment="1">
      <alignment horizontal="center" vertical="center"/>
    </xf>
    <xf numFmtId="0" fontId="49" fillId="0" borderId="153" xfId="30" applyFont="1" applyBorder="1" applyAlignment="1">
      <alignment horizontal="left" vertical="center"/>
    </xf>
    <xf numFmtId="172" fontId="49" fillId="0" borderId="150" xfId="28" applyNumberFormat="1" applyFont="1" applyFill="1" applyBorder="1" applyAlignment="1">
      <alignment horizontal="center" vertical="center"/>
    </xf>
    <xf numFmtId="38" fontId="49" fillId="0" borderId="154" xfId="25" applyNumberFormat="1" applyFont="1" applyFill="1" applyBorder="1" applyAlignment="1">
      <alignment horizontal="center" vertical="center"/>
    </xf>
    <xf numFmtId="43" fontId="49" fillId="0" borderId="155" xfId="28" applyFont="1" applyBorder="1" applyAlignment="1">
      <alignment vertical="center"/>
    </xf>
    <xf numFmtId="43" fontId="49" fillId="0" borderId="155" xfId="28" applyFont="1" applyFill="1" applyBorder="1" applyAlignment="1">
      <alignment vertical="center"/>
    </xf>
    <xf numFmtId="0" fontId="48" fillId="0" borderId="150" xfId="31" applyFont="1" applyBorder="1" applyAlignment="1">
      <alignment vertical="center"/>
    </xf>
    <xf numFmtId="43" fontId="49" fillId="0" borderId="147" xfId="28" applyFont="1" applyFill="1" applyBorder="1" applyAlignment="1">
      <alignment vertical="center"/>
    </xf>
    <xf numFmtId="43" fontId="49" fillId="0" borderId="150" xfId="1" applyFont="1" applyFill="1" applyBorder="1" applyAlignment="1">
      <alignment horizontal="center" vertical="center"/>
    </xf>
    <xf numFmtId="43" fontId="49" fillId="0" borderId="150" xfId="6" applyNumberFormat="1" applyFont="1" applyBorder="1" applyAlignment="1">
      <alignment horizontal="center" vertical="center"/>
    </xf>
    <xf numFmtId="164" fontId="49" fillId="0" borderId="150" xfId="17" applyNumberFormat="1" applyFont="1" applyFill="1" applyBorder="1" applyAlignment="1">
      <alignment horizontal="center" vertical="center"/>
    </xf>
    <xf numFmtId="3" fontId="49" fillId="0" borderId="150" xfId="6" applyNumberFormat="1" applyFont="1" applyBorder="1" applyAlignment="1">
      <alignment horizontal="center" vertical="center"/>
    </xf>
    <xf numFmtId="43" fontId="49" fillId="0" borderId="150" xfId="1" applyFont="1" applyFill="1" applyBorder="1" applyAlignment="1">
      <alignment horizontal="right"/>
    </xf>
    <xf numFmtId="43" fontId="49" fillId="0" borderId="150" xfId="1" applyFont="1" applyFill="1" applyBorder="1" applyAlignment="1">
      <alignment horizontal="center"/>
    </xf>
    <xf numFmtId="0" fontId="49" fillId="0" borderId="122" xfId="0" applyFont="1" applyFill="1" applyBorder="1" applyAlignment="1">
      <alignment horizontal="center"/>
    </xf>
    <xf numFmtId="43" fontId="49" fillId="0" borderId="122" xfId="1" applyFont="1" applyFill="1" applyBorder="1" applyAlignment="1">
      <alignment horizontal="center" vertical="center"/>
    </xf>
    <xf numFmtId="43" fontId="49" fillId="0" borderId="122" xfId="6" applyNumberFormat="1" applyFont="1" applyFill="1" applyBorder="1" applyAlignment="1">
      <alignment horizontal="center" vertical="center"/>
    </xf>
    <xf numFmtId="164" fontId="49" fillId="0" borderId="122" xfId="17" applyNumberFormat="1" applyFont="1" applyFill="1" applyBorder="1" applyAlignment="1">
      <alignment horizontal="center" vertical="center"/>
    </xf>
    <xf numFmtId="0" fontId="48" fillId="0" borderId="150" xfId="0" applyFont="1" applyFill="1" applyBorder="1" applyAlignment="1">
      <alignment horizontal="center"/>
    </xf>
    <xf numFmtId="43" fontId="49" fillId="0" borderId="150" xfId="1" applyFont="1" applyFill="1" applyBorder="1"/>
    <xf numFmtId="43" fontId="49" fillId="0" borderId="142" xfId="1" applyFont="1" applyFill="1" applyBorder="1"/>
    <xf numFmtId="43" fontId="49" fillId="0" borderId="107" xfId="1" applyFont="1" applyFill="1" applyBorder="1"/>
    <xf numFmtId="0" fontId="49" fillId="0" borderId="107" xfId="0" applyFont="1" applyFill="1" applyBorder="1" applyAlignment="1">
      <alignment horizontal="center" vertical="center"/>
    </xf>
    <xf numFmtId="166" fontId="49" fillId="0" borderId="102" xfId="32" applyFont="1" applyFill="1" applyBorder="1" applyAlignment="1">
      <alignment vertical="center"/>
    </xf>
    <xf numFmtId="166" fontId="49" fillId="0" borderId="150" xfId="32" applyFont="1" applyFill="1" applyBorder="1" applyAlignment="1">
      <alignment vertical="center"/>
    </xf>
    <xf numFmtId="166" fontId="49" fillId="0" borderId="150" xfId="32" applyFont="1" applyFill="1" applyBorder="1"/>
    <xf numFmtId="43" fontId="49" fillId="0" borderId="150" xfId="0" applyNumberFormat="1" applyFont="1" applyBorder="1" applyAlignment="1">
      <alignment vertical="center"/>
    </xf>
    <xf numFmtId="0" fontId="49" fillId="0" borderId="0" xfId="0" applyFont="1" applyFill="1" applyBorder="1" applyAlignment="1">
      <alignment horizontal="left" vertical="center"/>
    </xf>
    <xf numFmtId="43" fontId="49" fillId="0" borderId="26" xfId="1" applyFont="1" applyFill="1" applyBorder="1" applyAlignment="1">
      <alignment horizontal="right"/>
    </xf>
    <xf numFmtId="0" fontId="49" fillId="0" borderId="0" xfId="0" applyFont="1" applyBorder="1" applyAlignment="1">
      <alignment horizontal="left" vertical="center"/>
    </xf>
    <xf numFmtId="43" fontId="49" fillId="0" borderId="122" xfId="1" applyFont="1" applyFill="1" applyBorder="1" applyAlignment="1">
      <alignment horizontal="right"/>
    </xf>
    <xf numFmtId="0" fontId="48" fillId="0" borderId="150" xfId="0" applyFont="1" applyBorder="1" applyAlignment="1">
      <alignment vertical="center"/>
    </xf>
    <xf numFmtId="164" fontId="48" fillId="0" borderId="150" xfId="17" applyNumberFormat="1" applyFont="1" applyFill="1" applyBorder="1" applyAlignment="1">
      <alignment vertical="center"/>
    </xf>
    <xf numFmtId="164" fontId="48" fillId="0" borderId="150" xfId="17" applyNumberFormat="1" applyFont="1" applyFill="1" applyBorder="1" applyAlignment="1" applyProtection="1">
      <alignment horizontal="center" vertical="center"/>
      <protection locked="0"/>
    </xf>
    <xf numFmtId="164" fontId="49" fillId="0" borderId="150" xfId="17" applyNumberFormat="1" applyFont="1" applyFill="1" applyBorder="1" applyAlignment="1" applyProtection="1">
      <alignment horizontal="center" vertical="center"/>
      <protection locked="0"/>
    </xf>
    <xf numFmtId="0" fontId="48" fillId="0" borderId="150" xfId="0" applyFont="1" applyFill="1" applyBorder="1" applyAlignment="1">
      <alignment vertical="center"/>
    </xf>
    <xf numFmtId="0" fontId="49" fillId="0" borderId="150" xfId="3" applyFont="1" applyFill="1" applyBorder="1" applyAlignment="1">
      <alignment horizontal="left" vertical="center"/>
    </xf>
    <xf numFmtId="1" fontId="49" fillId="0" borderId="150" xfId="0" applyNumberFormat="1" applyFont="1" applyFill="1" applyBorder="1" applyAlignment="1">
      <alignment horizontal="center" vertical="center"/>
    </xf>
    <xf numFmtId="0" fontId="49" fillId="0" borderId="107" xfId="27" applyFont="1" applyFill="1" applyBorder="1" applyAlignment="1">
      <alignment vertical="center"/>
    </xf>
    <xf numFmtId="43" fontId="49" fillId="0" borderId="150" xfId="0" applyNumberFormat="1" applyFont="1" applyFill="1" applyBorder="1" applyAlignment="1">
      <alignment vertical="center"/>
    </xf>
    <xf numFmtId="43" fontId="48" fillId="0" borderId="150" xfId="28" applyFont="1" applyFill="1" applyBorder="1" applyAlignment="1">
      <alignment vertical="center"/>
    </xf>
    <xf numFmtId="0" fontId="49" fillId="0" borderId="142" xfId="31" applyFont="1" applyFill="1" applyBorder="1" applyAlignment="1">
      <alignment vertical="center"/>
    </xf>
    <xf numFmtId="172" fontId="49" fillId="0" borderId="150" xfId="28" applyNumberFormat="1" applyFont="1" applyFill="1" applyBorder="1" applyAlignment="1">
      <alignment horizontal="right" vertical="center"/>
    </xf>
    <xf numFmtId="38" fontId="49" fillId="0" borderId="150" xfId="32" applyNumberFormat="1" applyFont="1" applyFill="1" applyBorder="1" applyAlignment="1">
      <alignment horizontal="center" vertical="center"/>
    </xf>
    <xf numFmtId="43" fontId="49" fillId="0" borderId="150" xfId="28" applyFont="1" applyFill="1" applyBorder="1" applyAlignment="1">
      <alignment vertical="center"/>
    </xf>
    <xf numFmtId="0" fontId="49" fillId="0" borderId="142" xfId="31" quotePrefix="1" applyFont="1" applyFill="1" applyBorder="1" applyAlignment="1">
      <alignment vertical="center"/>
    </xf>
    <xf numFmtId="0" fontId="49" fillId="0" borderId="142" xfId="31" applyFont="1" applyFill="1" applyBorder="1" applyAlignment="1">
      <alignment horizontal="left" vertical="center"/>
    </xf>
    <xf numFmtId="172" fontId="49" fillId="0" borderId="101" xfId="28" applyNumberFormat="1" applyFont="1" applyFill="1" applyBorder="1" applyAlignment="1">
      <alignment horizontal="right" vertical="center"/>
    </xf>
    <xf numFmtId="43" fontId="48" fillId="0" borderId="101" xfId="28" applyFont="1" applyFill="1" applyBorder="1" applyAlignment="1">
      <alignment vertical="center"/>
    </xf>
    <xf numFmtId="43" fontId="49" fillId="0" borderId="5" xfId="1" applyFont="1" applyFill="1" applyBorder="1"/>
    <xf numFmtId="0" fontId="50" fillId="0" borderId="106" xfId="22" applyFont="1" applyBorder="1" applyAlignment="1">
      <alignment horizontal="left"/>
    </xf>
    <xf numFmtId="43" fontId="49" fillId="0" borderId="101" xfId="28" applyNumberFormat="1" applyFont="1" applyFill="1" applyBorder="1" applyAlignment="1">
      <alignment horizontal="center" vertical="center"/>
    </xf>
    <xf numFmtId="43" fontId="49" fillId="0" borderId="101" xfId="1" applyNumberFormat="1" applyFont="1" applyFill="1" applyBorder="1" applyAlignment="1">
      <alignment horizontal="center"/>
    </xf>
    <xf numFmtId="43" fontId="49" fillId="0" borderId="17" xfId="0" applyNumberFormat="1" applyFont="1" applyBorder="1"/>
    <xf numFmtId="43" fontId="49" fillId="0" borderId="98" xfId="28" applyNumberFormat="1" applyFont="1" applyFill="1" applyBorder="1" applyAlignment="1">
      <alignment vertical="center"/>
    </xf>
    <xf numFmtId="43" fontId="49" fillId="0" borderId="98" xfId="28" applyNumberFormat="1" applyFont="1" applyFill="1" applyBorder="1" applyAlignment="1">
      <alignment horizontal="center" vertical="center"/>
    </xf>
    <xf numFmtId="43" fontId="49" fillId="0" borderId="101" xfId="28" applyNumberFormat="1" applyFont="1" applyFill="1" applyBorder="1" applyAlignment="1">
      <alignment vertical="center"/>
    </xf>
    <xf numFmtId="43" fontId="49" fillId="0" borderId="80" xfId="28" applyNumberFormat="1" applyFont="1" applyBorder="1" applyAlignment="1">
      <alignment horizontal="center" vertical="center" wrapText="1"/>
    </xf>
    <xf numFmtId="43" fontId="49" fillId="0" borderId="80" xfId="1" applyNumberFormat="1" applyFont="1" applyFill="1" applyBorder="1" applyAlignment="1">
      <alignment horizontal="center" vertical="center"/>
    </xf>
    <xf numFmtId="43" fontId="49" fillId="0" borderId="127" xfId="28" applyNumberFormat="1" applyFont="1" applyFill="1" applyBorder="1" applyAlignment="1">
      <alignment horizontal="center" vertical="center"/>
    </xf>
    <xf numFmtId="43" fontId="49" fillId="0" borderId="130" xfId="28" applyNumberFormat="1" applyFont="1" applyFill="1" applyBorder="1" applyAlignment="1">
      <alignment horizontal="center" vertical="center"/>
    </xf>
    <xf numFmtId="43" fontId="49" fillId="0" borderId="130" xfId="28" applyNumberFormat="1" applyFont="1" applyFill="1" applyBorder="1" applyAlignment="1">
      <alignment vertical="center"/>
    </xf>
    <xf numFmtId="43" fontId="49" fillId="0" borderId="130" xfId="36" applyNumberFormat="1" applyFont="1" applyBorder="1" applyAlignment="1">
      <alignment vertical="center"/>
    </xf>
    <xf numFmtId="43" fontId="49" fillId="0" borderId="138" xfId="28" applyNumberFormat="1" applyFont="1" applyFill="1" applyBorder="1" applyAlignment="1">
      <alignment horizontal="center" vertical="center"/>
    </xf>
    <xf numFmtId="43" fontId="49" fillId="0" borderId="141" xfId="28" applyNumberFormat="1" applyFont="1" applyFill="1" applyBorder="1" applyAlignment="1">
      <alignment vertical="center"/>
    </xf>
    <xf numFmtId="43" fontId="49" fillId="0" borderId="141" xfId="28" applyNumberFormat="1" applyFont="1" applyFill="1" applyBorder="1" applyAlignment="1">
      <alignment horizontal="center" vertical="center"/>
    </xf>
    <xf numFmtId="43" fontId="49" fillId="0" borderId="145" xfId="28" applyNumberFormat="1" applyFont="1" applyFill="1" applyBorder="1" applyAlignment="1">
      <alignment horizontal="center" vertical="center"/>
    </xf>
    <xf numFmtId="43" fontId="49" fillId="0" borderId="152" xfId="28" applyNumberFormat="1" applyFont="1" applyFill="1" applyBorder="1" applyAlignment="1">
      <alignment horizontal="center" vertical="center"/>
    </xf>
    <xf numFmtId="43" fontId="49" fillId="0" borderId="152" xfId="28" applyNumberFormat="1" applyFont="1" applyFill="1" applyBorder="1" applyAlignment="1">
      <alignment vertical="center"/>
    </xf>
    <xf numFmtId="43" fontId="49" fillId="0" borderId="150" xfId="28" applyNumberFormat="1" applyFont="1" applyFill="1" applyBorder="1" applyAlignment="1">
      <alignment horizontal="center" vertical="center"/>
    </xf>
    <xf numFmtId="0" fontId="48" fillId="0" borderId="7" xfId="31" applyFont="1" applyBorder="1" applyAlignment="1">
      <alignment horizontal="left" vertical="center"/>
    </xf>
    <xf numFmtId="0" fontId="48" fillId="0" borderId="7" xfId="31" applyFont="1" applyFill="1" applyBorder="1" applyAlignment="1">
      <alignment horizontal="left" vertical="center"/>
    </xf>
    <xf numFmtId="0" fontId="48" fillId="0" borderId="7" xfId="0" applyFont="1" applyFill="1" applyBorder="1" applyAlignment="1">
      <alignment horizontal="left" vertical="center"/>
    </xf>
    <xf numFmtId="0" fontId="49" fillId="0" borderId="7" xfId="31" applyFont="1" applyFill="1" applyBorder="1" applyAlignment="1">
      <alignment vertical="center"/>
    </xf>
    <xf numFmtId="43" fontId="49" fillId="0" borderId="156" xfId="28" applyFont="1" applyFill="1" applyBorder="1" applyAlignment="1">
      <alignment vertical="center"/>
    </xf>
    <xf numFmtId="0" fontId="49" fillId="0" borderId="17" xfId="0" applyFont="1" applyFill="1" applyBorder="1" applyAlignment="1">
      <alignment horizontal="center"/>
    </xf>
    <xf numFmtId="172" fontId="49" fillId="0" borderId="80" xfId="28" applyNumberFormat="1" applyFont="1" applyFill="1" applyBorder="1" applyAlignment="1">
      <alignment horizontal="center" vertical="center"/>
    </xf>
    <xf numFmtId="43" fontId="49" fillId="0" borderId="77" xfId="28" applyFont="1" applyFill="1" applyBorder="1" applyAlignment="1">
      <alignment vertical="center"/>
    </xf>
    <xf numFmtId="43" fontId="25" fillId="0" borderId="157" xfId="9" applyNumberFormat="1" applyFont="1" applyFill="1" applyBorder="1"/>
    <xf numFmtId="43" fontId="25" fillId="0" borderId="157" xfId="9" applyNumberFormat="1" applyFont="1" applyFill="1" applyBorder="1" applyAlignment="1">
      <alignment horizontal="center"/>
    </xf>
    <xf numFmtId="43" fontId="49" fillId="0" borderId="133" xfId="1" applyFont="1" applyFill="1" applyBorder="1"/>
    <xf numFmtId="43" fontId="49" fillId="0" borderId="158" xfId="1" applyFont="1" applyFill="1" applyBorder="1"/>
    <xf numFmtId="43" fontId="49" fillId="0" borderId="159" xfId="1" applyFont="1" applyFill="1" applyBorder="1"/>
    <xf numFmtId="0" fontId="48" fillId="0" borderId="160" xfId="0" applyFont="1" applyBorder="1" applyAlignment="1">
      <alignment horizontal="center"/>
    </xf>
    <xf numFmtId="0" fontId="49" fillId="0" borderId="158" xfId="0" applyFont="1" applyBorder="1" applyAlignment="1">
      <alignment horizontal="left"/>
    </xf>
    <xf numFmtId="43" fontId="49" fillId="0" borderId="160" xfId="1" applyFont="1" applyFill="1" applyBorder="1" applyAlignment="1">
      <alignment horizontal="center"/>
    </xf>
    <xf numFmtId="0" fontId="52" fillId="0" borderId="161" xfId="0" applyFont="1" applyBorder="1" applyAlignment="1">
      <alignment horizontal="center"/>
    </xf>
    <xf numFmtId="43" fontId="49" fillId="0" borderId="160" xfId="1" applyFont="1" applyFill="1" applyBorder="1"/>
    <xf numFmtId="0" fontId="52" fillId="3" borderId="162" xfId="0" applyFont="1" applyFill="1" applyBorder="1" applyAlignment="1">
      <alignment horizontal="left" vertical="center"/>
    </xf>
    <xf numFmtId="0" fontId="49" fillId="0" borderId="161" xfId="0" applyFont="1" applyBorder="1" applyAlignment="1">
      <alignment horizontal="center"/>
    </xf>
    <xf numFmtId="0" fontId="52" fillId="3" borderId="163" xfId="0" quotePrefix="1" applyFont="1" applyFill="1" applyBorder="1" applyAlignment="1">
      <alignment horizontal="left" vertical="center"/>
    </xf>
    <xf numFmtId="0" fontId="52" fillId="3" borderId="158" xfId="0" quotePrefix="1" applyFont="1" applyFill="1" applyBorder="1" applyAlignment="1">
      <alignment horizontal="left" vertical="center"/>
    </xf>
    <xf numFmtId="0" fontId="52" fillId="3" borderId="150" xfId="0" applyFont="1" applyFill="1" applyBorder="1" applyAlignment="1">
      <alignment horizontal="left" vertical="center"/>
    </xf>
    <xf numFmtId="0" fontId="52" fillId="3" borderId="158" xfId="0" applyFont="1" applyFill="1" applyBorder="1" applyAlignment="1">
      <alignment horizontal="left" vertical="center"/>
    </xf>
    <xf numFmtId="0" fontId="48" fillId="0" borderId="158" xfId="0" applyFont="1" applyBorder="1" applyAlignment="1">
      <alignment horizontal="left"/>
    </xf>
    <xf numFmtId="0" fontId="49" fillId="0" borderId="158" xfId="0" applyFont="1" applyBorder="1" applyAlignment="1">
      <alignment horizontal="center"/>
    </xf>
    <xf numFmtId="0" fontId="52" fillId="3" borderId="159" xfId="0" applyFont="1" applyFill="1" applyBorder="1" applyAlignment="1">
      <alignment horizontal="left" vertical="center"/>
    </xf>
    <xf numFmtId="43" fontId="64" fillId="0" borderId="159" xfId="1" applyFont="1" applyFill="1" applyBorder="1"/>
    <xf numFmtId="0" fontId="52" fillId="0" borderId="158" xfId="0" applyFont="1" applyBorder="1"/>
    <xf numFmtId="0" fontId="52" fillId="3" borderId="163" xfId="0" applyFont="1" applyFill="1" applyBorder="1" applyAlignment="1">
      <alignment horizontal="left" vertical="center"/>
    </xf>
    <xf numFmtId="164" fontId="52" fillId="0" borderId="159" xfId="10" applyFont="1" applyBorder="1"/>
    <xf numFmtId="0" fontId="59" fillId="3" borderId="158" xfId="0" applyFont="1" applyFill="1" applyBorder="1" applyAlignment="1">
      <alignment horizontal="left" vertical="center"/>
    </xf>
    <xf numFmtId="0" fontId="59" fillId="0" borderId="158" xfId="0" applyFont="1" applyBorder="1"/>
    <xf numFmtId="43" fontId="26" fillId="0" borderId="0" xfId="1" applyFont="1" applyFill="1"/>
    <xf numFmtId="0" fontId="26" fillId="0" borderId="0" xfId="9" applyFont="1" applyFill="1" applyAlignment="1">
      <alignment horizontal="center"/>
    </xf>
    <xf numFmtId="0" fontId="47" fillId="0" borderId="0" xfId="2" applyFont="1" applyFill="1" applyAlignment="1">
      <alignment horizontal="center" vertical="center"/>
    </xf>
    <xf numFmtId="0" fontId="55" fillId="0" borderId="0" xfId="37" applyFont="1" applyAlignment="1">
      <alignment horizontal="left" vertical="center"/>
    </xf>
    <xf numFmtId="0" fontId="55" fillId="0" borderId="0" xfId="37" applyFont="1" applyAlignment="1">
      <alignment horizontal="center" vertical="center"/>
    </xf>
    <xf numFmtId="0" fontId="55" fillId="0" borderId="38" xfId="37" applyFont="1" applyBorder="1" applyAlignment="1">
      <alignment horizontal="center"/>
    </xf>
    <xf numFmtId="0" fontId="55" fillId="0" borderId="0" xfId="37" applyFont="1" applyAlignment="1">
      <alignment horizontal="center"/>
    </xf>
    <xf numFmtId="9" fontId="54" fillId="0" borderId="0" xfId="37" applyNumberFormat="1" applyFont="1" applyAlignment="1">
      <alignment horizontal="center"/>
    </xf>
    <xf numFmtId="0" fontId="48" fillId="0" borderId="164" xfId="0" applyFont="1" applyFill="1" applyBorder="1" applyAlignment="1">
      <alignment horizontal="center"/>
    </xf>
    <xf numFmtId="43" fontId="7" fillId="0" borderId="0" xfId="0" applyNumberFormat="1" applyFont="1"/>
    <xf numFmtId="43" fontId="4" fillId="0" borderId="0" xfId="0" applyNumberFormat="1" applyFont="1" applyAlignment="1">
      <alignment vertical="center"/>
    </xf>
    <xf numFmtId="43" fontId="48" fillId="0" borderId="17" xfId="1" applyFont="1" applyFill="1" applyBorder="1"/>
    <xf numFmtId="0" fontId="48" fillId="0" borderId="165" xfId="0" applyFont="1" applyFill="1" applyBorder="1" applyAlignment="1">
      <alignment horizontal="center" vertical="center"/>
    </xf>
    <xf numFmtId="0" fontId="48" fillId="0" borderId="165" xfId="0" applyFont="1" applyFill="1" applyBorder="1" applyAlignment="1">
      <alignment horizontal="left"/>
    </xf>
    <xf numFmtId="164" fontId="48" fillId="0" borderId="166" xfId="1" applyNumberFormat="1" applyFont="1" applyFill="1" applyBorder="1" applyAlignment="1">
      <alignment horizontal="center"/>
    </xf>
    <xf numFmtId="43" fontId="49" fillId="0" borderId="165" xfId="1" applyFont="1" applyFill="1" applyBorder="1"/>
    <xf numFmtId="164" fontId="48" fillId="0" borderId="165" xfId="17" applyNumberFormat="1" applyFont="1" applyFill="1" applyBorder="1" applyAlignment="1">
      <alignment horizontal="center" vertical="center"/>
    </xf>
    <xf numFmtId="43" fontId="49" fillId="0" borderId="124" xfId="1" applyFont="1" applyFill="1" applyBorder="1"/>
    <xf numFmtId="43" fontId="48" fillId="0" borderId="165" xfId="1" applyFont="1" applyFill="1" applyBorder="1"/>
    <xf numFmtId="164" fontId="48" fillId="0" borderId="166" xfId="17" applyNumberFormat="1" applyFont="1" applyFill="1" applyBorder="1" applyAlignment="1">
      <alignment horizontal="center" vertical="center"/>
    </xf>
    <xf numFmtId="43" fontId="49" fillId="0" borderId="92" xfId="1" applyFont="1" applyFill="1" applyBorder="1" applyAlignment="1">
      <alignment vertical="top"/>
    </xf>
    <xf numFmtId="0" fontId="48" fillId="0" borderId="167" xfId="0" applyFont="1" applyFill="1" applyBorder="1" applyAlignment="1">
      <alignment horizontal="center"/>
    </xf>
    <xf numFmtId="0" fontId="49" fillId="0" borderId="7" xfId="31" applyFont="1" applyBorder="1" applyAlignment="1">
      <alignment vertical="center"/>
    </xf>
    <xf numFmtId="38" fontId="49" fillId="0" borderId="88" xfId="32" applyNumberFormat="1" applyFont="1" applyFill="1" applyBorder="1" applyAlignment="1">
      <alignment horizontal="center" vertical="center"/>
    </xf>
    <xf numFmtId="43" fontId="49" fillId="0" borderId="168" xfId="28" applyFont="1" applyFill="1" applyBorder="1" applyAlignment="1">
      <alignment vertical="center"/>
    </xf>
    <xf numFmtId="43" fontId="49" fillId="0" borderId="167" xfId="28" applyFont="1" applyFill="1" applyBorder="1" applyAlignment="1">
      <alignment vertical="center"/>
    </xf>
    <xf numFmtId="43" fontId="49" fillId="0" borderId="169" xfId="1" applyFont="1" applyFill="1" applyBorder="1"/>
    <xf numFmtId="0" fontId="49" fillId="0" borderId="7" xfId="31" applyFont="1" applyBorder="1" applyAlignment="1">
      <alignment vertical="center" wrapText="1"/>
    </xf>
    <xf numFmtId="38" fontId="49" fillId="0" borderId="88" xfId="32" applyNumberFormat="1" applyFont="1" applyFill="1" applyBorder="1" applyAlignment="1">
      <alignment horizontal="center" vertical="top"/>
    </xf>
    <xf numFmtId="43" fontId="49" fillId="0" borderId="101" xfId="28" applyFont="1" applyFill="1" applyBorder="1" applyAlignment="1">
      <alignment vertical="top"/>
    </xf>
    <xf numFmtId="43" fontId="49" fillId="0" borderId="142" xfId="1" applyFont="1" applyFill="1" applyBorder="1" applyAlignment="1">
      <alignment vertical="top"/>
    </xf>
    <xf numFmtId="0" fontId="46" fillId="0" borderId="0" xfId="3" applyFont="1" applyFill="1" applyAlignment="1">
      <alignment horizontal="left" vertical="center"/>
    </xf>
    <xf numFmtId="43" fontId="52" fillId="0" borderId="170" xfId="28" applyFont="1" applyFill="1" applyBorder="1" applyAlignment="1">
      <alignment vertical="center"/>
    </xf>
    <xf numFmtId="43" fontId="49" fillId="0" borderId="170" xfId="28" applyFont="1" applyFill="1" applyBorder="1" applyAlignment="1">
      <alignment vertical="center"/>
    </xf>
    <xf numFmtId="0" fontId="48" fillId="0" borderId="170" xfId="0" applyFont="1" applyFill="1" applyBorder="1" applyAlignment="1">
      <alignment horizontal="center"/>
    </xf>
    <xf numFmtId="166" fontId="62" fillId="0" borderId="0" xfId="0" applyNumberFormat="1" applyFont="1" applyAlignment="1">
      <alignment vertical="center"/>
    </xf>
    <xf numFmtId="166" fontId="62" fillId="2" borderId="0" xfId="0" applyNumberFormat="1" applyFont="1" applyFill="1" applyAlignment="1">
      <alignment vertical="center"/>
    </xf>
    <xf numFmtId="0" fontId="62" fillId="0" borderId="0" xfId="0" applyFont="1" applyAlignment="1">
      <alignment vertical="center"/>
    </xf>
    <xf numFmtId="0" fontId="49" fillId="0" borderId="0" xfId="0" applyFont="1" applyBorder="1"/>
    <xf numFmtId="43" fontId="49" fillId="0" borderId="0" xfId="0" applyNumberFormat="1" applyFont="1" applyBorder="1"/>
    <xf numFmtId="164" fontId="48" fillId="0" borderId="172" xfId="0" applyNumberFormat="1" applyFont="1" applyFill="1" applyBorder="1"/>
    <xf numFmtId="0" fontId="49" fillId="0" borderId="175" xfId="0" applyFont="1" applyBorder="1"/>
    <xf numFmtId="0" fontId="48" fillId="0" borderId="172" xfId="0" applyFont="1" applyFill="1" applyBorder="1" applyAlignment="1">
      <alignment horizontal="center" vertical="center"/>
    </xf>
    <xf numFmtId="43" fontId="49" fillId="0" borderId="170" xfId="1" applyFont="1" applyFill="1" applyBorder="1"/>
    <xf numFmtId="0" fontId="65" fillId="0" borderId="0" xfId="0" applyFont="1" applyAlignment="1">
      <alignment vertical="center"/>
    </xf>
    <xf numFmtId="0" fontId="66" fillId="10" borderId="0" xfId="0" applyFont="1" applyFill="1" applyAlignment="1">
      <alignment vertical="center"/>
    </xf>
    <xf numFmtId="0" fontId="66" fillId="11" borderId="0" xfId="0" applyFont="1" applyFill="1" applyAlignment="1">
      <alignment vertical="center"/>
    </xf>
    <xf numFmtId="0" fontId="67" fillId="0" borderId="0" xfId="0" applyFont="1" applyAlignment="1">
      <alignment vertical="center"/>
    </xf>
    <xf numFmtId="164" fontId="65" fillId="12" borderId="0" xfId="10" applyFont="1" applyFill="1" applyAlignment="1">
      <alignment vertical="center"/>
    </xf>
    <xf numFmtId="164" fontId="68" fillId="12" borderId="0" xfId="10" applyFont="1" applyFill="1" applyAlignment="1">
      <alignment vertical="center"/>
    </xf>
    <xf numFmtId="0" fontId="65" fillId="12" borderId="0" xfId="0" applyFont="1" applyFill="1"/>
    <xf numFmtId="164" fontId="11" fillId="0" borderId="0" xfId="10" applyFont="1" applyFill="1" applyAlignment="1">
      <alignment vertical="center"/>
    </xf>
    <xf numFmtId="0" fontId="65" fillId="0" borderId="0" xfId="0" applyFont="1"/>
    <xf numFmtId="0" fontId="69" fillId="0" borderId="0" xfId="0" applyFont="1" applyAlignment="1">
      <alignment vertical="center"/>
    </xf>
    <xf numFmtId="0" fontId="11" fillId="3" borderId="176" xfId="0" applyFont="1" applyFill="1" applyBorder="1" applyAlignment="1">
      <alignment horizontal="left" vertical="center"/>
    </xf>
    <xf numFmtId="0" fontId="65" fillId="3" borderId="176" xfId="0" applyFont="1" applyFill="1" applyBorder="1" applyAlignment="1">
      <alignment horizontal="left" vertical="center"/>
    </xf>
    <xf numFmtId="164" fontId="11" fillId="0" borderId="0" xfId="10" applyFont="1" applyFill="1" applyAlignment="1">
      <alignment horizontal="right" vertical="center"/>
    </xf>
    <xf numFmtId="0" fontId="71" fillId="0" borderId="0" xfId="39" applyFont="1" applyAlignment="1">
      <alignment vertical="center" wrapText="1"/>
    </xf>
    <xf numFmtId="0" fontId="71" fillId="0" borderId="0" xfId="39" applyFont="1" applyAlignment="1">
      <alignment horizontal="left" vertical="center" wrapText="1"/>
    </xf>
    <xf numFmtId="0" fontId="72" fillId="0" borderId="0" xfId="0" applyFont="1" applyAlignment="1">
      <alignment vertical="center"/>
    </xf>
    <xf numFmtId="164" fontId="65" fillId="0" borderId="0" xfId="10" applyFont="1" applyAlignment="1">
      <alignment vertical="center"/>
    </xf>
    <xf numFmtId="164" fontId="65" fillId="0" borderId="0" xfId="10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73" fillId="0" borderId="0" xfId="0" applyFont="1" applyAlignment="1">
      <alignment vertical="center"/>
    </xf>
    <xf numFmtId="43" fontId="52" fillId="0" borderId="170" xfId="28" applyFont="1" applyFill="1" applyBorder="1" applyAlignment="1">
      <alignment horizontal="right" vertical="center"/>
    </xf>
    <xf numFmtId="38" fontId="52" fillId="0" borderId="171" xfId="32" applyNumberFormat="1" applyFont="1" applyFill="1" applyBorder="1" applyAlignment="1">
      <alignment horizontal="center" vertical="center"/>
    </xf>
    <xf numFmtId="43" fontId="52" fillId="0" borderId="177" xfId="1" applyFont="1" applyFill="1" applyBorder="1"/>
    <xf numFmtId="43" fontId="52" fillId="0" borderId="124" xfId="1" applyFont="1" applyFill="1" applyBorder="1"/>
    <xf numFmtId="0" fontId="49" fillId="0" borderId="101" xfId="3" applyFont="1" applyFill="1" applyBorder="1" applyAlignment="1">
      <alignment horizontal="left" vertical="center"/>
    </xf>
    <xf numFmtId="43" fontId="49" fillId="5" borderId="80" xfId="0" applyNumberFormat="1" applyFont="1" applyFill="1" applyBorder="1" applyAlignment="1">
      <alignment vertical="center"/>
    </xf>
    <xf numFmtId="43" fontId="49" fillId="0" borderId="170" xfId="1" applyFont="1" applyBorder="1"/>
    <xf numFmtId="43" fontId="49" fillId="0" borderId="169" xfId="1" applyFont="1" applyBorder="1"/>
    <xf numFmtId="0" fontId="49" fillId="0" borderId="171" xfId="0" applyFont="1" applyBorder="1" applyAlignment="1">
      <alignment horizontal="center"/>
    </xf>
    <xf numFmtId="0" fontId="48" fillId="0" borderId="170" xfId="0" applyFont="1" applyFill="1" applyBorder="1" applyAlignment="1">
      <alignment horizontal="center" vertical="center"/>
    </xf>
    <xf numFmtId="164" fontId="48" fillId="0" borderId="171" xfId="17" applyNumberFormat="1" applyFont="1" applyFill="1" applyBorder="1" applyAlignment="1">
      <alignment horizontal="center" vertical="center"/>
    </xf>
    <xf numFmtId="43" fontId="49" fillId="0" borderId="170" xfId="1" applyFont="1" applyFill="1" applyBorder="1" applyAlignment="1">
      <alignment horizontal="center"/>
    </xf>
    <xf numFmtId="43" fontId="49" fillId="0" borderId="177" xfId="1" applyFont="1" applyFill="1" applyBorder="1"/>
    <xf numFmtId="43" fontId="49" fillId="0" borderId="170" xfId="23" applyFont="1" applyFill="1" applyBorder="1" applyAlignment="1">
      <alignment horizontal="right" vertical="center"/>
    </xf>
    <xf numFmtId="0" fontId="48" fillId="0" borderId="0" xfId="0" applyFont="1" applyFill="1" applyBorder="1" applyAlignment="1">
      <alignment horizontal="center"/>
    </xf>
    <xf numFmtId="43" fontId="48" fillId="0" borderId="0" xfId="1" applyFont="1" applyFill="1" applyBorder="1"/>
    <xf numFmtId="43" fontId="48" fillId="0" borderId="40" xfId="1" applyFont="1" applyFill="1" applyBorder="1"/>
    <xf numFmtId="43" fontId="49" fillId="0" borderId="26" xfId="1" applyFont="1" applyFill="1" applyBorder="1" applyAlignment="1">
      <alignment horizontal="center"/>
    </xf>
    <xf numFmtId="43" fontId="60" fillId="0" borderId="170" xfId="1" applyFont="1" applyFill="1" applyBorder="1" applyAlignment="1">
      <alignment horizontal="center" vertical="center"/>
    </xf>
    <xf numFmtId="43" fontId="60" fillId="0" borderId="7" xfId="1" applyFont="1" applyFill="1" applyBorder="1" applyAlignment="1">
      <alignment horizontal="center" vertical="center"/>
    </xf>
    <xf numFmtId="43" fontId="60" fillId="0" borderId="80" xfId="0" applyNumberFormat="1" applyFont="1" applyFill="1" applyBorder="1" applyAlignment="1">
      <alignment vertical="center"/>
    </xf>
    <xf numFmtId="43" fontId="60" fillId="0" borderId="170" xfId="0" applyNumberFormat="1" applyFont="1" applyFill="1" applyBorder="1" applyAlignment="1">
      <alignment vertical="center"/>
    </xf>
    <xf numFmtId="43" fontId="49" fillId="0" borderId="170" xfId="1" applyFont="1" applyFill="1" applyBorder="1" applyAlignment="1">
      <alignment horizontal="right"/>
    </xf>
    <xf numFmtId="0" fontId="49" fillId="0" borderId="170" xfId="3" applyFont="1" applyFill="1" applyBorder="1" applyAlignment="1">
      <alignment horizontal="left" vertical="center"/>
    </xf>
    <xf numFmtId="1" fontId="49" fillId="0" borderId="170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61" fillId="0" borderId="79" xfId="0" applyFont="1" applyFill="1" applyBorder="1" applyAlignment="1">
      <alignment horizontal="center"/>
    </xf>
    <xf numFmtId="0" fontId="60" fillId="0" borderId="8" xfId="0" applyFont="1" applyFill="1" applyBorder="1" applyAlignment="1">
      <alignment horizontal="center" vertical="center"/>
    </xf>
    <xf numFmtId="43" fontId="60" fillId="0" borderId="79" xfId="1" applyFont="1" applyFill="1" applyBorder="1" applyAlignment="1">
      <alignment horizontal="right"/>
    </xf>
    <xf numFmtId="43" fontId="60" fillId="0" borderId="9" xfId="1" applyFont="1" applyFill="1" applyBorder="1" applyAlignment="1">
      <alignment horizontal="right"/>
    </xf>
    <xf numFmtId="43" fontId="60" fillId="0" borderId="8" xfId="1" applyFont="1" applyFill="1" applyBorder="1"/>
    <xf numFmtId="0" fontId="62" fillId="0" borderId="0" xfId="0" applyFont="1" applyFill="1"/>
    <xf numFmtId="0" fontId="48" fillId="0" borderId="26" xfId="0" applyFont="1" applyFill="1" applyBorder="1" applyAlignment="1">
      <alignment horizontal="center"/>
    </xf>
    <xf numFmtId="43" fontId="48" fillId="0" borderId="26" xfId="1" applyFont="1" applyFill="1" applyBorder="1"/>
    <xf numFmtId="0" fontId="49" fillId="0" borderId="2" xfId="0" applyFont="1" applyBorder="1" applyAlignment="1">
      <alignment horizontal="left"/>
    </xf>
    <xf numFmtId="0" fontId="49" fillId="0" borderId="3" xfId="0" applyFont="1" applyBorder="1" applyAlignment="1">
      <alignment horizontal="left"/>
    </xf>
    <xf numFmtId="170" fontId="48" fillId="0" borderId="101" xfId="17" applyNumberFormat="1" applyFont="1" applyFill="1" applyBorder="1" applyAlignment="1">
      <alignment horizontal="center" vertical="center"/>
    </xf>
    <xf numFmtId="0" fontId="59" fillId="0" borderId="79" xfId="0" applyFont="1" applyFill="1" applyBorder="1" applyAlignment="1">
      <alignment horizontal="left"/>
    </xf>
    <xf numFmtId="0" fontId="60" fillId="0" borderId="7" xfId="0" applyFont="1" applyFill="1" applyBorder="1" applyAlignment="1">
      <alignment horizontal="left" vertical="center"/>
    </xf>
    <xf numFmtId="0" fontId="74" fillId="0" borderId="7" xfId="0" applyFont="1" applyFill="1" applyBorder="1" applyAlignment="1">
      <alignment horizontal="left" vertical="center"/>
    </xf>
    <xf numFmtId="0" fontId="60" fillId="0" borderId="7" xfId="0" quotePrefix="1" applyFont="1" applyFill="1" applyBorder="1" applyAlignment="1">
      <alignment horizontal="left" vertical="center"/>
    </xf>
    <xf numFmtId="43" fontId="52" fillId="0" borderId="170" xfId="1" applyFont="1" applyFill="1" applyBorder="1" applyAlignment="1">
      <alignment horizontal="center" vertical="center"/>
    </xf>
    <xf numFmtId="43" fontId="52" fillId="0" borderId="170" xfId="1" applyFont="1" applyFill="1" applyBorder="1"/>
    <xf numFmtId="43" fontId="52" fillId="0" borderId="79" xfId="1" applyFont="1" applyFill="1" applyBorder="1"/>
    <xf numFmtId="0" fontId="48" fillId="0" borderId="79" xfId="0" applyFont="1" applyBorder="1" applyAlignment="1">
      <alignment horizontal="right"/>
    </xf>
    <xf numFmtId="0" fontId="48" fillId="0" borderId="79" xfId="0" applyFont="1" applyFill="1" applyBorder="1" applyAlignment="1">
      <alignment horizontal="right"/>
    </xf>
    <xf numFmtId="43" fontId="48" fillId="0" borderId="17" xfId="1" applyFont="1" applyFill="1" applyBorder="1" applyAlignment="1">
      <alignment horizontal="right"/>
    </xf>
    <xf numFmtId="43" fontId="48" fillId="0" borderId="0" xfId="1" applyFont="1" applyFill="1" applyBorder="1" applyAlignment="1">
      <alignment horizontal="right"/>
    </xf>
    <xf numFmtId="43" fontId="48" fillId="0" borderId="40" xfId="1" applyFont="1" applyFill="1" applyBorder="1" applyAlignment="1">
      <alignment horizontal="right"/>
    </xf>
    <xf numFmtId="43" fontId="48" fillId="0" borderId="26" xfId="1" applyFont="1" applyFill="1" applyBorder="1" applyAlignment="1">
      <alignment horizontal="right"/>
    </xf>
    <xf numFmtId="0" fontId="48" fillId="13" borderId="101" xfId="0" applyFont="1" applyFill="1" applyBorder="1" applyAlignment="1">
      <alignment horizontal="center"/>
    </xf>
    <xf numFmtId="0" fontId="49" fillId="13" borderId="101" xfId="0" applyFont="1" applyFill="1" applyBorder="1" applyAlignment="1">
      <alignment horizontal="center"/>
    </xf>
    <xf numFmtId="43" fontId="49" fillId="13" borderId="101" xfId="1" applyFont="1" applyFill="1" applyBorder="1"/>
    <xf numFmtId="0" fontId="48" fillId="13" borderId="102" xfId="0" applyFont="1" applyFill="1" applyBorder="1" applyAlignment="1">
      <alignment horizontal="center"/>
    </xf>
    <xf numFmtId="0" fontId="49" fillId="13" borderId="107" xfId="0" applyFont="1" applyFill="1" applyBorder="1" applyAlignment="1">
      <alignment horizontal="center"/>
    </xf>
    <xf numFmtId="43" fontId="49" fillId="13" borderId="102" xfId="1" applyFont="1" applyFill="1" applyBorder="1"/>
    <xf numFmtId="43" fontId="49" fillId="13" borderId="142" xfId="1" applyFont="1" applyFill="1" applyBorder="1"/>
    <xf numFmtId="43" fontId="49" fillId="13" borderId="8" xfId="1" applyFont="1" applyFill="1" applyBorder="1"/>
    <xf numFmtId="0" fontId="48" fillId="13" borderId="79" xfId="0" applyFont="1" applyFill="1" applyBorder="1" applyAlignment="1">
      <alignment horizontal="center"/>
    </xf>
    <xf numFmtId="0" fontId="48" fillId="13" borderId="7" xfId="0" applyFont="1" applyFill="1" applyBorder="1" applyAlignment="1">
      <alignment horizontal="center"/>
    </xf>
    <xf numFmtId="0" fontId="49" fillId="13" borderId="8" xfId="0" applyFont="1" applyFill="1" applyBorder="1" applyAlignment="1">
      <alignment horizontal="center"/>
    </xf>
    <xf numFmtId="43" fontId="49" fillId="13" borderId="79" xfId="1" applyFont="1" applyFill="1" applyBorder="1"/>
    <xf numFmtId="43" fontId="49" fillId="13" borderId="7" xfId="1" applyFont="1" applyFill="1" applyBorder="1"/>
    <xf numFmtId="43" fontId="49" fillId="13" borderId="9" xfId="1" applyFont="1" applyFill="1" applyBorder="1"/>
    <xf numFmtId="0" fontId="48" fillId="0" borderId="160" xfId="0" applyFont="1" applyFill="1" applyBorder="1" applyAlignment="1">
      <alignment horizontal="center"/>
    </xf>
    <xf numFmtId="0" fontId="49" fillId="0" borderId="162" xfId="0" applyFont="1" applyFill="1" applyBorder="1" applyAlignment="1">
      <alignment horizontal="left" vertical="center"/>
    </xf>
    <xf numFmtId="0" fontId="49" fillId="0" borderId="177" xfId="0" applyFont="1" applyFill="1" applyBorder="1" applyAlignment="1">
      <alignment horizontal="left" vertical="center"/>
    </xf>
    <xf numFmtId="43" fontId="49" fillId="13" borderId="106" xfId="1" applyFont="1" applyFill="1" applyBorder="1"/>
    <xf numFmtId="43" fontId="49" fillId="13" borderId="8" xfId="1" applyFont="1" applyFill="1" applyBorder="1" applyAlignment="1">
      <alignment horizontal="center"/>
    </xf>
    <xf numFmtId="43" fontId="49" fillId="13" borderId="101" xfId="1" applyFont="1" applyFill="1" applyBorder="1" applyAlignment="1">
      <alignment horizontal="right"/>
    </xf>
    <xf numFmtId="43" fontId="49" fillId="13" borderId="102" xfId="1" applyFont="1" applyFill="1" applyBorder="1" applyAlignment="1">
      <alignment horizontal="right"/>
    </xf>
    <xf numFmtId="43" fontId="49" fillId="13" borderId="106" xfId="1" applyFont="1" applyFill="1" applyBorder="1" applyAlignment="1">
      <alignment horizontal="right"/>
    </xf>
    <xf numFmtId="0" fontId="48" fillId="0" borderId="106" xfId="0" applyFont="1" applyFill="1" applyBorder="1"/>
    <xf numFmtId="0" fontId="48" fillId="0" borderId="179" xfId="6" applyFont="1" applyFill="1" applyBorder="1" applyAlignment="1">
      <alignment horizontal="left" vertical="center"/>
    </xf>
    <xf numFmtId="0" fontId="49" fillId="0" borderId="179" xfId="6" applyFont="1" applyFill="1" applyBorder="1" applyAlignment="1">
      <alignment horizontal="left" vertical="center"/>
    </xf>
    <xf numFmtId="0" fontId="48" fillId="0" borderId="180" xfId="0" applyFont="1" applyFill="1" applyBorder="1" applyAlignment="1">
      <alignment horizontal="center"/>
    </xf>
    <xf numFmtId="43" fontId="49" fillId="0" borderId="182" xfId="1" applyFont="1" applyFill="1" applyBorder="1" applyAlignment="1">
      <alignment horizontal="center" vertical="center"/>
    </xf>
    <xf numFmtId="43" fontId="49" fillId="0" borderId="182" xfId="6" applyNumberFormat="1" applyFont="1" applyFill="1" applyBorder="1" applyAlignment="1">
      <alignment horizontal="center" vertical="center"/>
    </xf>
    <xf numFmtId="164" fontId="49" fillId="0" borderId="182" xfId="17" applyNumberFormat="1" applyFont="1" applyFill="1" applyBorder="1" applyAlignment="1">
      <alignment horizontal="center" vertical="center"/>
    </xf>
    <xf numFmtId="43" fontId="49" fillId="0" borderId="181" xfId="1" applyFont="1" applyFill="1" applyBorder="1" applyAlignment="1">
      <alignment vertical="center"/>
    </xf>
    <xf numFmtId="172" fontId="49" fillId="0" borderId="182" xfId="29" applyNumberFormat="1" applyFont="1" applyFill="1" applyBorder="1" applyAlignment="1">
      <alignment horizontal="center" vertical="center"/>
    </xf>
    <xf numFmtId="0" fontId="48" fillId="0" borderId="99" xfId="30" applyFont="1" applyFill="1" applyBorder="1" applyAlignment="1">
      <alignment vertical="center"/>
    </xf>
    <xf numFmtId="0" fontId="48" fillId="0" borderId="78" xfId="30" applyFont="1" applyFill="1" applyBorder="1" applyAlignment="1">
      <alignment vertical="center"/>
    </xf>
    <xf numFmtId="0" fontId="48" fillId="0" borderId="106" xfId="30" applyFont="1" applyFill="1" applyBorder="1" applyAlignment="1">
      <alignment vertical="center" shrinkToFit="1"/>
    </xf>
    <xf numFmtId="43" fontId="49" fillId="0" borderId="178" xfId="1" applyFont="1" applyFill="1" applyBorder="1" applyAlignment="1">
      <alignment vertical="center"/>
    </xf>
    <xf numFmtId="43" fontId="52" fillId="0" borderId="182" xfId="6" applyNumberFormat="1" applyFont="1" applyFill="1" applyBorder="1" applyAlignment="1">
      <alignment horizontal="center" vertical="center"/>
    </xf>
    <xf numFmtId="0" fontId="52" fillId="0" borderId="79" xfId="0" applyFont="1" applyFill="1" applyBorder="1" applyAlignment="1">
      <alignment horizontal="center"/>
    </xf>
    <xf numFmtId="0" fontId="52" fillId="0" borderId="179" xfId="6" applyFont="1" applyFill="1" applyBorder="1" applyAlignment="1">
      <alignment horizontal="left" vertical="center"/>
    </xf>
    <xf numFmtId="43" fontId="52" fillId="0" borderId="182" xfId="1" applyFont="1" applyFill="1" applyBorder="1" applyAlignment="1">
      <alignment horizontal="center" vertical="center"/>
    </xf>
    <xf numFmtId="172" fontId="52" fillId="0" borderId="182" xfId="29" applyNumberFormat="1" applyFont="1" applyFill="1" applyBorder="1" applyAlignment="1">
      <alignment horizontal="center" vertical="center"/>
    </xf>
    <xf numFmtId="164" fontId="52" fillId="0" borderId="182" xfId="17" applyNumberFormat="1" applyFont="1" applyFill="1" applyBorder="1" applyAlignment="1">
      <alignment horizontal="center" vertical="center"/>
    </xf>
    <xf numFmtId="43" fontId="52" fillId="0" borderId="178" xfId="1" applyFont="1" applyFill="1" applyBorder="1"/>
    <xf numFmtId="0" fontId="9" fillId="0" borderId="0" xfId="0" applyFont="1" applyFill="1"/>
    <xf numFmtId="2" fontId="52" fillId="0" borderId="182" xfId="31" applyNumberFormat="1" applyFont="1" applyFill="1" applyBorder="1" applyAlignment="1">
      <alignment horizontal="center" vertical="center"/>
    </xf>
    <xf numFmtId="0" fontId="52" fillId="0" borderId="179" xfId="31" applyFont="1" applyFill="1" applyBorder="1" applyAlignment="1">
      <alignment vertical="center"/>
    </xf>
    <xf numFmtId="43" fontId="52" fillId="0" borderId="182" xfId="28" applyNumberFormat="1" applyFont="1" applyFill="1" applyBorder="1" applyAlignment="1">
      <alignment horizontal="center" vertical="center"/>
    </xf>
    <xf numFmtId="43" fontId="52" fillId="0" borderId="182" xfId="28" applyFont="1" applyFill="1" applyBorder="1" applyAlignment="1">
      <alignment vertical="center"/>
    </xf>
    <xf numFmtId="43" fontId="52" fillId="0" borderId="183" xfId="28" applyFont="1" applyFill="1" applyBorder="1" applyAlignment="1">
      <alignment vertical="center"/>
    </xf>
    <xf numFmtId="173" fontId="52" fillId="0" borderId="182" xfId="31" applyNumberFormat="1" applyFont="1" applyFill="1" applyBorder="1" applyAlignment="1">
      <alignment horizontal="center" vertical="center"/>
    </xf>
    <xf numFmtId="0" fontId="52" fillId="0" borderId="180" xfId="30" applyFont="1" applyFill="1" applyBorder="1" applyAlignment="1">
      <alignment horizontal="center" vertical="center"/>
    </xf>
    <xf numFmtId="0" fontId="52" fillId="0" borderId="179" xfId="30" quotePrefix="1" applyFont="1" applyFill="1" applyBorder="1" applyAlignment="1">
      <alignment vertical="center" shrinkToFit="1"/>
    </xf>
    <xf numFmtId="43" fontId="52" fillId="0" borderId="180" xfId="34" applyNumberFormat="1" applyFont="1" applyFill="1" applyBorder="1" applyAlignment="1">
      <alignment horizontal="center" vertical="center"/>
    </xf>
    <xf numFmtId="172" fontId="52" fillId="0" borderId="180" xfId="29" applyNumberFormat="1" applyFont="1" applyFill="1" applyBorder="1" applyAlignment="1">
      <alignment horizontal="center" vertical="center"/>
    </xf>
    <xf numFmtId="164" fontId="52" fillId="0" borderId="180" xfId="17" applyNumberFormat="1" applyFont="1" applyFill="1" applyBorder="1" applyAlignment="1">
      <alignment horizontal="center" vertical="center"/>
    </xf>
    <xf numFmtId="43" fontId="49" fillId="0" borderId="79" xfId="1" applyFont="1" applyFill="1" applyBorder="1" applyAlignment="1">
      <alignment horizontal="center" vertical="top"/>
    </xf>
    <xf numFmtId="0" fontId="75" fillId="0" borderId="101" xfId="0" applyFont="1" applyFill="1" applyBorder="1" applyAlignment="1">
      <alignment horizontal="center"/>
    </xf>
    <xf numFmtId="0" fontId="76" fillId="0" borderId="101" xfId="0" applyFont="1" applyFill="1" applyBorder="1" applyAlignment="1">
      <alignment horizontal="center"/>
    </xf>
    <xf numFmtId="0" fontId="49" fillId="0" borderId="171" xfId="0" applyFont="1" applyFill="1" applyBorder="1" applyAlignment="1">
      <alignment horizontal="center"/>
    </xf>
    <xf numFmtId="0" fontId="49" fillId="0" borderId="106" xfId="0" applyFont="1" applyFill="1" applyBorder="1" applyAlignment="1">
      <alignment horizontal="left" vertical="center"/>
    </xf>
    <xf numFmtId="174" fontId="49" fillId="0" borderId="101" xfId="13" applyNumberFormat="1" applyFont="1" applyFill="1" applyBorder="1" applyAlignment="1">
      <alignment horizontal="center" vertical="center"/>
    </xf>
    <xf numFmtId="0" fontId="49" fillId="0" borderId="161" xfId="0" applyFont="1" applyFill="1" applyBorder="1" applyAlignment="1">
      <alignment horizontal="center"/>
    </xf>
    <xf numFmtId="0" fontId="49" fillId="0" borderId="158" xfId="0" applyFont="1" applyFill="1" applyBorder="1" applyAlignment="1">
      <alignment horizontal="left"/>
    </xf>
    <xf numFmtId="43" fontId="4" fillId="0" borderId="0" xfId="0" applyNumberFormat="1" applyFont="1" applyFill="1"/>
    <xf numFmtId="0" fontId="49" fillId="0" borderId="163" xfId="0" quotePrefix="1" applyFont="1" applyFill="1" applyBorder="1" applyAlignment="1">
      <alignment horizontal="left" vertical="center"/>
    </xf>
    <xf numFmtId="0" fontId="49" fillId="0" borderId="158" xfId="0" applyFont="1" applyFill="1" applyBorder="1" applyAlignment="1">
      <alignment horizontal="left" vertical="center"/>
    </xf>
    <xf numFmtId="0" fontId="49" fillId="0" borderId="158" xfId="0" quotePrefix="1" applyFont="1" applyFill="1" applyBorder="1" applyAlignment="1">
      <alignment horizontal="left" vertical="center"/>
    </xf>
    <xf numFmtId="0" fontId="49" fillId="0" borderId="150" xfId="0" applyFont="1" applyFill="1" applyBorder="1" applyAlignment="1">
      <alignment horizontal="left" vertical="center"/>
    </xf>
    <xf numFmtId="2" fontId="48" fillId="0" borderId="150" xfId="0" applyNumberFormat="1" applyFont="1" applyFill="1" applyBorder="1" applyAlignment="1">
      <alignment horizontal="center"/>
    </xf>
    <xf numFmtId="0" fontId="49" fillId="0" borderId="158" xfId="0" applyFont="1" applyFill="1" applyBorder="1" applyAlignment="1">
      <alignment horizontal="center"/>
    </xf>
    <xf numFmtId="0" fontId="48" fillId="0" borderId="158" xfId="0" applyFont="1" applyFill="1" applyBorder="1" applyAlignment="1">
      <alignment horizontal="left" vertical="center"/>
    </xf>
    <xf numFmtId="0" fontId="49" fillId="0" borderId="158" xfId="0" applyFont="1" applyFill="1" applyBorder="1"/>
    <xf numFmtId="43" fontId="49" fillId="0" borderId="182" xfId="1" applyFont="1" applyFill="1" applyBorder="1"/>
    <xf numFmtId="0" fontId="48" fillId="0" borderId="182" xfId="0" applyFont="1" applyFill="1" applyBorder="1" applyAlignment="1">
      <alignment horizontal="center"/>
    </xf>
    <xf numFmtId="43" fontId="49" fillId="0" borderId="101" xfId="1" applyFont="1" applyFill="1" applyBorder="1" applyProtection="1">
      <protection locked="0"/>
    </xf>
    <xf numFmtId="43" fontId="49" fillId="0" borderId="107" xfId="1" applyFont="1" applyFill="1" applyBorder="1" applyProtection="1">
      <protection locked="0"/>
    </xf>
    <xf numFmtId="0" fontId="49" fillId="0" borderId="92" xfId="0" applyFont="1" applyFill="1" applyBorder="1" applyAlignment="1">
      <alignment vertical="top"/>
    </xf>
    <xf numFmtId="0" fontId="59" fillId="0" borderId="101" xfId="0" applyFont="1" applyFill="1" applyBorder="1" applyAlignment="1">
      <alignment horizontal="center"/>
    </xf>
    <xf numFmtId="0" fontId="59" fillId="0" borderId="102" xfId="0" applyFont="1" applyFill="1" applyBorder="1"/>
    <xf numFmtId="0" fontId="48" fillId="0" borderId="9" xfId="22" applyFont="1" applyFill="1" applyBorder="1" applyAlignment="1">
      <alignment horizontal="center"/>
    </xf>
    <xf numFmtId="0" fontId="48" fillId="0" borderId="9" xfId="22" applyFont="1" applyFill="1" applyBorder="1" applyAlignment="1">
      <alignment horizontal="left"/>
    </xf>
    <xf numFmtId="0" fontId="49" fillId="0" borderId="9" xfId="22" applyFont="1" applyFill="1" applyBorder="1" applyAlignment="1">
      <alignment horizontal="center"/>
    </xf>
    <xf numFmtId="0" fontId="49" fillId="0" borderId="106" xfId="22" applyFont="1" applyFill="1" applyBorder="1" applyAlignment="1">
      <alignment horizontal="left"/>
    </xf>
    <xf numFmtId="0" fontId="49" fillId="0" borderId="106" xfId="0" applyFont="1" applyFill="1" applyBorder="1" applyAlignment="1">
      <alignment horizontal="left"/>
    </xf>
    <xf numFmtId="0" fontId="48" fillId="0" borderId="9" xfId="24" quotePrefix="1" applyFont="1" applyFill="1" applyBorder="1" applyAlignment="1">
      <alignment horizontal="center"/>
    </xf>
    <xf numFmtId="0" fontId="48" fillId="0" borderId="9" xfId="24" applyFont="1" applyFill="1" applyBorder="1"/>
    <xf numFmtId="0" fontId="49" fillId="0" borderId="106" xfId="22" quotePrefix="1" applyFont="1" applyFill="1" applyBorder="1" applyAlignment="1">
      <alignment horizontal="right"/>
    </xf>
    <xf numFmtId="0" fontId="49" fillId="0" borderId="9" xfId="26" applyFont="1" applyFill="1" applyBorder="1" applyAlignment="1">
      <alignment horizontal="center"/>
    </xf>
    <xf numFmtId="0" fontId="49" fillId="0" borderId="9" xfId="26" applyFont="1" applyFill="1" applyBorder="1" applyAlignment="1">
      <alignment horizontal="left"/>
    </xf>
    <xf numFmtId="0" fontId="49" fillId="0" borderId="9" xfId="0" applyFont="1" applyFill="1" applyBorder="1"/>
    <xf numFmtId="0" fontId="48" fillId="0" borderId="7" xfId="22" applyFont="1" applyFill="1" applyBorder="1" applyAlignment="1">
      <alignment horizontal="left"/>
    </xf>
    <xf numFmtId="0" fontId="48" fillId="0" borderId="96" xfId="30" quotePrefix="1" applyFont="1" applyFill="1" applyBorder="1" applyAlignment="1">
      <alignment horizontal="right" vertical="center"/>
    </xf>
    <xf numFmtId="0" fontId="48" fillId="0" borderId="85" xfId="30" applyFont="1" applyFill="1" applyBorder="1" applyAlignment="1">
      <alignment horizontal="right" vertical="center"/>
    </xf>
    <xf numFmtId="173" fontId="48" fillId="0" borderId="79" xfId="31" quotePrefix="1" applyNumberFormat="1" applyFont="1" applyFill="1" applyBorder="1" applyAlignment="1">
      <alignment horizontal="right" vertical="center"/>
    </xf>
    <xf numFmtId="2" fontId="48" fillId="0" borderId="79" xfId="31" quotePrefix="1" applyNumberFormat="1" applyFont="1" applyFill="1" applyBorder="1" applyAlignment="1">
      <alignment horizontal="right" vertical="center"/>
    </xf>
    <xf numFmtId="0" fontId="48" fillId="0" borderId="130" xfId="30" quotePrefix="1" applyFont="1" applyFill="1" applyBorder="1" applyAlignment="1">
      <alignment horizontal="right" vertical="center"/>
    </xf>
    <xf numFmtId="0" fontId="49" fillId="0" borderId="17" xfId="0" applyFont="1" applyFill="1" applyBorder="1"/>
    <xf numFmtId="43" fontId="49" fillId="0" borderId="101" xfId="6" applyNumberFormat="1" applyFont="1" applyFill="1" applyBorder="1" applyAlignment="1">
      <alignment horizontal="center" vertical="center"/>
    </xf>
    <xf numFmtId="3" fontId="49" fillId="0" borderId="102" xfId="6" applyNumberFormat="1" applyFont="1" applyFill="1" applyBorder="1" applyAlignment="1">
      <alignment horizontal="center" vertical="center"/>
    </xf>
    <xf numFmtId="43" fontId="48" fillId="0" borderId="101" xfId="1" applyFont="1" applyFill="1" applyBorder="1" applyAlignment="1">
      <alignment horizontal="left" vertical="center"/>
    </xf>
    <xf numFmtId="43" fontId="49" fillId="0" borderId="152" xfId="6" applyNumberFormat="1" applyFont="1" applyFill="1" applyBorder="1" applyAlignment="1">
      <alignment horizontal="center" vertical="center"/>
    </xf>
    <xf numFmtId="0" fontId="48" fillId="0" borderId="147" xfId="0" applyFont="1" applyFill="1" applyBorder="1" applyAlignment="1">
      <alignment horizontal="left"/>
    </xf>
    <xf numFmtId="0" fontId="48" fillId="0" borderId="146" xfId="0" applyFont="1" applyFill="1" applyBorder="1"/>
    <xf numFmtId="0" fontId="49" fillId="0" borderId="9" xfId="22" quotePrefix="1" applyFont="1" applyFill="1" applyBorder="1" applyAlignment="1">
      <alignment horizontal="left"/>
    </xf>
    <xf numFmtId="0" fontId="48" fillId="0" borderId="7" xfId="31" applyFont="1" applyFill="1" applyBorder="1" applyAlignment="1">
      <alignment vertical="center"/>
    </xf>
    <xf numFmtId="164" fontId="52" fillId="0" borderId="170" xfId="17" applyNumberFormat="1" applyFont="1" applyFill="1" applyBorder="1" applyAlignment="1" applyProtection="1">
      <alignment horizontal="center" vertical="center"/>
      <protection locked="0"/>
    </xf>
    <xf numFmtId="164" fontId="49" fillId="0" borderId="170" xfId="17" applyNumberFormat="1" applyFont="1" applyFill="1" applyBorder="1" applyAlignment="1">
      <alignment horizontal="center" vertical="center"/>
    </xf>
    <xf numFmtId="0" fontId="48" fillId="0" borderId="169" xfId="0" applyFont="1" applyFill="1" applyBorder="1"/>
    <xf numFmtId="3" fontId="49" fillId="0" borderId="170" xfId="6" applyNumberFormat="1" applyFont="1" applyFill="1" applyBorder="1" applyAlignment="1">
      <alignment horizontal="center" vertical="center"/>
    </xf>
    <xf numFmtId="0" fontId="49" fillId="0" borderId="169" xfId="6" applyFont="1" applyFill="1" applyBorder="1" applyAlignment="1">
      <alignment horizontal="left" vertical="center"/>
    </xf>
    <xf numFmtId="0" fontId="48" fillId="0" borderId="170" xfId="0" applyFont="1" applyFill="1" applyBorder="1" applyAlignment="1">
      <alignment vertical="center"/>
    </xf>
    <xf numFmtId="43" fontId="49" fillId="0" borderId="170" xfId="0" applyNumberFormat="1" applyFont="1" applyFill="1" applyBorder="1" applyAlignment="1">
      <alignment vertical="center"/>
    </xf>
    <xf numFmtId="43" fontId="49" fillId="0" borderId="168" xfId="28" applyFont="1" applyFill="1" applyBorder="1" applyAlignment="1">
      <alignment vertical="top"/>
    </xf>
    <xf numFmtId="173" fontId="48" fillId="0" borderId="79" xfId="0" applyNumberFormat="1" applyFont="1" applyFill="1" applyBorder="1" applyAlignment="1">
      <alignment horizontal="center"/>
    </xf>
    <xf numFmtId="0" fontId="52" fillId="0" borderId="7" xfId="31" applyFont="1" applyFill="1" applyBorder="1" applyAlignment="1">
      <alignment vertical="center"/>
    </xf>
    <xf numFmtId="43" fontId="52" fillId="0" borderId="80" xfId="28" applyFont="1" applyFill="1" applyBorder="1" applyAlignment="1">
      <alignment vertical="center"/>
    </xf>
    <xf numFmtId="43" fontId="52" fillId="0" borderId="79" xfId="1" applyFont="1" applyFill="1" applyBorder="1" applyAlignment="1">
      <alignment horizontal="center"/>
    </xf>
    <xf numFmtId="0" fontId="77" fillId="0" borderId="0" xfId="3" applyFont="1" applyFill="1" applyAlignment="1">
      <alignment horizontal="left" vertical="center"/>
    </xf>
    <xf numFmtId="0" fontId="59" fillId="0" borderId="107" xfId="0" applyFont="1" applyFill="1" applyBorder="1" applyAlignment="1">
      <alignment vertical="center"/>
    </xf>
    <xf numFmtId="164" fontId="59" fillId="0" borderId="107" xfId="1" applyNumberFormat="1" applyFont="1" applyFill="1" applyBorder="1" applyAlignment="1">
      <alignment horizontal="center"/>
    </xf>
    <xf numFmtId="164" fontId="59" fillId="0" borderId="8" xfId="1" applyNumberFormat="1" applyFont="1" applyFill="1" applyBorder="1" applyAlignment="1">
      <alignment horizontal="center"/>
    </xf>
    <xf numFmtId="164" fontId="59" fillId="0" borderId="166" xfId="1" applyNumberFormat="1" applyFont="1" applyFill="1" applyBorder="1" applyAlignment="1">
      <alignment horizontal="center"/>
    </xf>
    <xf numFmtId="0" fontId="52" fillId="9" borderId="1" xfId="0" applyFont="1" applyFill="1" applyBorder="1" applyAlignment="1">
      <alignment vertical="center"/>
    </xf>
    <xf numFmtId="43" fontId="52" fillId="13" borderId="79" xfId="1" applyFont="1" applyFill="1" applyBorder="1" applyAlignment="1">
      <alignment horizontal="center"/>
    </xf>
    <xf numFmtId="43" fontId="52" fillId="0" borderId="101" xfId="1" applyFont="1" applyFill="1" applyBorder="1" applyAlignment="1">
      <alignment horizontal="center"/>
    </xf>
    <xf numFmtId="43" fontId="52" fillId="0" borderId="160" xfId="1" applyFont="1" applyFill="1" applyBorder="1" applyAlignment="1">
      <alignment horizontal="center"/>
    </xf>
    <xf numFmtId="43" fontId="52" fillId="0" borderId="170" xfId="1" applyFont="1" applyFill="1" applyBorder="1" applyAlignment="1">
      <alignment horizontal="center"/>
    </xf>
    <xf numFmtId="43" fontId="52" fillId="0" borderId="150" xfId="1" applyFont="1" applyFill="1" applyBorder="1" applyAlignment="1">
      <alignment horizontal="center"/>
    </xf>
    <xf numFmtId="43" fontId="52" fillId="9" borderId="1" xfId="1" applyFont="1" applyFill="1" applyBorder="1" applyAlignment="1">
      <alignment horizontal="center"/>
    </xf>
    <xf numFmtId="43" fontId="52" fillId="0" borderId="17" xfId="1" applyFont="1" applyFill="1" applyBorder="1" applyAlignment="1">
      <alignment horizontal="center"/>
    </xf>
    <xf numFmtId="43" fontId="52" fillId="13" borderId="101" xfId="1" applyFont="1" applyFill="1" applyBorder="1" applyAlignment="1">
      <alignment horizontal="center"/>
    </xf>
    <xf numFmtId="43" fontId="52" fillId="0" borderId="79" xfId="1" applyFont="1" applyFill="1" applyBorder="1" applyAlignment="1">
      <alignment horizontal="center" vertical="center"/>
    </xf>
    <xf numFmtId="43" fontId="52" fillId="0" borderId="101" xfId="0" applyNumberFormat="1" applyFont="1" applyFill="1" applyBorder="1" applyProtection="1">
      <protection locked="0"/>
    </xf>
    <xf numFmtId="43" fontId="52" fillId="0" borderId="79" xfId="1" applyFont="1" applyFill="1" applyBorder="1" applyAlignment="1" applyProtection="1">
      <alignment horizontal="center"/>
      <protection locked="0"/>
    </xf>
    <xf numFmtId="43" fontId="52" fillId="0" borderId="101" xfId="1" applyFont="1" applyFill="1" applyBorder="1" applyProtection="1">
      <protection locked="0"/>
    </xf>
    <xf numFmtId="43" fontId="52" fillId="0" borderId="79" xfId="1" applyFont="1" applyFill="1" applyBorder="1" applyAlignment="1">
      <alignment horizontal="center" vertical="top"/>
    </xf>
    <xf numFmtId="43" fontId="59" fillId="9" borderId="1" xfId="1" applyFont="1" applyFill="1" applyBorder="1" applyAlignment="1">
      <alignment horizontal="center"/>
    </xf>
    <xf numFmtId="43" fontId="52" fillId="0" borderId="10" xfId="1" applyFont="1" applyFill="1" applyBorder="1" applyAlignment="1">
      <alignment horizontal="center"/>
    </xf>
    <xf numFmtId="43" fontId="52" fillId="0" borderId="101" xfId="1" applyFont="1" applyFill="1" applyBorder="1" applyAlignment="1">
      <alignment horizontal="center" vertical="center"/>
    </xf>
    <xf numFmtId="43" fontId="59" fillId="0" borderId="17" xfId="1" applyFont="1" applyFill="1" applyBorder="1" applyAlignment="1">
      <alignment horizontal="center"/>
    </xf>
    <xf numFmtId="43" fontId="59" fillId="0" borderId="101" xfId="1" applyFont="1" applyFill="1" applyBorder="1" applyAlignment="1">
      <alignment horizontal="center" vertical="center"/>
    </xf>
    <xf numFmtId="43" fontId="52" fillId="0" borderId="101" xfId="28" applyNumberFormat="1" applyFont="1" applyFill="1" applyBorder="1" applyAlignment="1">
      <alignment horizontal="center" vertical="center"/>
    </xf>
    <xf numFmtId="43" fontId="52" fillId="0" borderId="101" xfId="1" applyNumberFormat="1" applyFont="1" applyFill="1" applyBorder="1" applyAlignment="1">
      <alignment horizontal="center"/>
    </xf>
    <xf numFmtId="43" fontId="52" fillId="0" borderId="17" xfId="0" applyNumberFormat="1" applyFont="1" applyBorder="1"/>
    <xf numFmtId="43" fontId="52" fillId="0" borderId="98" xfId="28" applyNumberFormat="1" applyFont="1" applyFill="1" applyBorder="1" applyAlignment="1">
      <alignment vertical="center"/>
    </xf>
    <xf numFmtId="43" fontId="52" fillId="0" borderId="98" xfId="28" applyNumberFormat="1" applyFont="1" applyFill="1" applyBorder="1" applyAlignment="1">
      <alignment horizontal="center" vertical="center"/>
    </xf>
    <xf numFmtId="43" fontId="52" fillId="0" borderId="80" xfId="28" applyNumberFormat="1" applyFont="1" applyBorder="1" applyAlignment="1">
      <alignment horizontal="center" vertical="center" wrapText="1"/>
    </xf>
    <xf numFmtId="43" fontId="52" fillId="0" borderId="80" xfId="1" applyNumberFormat="1" applyFont="1" applyFill="1" applyBorder="1" applyAlignment="1">
      <alignment horizontal="center" vertical="center"/>
    </xf>
    <xf numFmtId="43" fontId="52" fillId="0" borderId="150" xfId="28" applyNumberFormat="1" applyFont="1" applyFill="1" applyBorder="1" applyAlignment="1">
      <alignment horizontal="right" vertical="center"/>
    </xf>
    <xf numFmtId="43" fontId="52" fillId="0" borderId="127" xfId="28" applyNumberFormat="1" applyFont="1" applyFill="1" applyBorder="1" applyAlignment="1">
      <alignment horizontal="center" vertical="center"/>
    </xf>
    <xf numFmtId="43" fontId="52" fillId="0" borderId="130" xfId="34" applyNumberFormat="1" applyFont="1" applyBorder="1" applyAlignment="1">
      <alignment horizontal="center" vertical="center"/>
    </xf>
    <xf numFmtId="43" fontId="52" fillId="0" borderId="130" xfId="28" applyNumberFormat="1" applyFont="1" applyFill="1" applyBorder="1" applyAlignment="1">
      <alignment horizontal="center" vertical="center"/>
    </xf>
    <xf numFmtId="43" fontId="52" fillId="0" borderId="130" xfId="28" applyNumberFormat="1" applyFont="1" applyFill="1" applyBorder="1" applyAlignment="1">
      <alignment vertical="center"/>
    </xf>
    <xf numFmtId="43" fontId="52" fillId="0" borderId="130" xfId="36" applyNumberFormat="1" applyFont="1" applyBorder="1" applyAlignment="1">
      <alignment vertical="center"/>
    </xf>
    <xf numFmtId="43" fontId="52" fillId="0" borderId="138" xfId="28" applyNumberFormat="1" applyFont="1" applyFill="1" applyBorder="1" applyAlignment="1">
      <alignment horizontal="center" vertical="center"/>
    </xf>
    <xf numFmtId="43" fontId="52" fillId="0" borderId="141" xfId="28" applyNumberFormat="1" applyFont="1" applyFill="1" applyBorder="1" applyAlignment="1">
      <alignment vertical="center"/>
    </xf>
    <xf numFmtId="43" fontId="52" fillId="0" borderId="145" xfId="28" applyNumberFormat="1" applyFont="1" applyFill="1" applyBorder="1" applyAlignment="1">
      <alignment horizontal="center" vertical="center"/>
    </xf>
    <xf numFmtId="43" fontId="59" fillId="0" borderId="133" xfId="1" applyFont="1" applyFill="1" applyBorder="1" applyAlignment="1">
      <alignment horizontal="center" vertical="center"/>
    </xf>
    <xf numFmtId="43" fontId="52" fillId="0" borderId="152" xfId="1" applyFont="1" applyFill="1" applyBorder="1" applyAlignment="1">
      <alignment horizontal="center" vertical="center"/>
    </xf>
    <xf numFmtId="0" fontId="52" fillId="0" borderId="17" xfId="0" applyFont="1" applyBorder="1"/>
    <xf numFmtId="172" fontId="52" fillId="0" borderId="152" xfId="28" applyNumberFormat="1" applyFont="1" applyFill="1" applyBorder="1" applyAlignment="1">
      <alignment horizontal="center" vertical="center"/>
    </xf>
    <xf numFmtId="172" fontId="52" fillId="0" borderId="152" xfId="28" applyNumberFormat="1" applyFont="1" applyFill="1" applyBorder="1" applyAlignment="1">
      <alignment vertical="center"/>
    </xf>
    <xf numFmtId="172" fontId="52" fillId="0" borderId="80" xfId="28" applyNumberFormat="1" applyFont="1" applyBorder="1" applyAlignment="1">
      <alignment horizontal="center" vertical="center" wrapText="1"/>
    </xf>
    <xf numFmtId="43" fontId="52" fillId="0" borderId="80" xfId="1" applyFont="1" applyFill="1" applyBorder="1" applyAlignment="1">
      <alignment horizontal="center" vertical="center"/>
    </xf>
    <xf numFmtId="43" fontId="52" fillId="0" borderId="101" xfId="28" applyNumberFormat="1" applyFont="1" applyFill="1" applyBorder="1" applyAlignment="1">
      <alignment horizontal="right" vertical="center"/>
    </xf>
    <xf numFmtId="43" fontId="52" fillId="0" borderId="150" xfId="1" applyFont="1" applyFill="1" applyBorder="1" applyAlignment="1">
      <alignment horizontal="center" vertical="center"/>
    </xf>
    <xf numFmtId="43" fontId="52" fillId="0" borderId="152" xfId="28" applyNumberFormat="1" applyFont="1" applyFill="1" applyBorder="1" applyAlignment="1">
      <alignment horizontal="center" vertical="center"/>
    </xf>
    <xf numFmtId="43" fontId="52" fillId="0" borderId="152" xfId="28" applyNumberFormat="1" applyFont="1" applyFill="1" applyBorder="1" applyAlignment="1">
      <alignment vertical="center"/>
    </xf>
    <xf numFmtId="43" fontId="52" fillId="0" borderId="79" xfId="1" applyFont="1" applyBorder="1" applyAlignment="1">
      <alignment horizontal="center"/>
    </xf>
    <xf numFmtId="0" fontId="59" fillId="0" borderId="101" xfId="3" applyFont="1" applyBorder="1" applyAlignment="1">
      <alignment horizontal="left" vertical="center"/>
    </xf>
    <xf numFmtId="43" fontId="52" fillId="0" borderId="8" xfId="1" applyFont="1" applyFill="1" applyBorder="1"/>
    <xf numFmtId="0" fontId="59" fillId="0" borderId="107" xfId="0" applyFont="1" applyBorder="1" applyAlignment="1">
      <alignment vertical="center"/>
    </xf>
    <xf numFmtId="164" fontId="52" fillId="0" borderId="107" xfId="1" applyNumberFormat="1" applyFont="1" applyFill="1" applyBorder="1" applyAlignment="1">
      <alignment horizontal="center"/>
    </xf>
    <xf numFmtId="43" fontId="52" fillId="0" borderId="79" xfId="18" applyNumberFormat="1" applyFont="1" applyFill="1" applyBorder="1" applyAlignment="1" applyProtection="1">
      <alignment horizontal="center" vertical="center"/>
      <protection locked="0"/>
    </xf>
    <xf numFmtId="43" fontId="52" fillId="0" borderId="79" xfId="28" applyNumberFormat="1" applyFont="1" applyFill="1" applyBorder="1" applyAlignment="1">
      <alignment horizontal="right" vertical="center"/>
    </xf>
    <xf numFmtId="164" fontId="52" fillId="0" borderId="171" xfId="1" applyNumberFormat="1" applyFont="1" applyFill="1" applyBorder="1" applyAlignment="1">
      <alignment horizontal="center"/>
    </xf>
    <xf numFmtId="0" fontId="52" fillId="0" borderId="171" xfId="27" applyFont="1" applyFill="1" applyBorder="1" applyAlignment="1">
      <alignment vertical="center"/>
    </xf>
    <xf numFmtId="43" fontId="59" fillId="0" borderId="79" xfId="28" applyNumberFormat="1" applyFont="1" applyFill="1" applyBorder="1" applyAlignment="1">
      <alignment horizontal="right" vertical="center"/>
    </xf>
    <xf numFmtId="43" fontId="52" fillId="0" borderId="167" xfId="28" applyNumberFormat="1" applyFont="1" applyFill="1" applyBorder="1" applyAlignment="1">
      <alignment horizontal="right" vertical="center"/>
    </xf>
    <xf numFmtId="43" fontId="52" fillId="0" borderId="167" xfId="28" applyNumberFormat="1" applyFont="1" applyFill="1" applyBorder="1" applyAlignment="1">
      <alignment horizontal="right" vertical="top"/>
    </xf>
    <xf numFmtId="43" fontId="52" fillId="0" borderId="0" xfId="1" applyFont="1" applyFill="1" applyAlignment="1">
      <alignment horizontal="center"/>
    </xf>
    <xf numFmtId="0" fontId="49" fillId="0" borderId="179" xfId="31" quotePrefix="1" applyFont="1" applyFill="1" applyBorder="1" applyAlignment="1">
      <alignment vertical="center"/>
    </xf>
    <xf numFmtId="43" fontId="49" fillId="0" borderId="180" xfId="28" applyFont="1" applyFill="1" applyBorder="1" applyAlignment="1">
      <alignment horizontal="center" vertical="center"/>
    </xf>
    <xf numFmtId="38" fontId="49" fillId="0" borderId="180" xfId="32" applyNumberFormat="1" applyFont="1" applyFill="1" applyBorder="1" applyAlignment="1">
      <alignment horizontal="center" vertical="center"/>
    </xf>
    <xf numFmtId="43" fontId="49" fillId="0" borderId="183" xfId="28" applyFont="1" applyFill="1" applyBorder="1" applyAlignment="1">
      <alignment vertical="center"/>
    </xf>
    <xf numFmtId="43" fontId="52" fillId="0" borderId="180" xfId="28" applyFont="1" applyFill="1" applyBorder="1" applyAlignment="1">
      <alignment vertical="center"/>
    </xf>
    <xf numFmtId="43" fontId="44" fillId="0" borderId="0" xfId="16" applyFont="1" applyAlignment="1">
      <alignment vertical="center"/>
    </xf>
    <xf numFmtId="0" fontId="44" fillId="3" borderId="182" xfId="0" applyFont="1" applyFill="1" applyBorder="1" applyAlignment="1">
      <alignment horizontal="center" vertical="center"/>
    </xf>
    <xf numFmtId="0" fontId="44" fillId="3" borderId="182" xfId="0" applyFont="1" applyFill="1" applyBorder="1" applyAlignment="1">
      <alignment vertical="center"/>
    </xf>
    <xf numFmtId="43" fontId="44" fillId="0" borderId="178" xfId="1" applyFont="1" applyBorder="1" applyAlignment="1">
      <alignment vertical="center"/>
    </xf>
    <xf numFmtId="3" fontId="79" fillId="0" borderId="182" xfId="0" applyNumberFormat="1" applyFont="1" applyFill="1" applyBorder="1" applyAlignment="1">
      <alignment horizontal="center" vertical="center"/>
    </xf>
    <xf numFmtId="165" fontId="57" fillId="0" borderId="182" xfId="12" applyFont="1" applyBorder="1" applyAlignment="1">
      <alignment vertical="center"/>
    </xf>
    <xf numFmtId="164" fontId="44" fillId="0" borderId="182" xfId="10" applyFont="1" applyFill="1" applyBorder="1" applyAlignment="1">
      <alignment vertical="center"/>
    </xf>
    <xf numFmtId="43" fontId="44" fillId="0" borderId="182" xfId="16" applyFont="1" applyFill="1" applyBorder="1" applyAlignment="1">
      <alignment vertical="center"/>
    </xf>
    <xf numFmtId="43" fontId="57" fillId="0" borderId="182" xfId="1" applyFont="1" applyBorder="1" applyAlignment="1">
      <alignment horizontal="center" vertical="center"/>
    </xf>
    <xf numFmtId="177" fontId="44" fillId="0" borderId="182" xfId="40" applyNumberFormat="1" applyFont="1" applyFill="1" applyBorder="1" applyAlignment="1" applyProtection="1">
      <alignment horizontal="left" vertical="center" shrinkToFit="1"/>
    </xf>
    <xf numFmtId="2" fontId="44" fillId="3" borderId="182" xfId="0" applyNumberFormat="1" applyFont="1" applyFill="1" applyBorder="1" applyAlignment="1">
      <alignment horizontal="center" vertical="center"/>
    </xf>
    <xf numFmtId="43" fontId="57" fillId="0" borderId="182" xfId="1" applyFont="1" applyBorder="1" applyAlignment="1">
      <alignment vertical="center"/>
    </xf>
    <xf numFmtId="43" fontId="57" fillId="0" borderId="182" xfId="1" applyFont="1" applyBorder="1" applyAlignment="1">
      <alignment horizontal="left" vertical="center"/>
    </xf>
    <xf numFmtId="43" fontId="44" fillId="0" borderId="0" xfId="1" applyFont="1" applyAlignment="1">
      <alignment vertical="center"/>
    </xf>
    <xf numFmtId="0" fontId="44" fillId="0" borderId="0" xfId="15" applyFont="1" applyAlignment="1">
      <alignment vertical="center"/>
    </xf>
    <xf numFmtId="0" fontId="44" fillId="0" borderId="182" xfId="15" applyNumberFormat="1" applyFont="1" applyBorder="1" applyAlignment="1">
      <alignment horizontal="center" vertical="center"/>
    </xf>
    <xf numFmtId="0" fontId="44" fillId="0" borderId="182" xfId="15" applyFont="1" applyBorder="1" applyAlignment="1">
      <alignment vertical="center"/>
    </xf>
    <xf numFmtId="43" fontId="44" fillId="0" borderId="182" xfId="1" applyFont="1" applyBorder="1" applyAlignment="1">
      <alignment vertical="center"/>
    </xf>
    <xf numFmtId="0" fontId="44" fillId="0" borderId="182" xfId="15" applyFont="1" applyBorder="1" applyAlignment="1">
      <alignment horizontal="center" vertical="center"/>
    </xf>
    <xf numFmtId="43" fontId="49" fillId="0" borderId="179" xfId="1" applyFont="1" applyFill="1" applyBorder="1"/>
    <xf numFmtId="164" fontId="57" fillId="0" borderId="182" xfId="12" applyNumberFormat="1" applyFont="1" applyBorder="1" applyAlignment="1">
      <alignment vertical="center"/>
    </xf>
    <xf numFmtId="0" fontId="48" fillId="0" borderId="178" xfId="0" applyFont="1" applyFill="1" applyBorder="1" applyAlignment="1">
      <alignment horizontal="left"/>
    </xf>
    <xf numFmtId="43" fontId="52" fillId="0" borderId="182" xfId="1" applyFont="1" applyFill="1" applyBorder="1" applyAlignment="1">
      <alignment horizontal="center"/>
    </xf>
    <xf numFmtId="0" fontId="78" fillId="3" borderId="182" xfId="0" applyFont="1" applyFill="1" applyBorder="1" applyAlignment="1">
      <alignment horizontal="right" vertical="center"/>
    </xf>
    <xf numFmtId="0" fontId="78" fillId="3" borderId="182" xfId="0" applyFont="1" applyFill="1" applyBorder="1" applyAlignment="1">
      <alignment vertical="center"/>
    </xf>
    <xf numFmtId="0" fontId="78" fillId="0" borderId="182" xfId="15" applyNumberFormat="1" applyFont="1" applyBorder="1" applyAlignment="1">
      <alignment horizontal="right" vertical="center"/>
    </xf>
    <xf numFmtId="0" fontId="78" fillId="0" borderId="182" xfId="15" applyFont="1" applyBorder="1" applyAlignment="1">
      <alignment vertical="center"/>
    </xf>
    <xf numFmtId="0" fontId="49" fillId="0" borderId="182" xfId="0" applyFont="1" applyFill="1" applyBorder="1" applyAlignment="1">
      <alignment horizontal="left" vertical="center"/>
    </xf>
    <xf numFmtId="43" fontId="49" fillId="0" borderId="180" xfId="1" applyFont="1" applyFill="1" applyBorder="1"/>
    <xf numFmtId="43" fontId="52" fillId="0" borderId="101" xfId="1" quotePrefix="1" applyFont="1" applyFill="1" applyBorder="1" applyAlignment="1">
      <alignment horizontal="right" vertical="center"/>
    </xf>
    <xf numFmtId="43" fontId="52" fillId="0" borderId="101" xfId="1" applyFont="1" applyFill="1" applyBorder="1" applyAlignment="1">
      <alignment horizontal="right" vertical="center"/>
    </xf>
    <xf numFmtId="43" fontId="52" fillId="0" borderId="79" xfId="1" applyFont="1" applyFill="1" applyBorder="1" applyAlignment="1">
      <alignment horizontal="right" vertical="center"/>
    </xf>
    <xf numFmtId="43" fontId="52" fillId="0" borderId="101" xfId="1" applyFont="1" applyFill="1" applyBorder="1" applyAlignment="1">
      <alignment vertical="center"/>
    </xf>
    <xf numFmtId="43" fontId="52" fillId="0" borderId="7" xfId="1" applyFont="1" applyFill="1" applyBorder="1" applyAlignment="1">
      <alignment horizontal="center" vertical="center"/>
    </xf>
    <xf numFmtId="43" fontId="52" fillId="0" borderId="80" xfId="0" applyNumberFormat="1" applyFont="1" applyFill="1" applyBorder="1" applyAlignment="1">
      <alignment vertical="center"/>
    </xf>
    <xf numFmtId="43" fontId="52" fillId="0" borderId="182" xfId="0" applyNumberFormat="1" applyFont="1" applyFill="1" applyBorder="1" applyAlignment="1">
      <alignment vertical="center"/>
    </xf>
    <xf numFmtId="43" fontId="49" fillId="0" borderId="180" xfId="28" applyFont="1" applyFill="1" applyBorder="1" applyAlignment="1">
      <alignment vertical="center"/>
    </xf>
    <xf numFmtId="0" fontId="49" fillId="0" borderId="106" xfId="6" applyFont="1" applyFill="1" applyBorder="1" applyAlignment="1">
      <alignment horizontal="left" vertical="center"/>
    </xf>
    <xf numFmtId="43" fontId="49" fillId="0" borderId="182" xfId="23" applyFont="1" applyFill="1" applyBorder="1" applyAlignment="1">
      <alignment horizontal="right" vertical="center"/>
    </xf>
    <xf numFmtId="43" fontId="49" fillId="0" borderId="101" xfId="0" applyNumberFormat="1" applyFont="1" applyFill="1" applyBorder="1"/>
    <xf numFmtId="164" fontId="49" fillId="0" borderId="180" xfId="17" applyNumberFormat="1" applyFont="1" applyFill="1" applyBorder="1" applyAlignment="1">
      <alignment horizontal="center" vertical="center"/>
    </xf>
    <xf numFmtId="0" fontId="49" fillId="0" borderId="171" xfId="0" applyFont="1" applyFill="1" applyBorder="1" applyAlignment="1">
      <alignment horizontal="center" vertical="center"/>
    </xf>
    <xf numFmtId="43" fontId="52" fillId="0" borderId="79" xfId="1" applyFont="1" applyFill="1" applyBorder="1" applyAlignment="1">
      <alignment horizontal="right"/>
    </xf>
    <xf numFmtId="43" fontId="81" fillId="0" borderId="8" xfId="1" applyFont="1" applyFill="1" applyBorder="1" applyAlignment="1">
      <alignment horizontal="right"/>
    </xf>
    <xf numFmtId="43" fontId="51" fillId="0" borderId="8" xfId="1" applyFont="1" applyFill="1" applyBorder="1" applyAlignment="1">
      <alignment horizontal="right"/>
    </xf>
    <xf numFmtId="0" fontId="49" fillId="0" borderId="7" xfId="0" quotePrefix="1" applyFont="1" applyFill="1" applyBorder="1" applyAlignment="1">
      <alignment horizontal="left" vertical="center"/>
    </xf>
    <xf numFmtId="43" fontId="49" fillId="0" borderId="180" xfId="1" applyFont="1" applyFill="1" applyBorder="1" applyAlignment="1">
      <alignment horizontal="center" vertical="center"/>
    </xf>
    <xf numFmtId="43" fontId="48" fillId="0" borderId="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7" fillId="0" borderId="7" xfId="2" applyNumberFormat="1" applyFont="1" applyFill="1" applyBorder="1" applyAlignment="1">
      <alignment horizontal="center" vertical="center"/>
    </xf>
    <xf numFmtId="0" fontId="47" fillId="0" borderId="178" xfId="1" applyNumberFormat="1" applyFont="1" applyFill="1" applyBorder="1" applyAlignment="1">
      <alignment horizontal="left" vertical="center"/>
    </xf>
    <xf numFmtId="0" fontId="46" fillId="0" borderId="178" xfId="1" applyNumberFormat="1" applyFont="1" applyFill="1" applyBorder="1" applyAlignment="1">
      <alignment horizontal="right" vertical="center"/>
    </xf>
    <xf numFmtId="0" fontId="46" fillId="0" borderId="178" xfId="0" applyNumberFormat="1" applyFont="1" applyBorder="1" applyAlignment="1">
      <alignment horizontal="right" vertical="top" wrapText="1"/>
    </xf>
    <xf numFmtId="0" fontId="46" fillId="0" borderId="178" xfId="0" applyNumberFormat="1" applyFont="1" applyFill="1" applyBorder="1" applyAlignment="1">
      <alignment vertical="top" wrapText="1"/>
    </xf>
    <xf numFmtId="0" fontId="47" fillId="0" borderId="178" xfId="1" applyNumberFormat="1" applyFont="1" applyFill="1" applyBorder="1" applyAlignment="1">
      <alignment horizontal="right" vertical="center"/>
    </xf>
    <xf numFmtId="0" fontId="61" fillId="0" borderId="7" xfId="0" applyFont="1" applyBorder="1" applyAlignment="1">
      <alignment vertical="center"/>
    </xf>
    <xf numFmtId="0" fontId="61" fillId="0" borderId="178" xfId="0" applyFont="1" applyBorder="1" applyAlignment="1">
      <alignment vertical="center"/>
    </xf>
    <xf numFmtId="0" fontId="61" fillId="0" borderId="178" xfId="3" quotePrefix="1" applyFont="1" applyBorder="1" applyAlignment="1">
      <alignment vertical="center"/>
    </xf>
    <xf numFmtId="0" fontId="61" fillId="0" borderId="178" xfId="3" applyFont="1" applyBorder="1" applyAlignment="1">
      <alignment vertical="center"/>
    </xf>
    <xf numFmtId="0" fontId="61" fillId="0" borderId="178" xfId="3" applyFont="1" applyBorder="1" applyAlignment="1">
      <alignment horizontal="right" vertical="center"/>
    </xf>
    <xf numFmtId="0" fontId="61" fillId="0" borderId="7" xfId="0" applyFont="1" applyBorder="1" applyAlignment="1">
      <alignment vertical="top"/>
    </xf>
    <xf numFmtId="0" fontId="61" fillId="0" borderId="178" xfId="0" applyFont="1" applyBorder="1" applyAlignment="1">
      <alignment vertical="top" wrapText="1"/>
    </xf>
    <xf numFmtId="0" fontId="61" fillId="0" borderId="178" xfId="0" applyFont="1" applyBorder="1"/>
    <xf numFmtId="0" fontId="61" fillId="0" borderId="7" xfId="0" applyFont="1" applyBorder="1" applyAlignment="1">
      <alignment horizontal="left" vertical="top"/>
    </xf>
    <xf numFmtId="0" fontId="60" fillId="0" borderId="7" xfId="0" applyFont="1" applyBorder="1"/>
    <xf numFmtId="0" fontId="61" fillId="0" borderId="7" xfId="0" applyFont="1" applyBorder="1" applyAlignment="1">
      <alignment horizontal="center" vertical="top"/>
    </xf>
    <xf numFmtId="0" fontId="61" fillId="0" borderId="178" xfId="0" applyFont="1" applyBorder="1" applyAlignment="1">
      <alignment horizontal="left" vertical="top"/>
    </xf>
    <xf numFmtId="178" fontId="83" fillId="14" borderId="0" xfId="41" quotePrefix="1" applyNumberFormat="1" applyFont="1" applyFill="1" applyBorder="1" applyAlignment="1">
      <alignment horizontal="left" vertical="center"/>
    </xf>
    <xf numFmtId="0" fontId="47" fillId="0" borderId="0" xfId="0" applyFont="1"/>
    <xf numFmtId="178" fontId="84" fillId="14" borderId="0" xfId="41" quotePrefix="1" applyNumberFormat="1" applyFont="1" applyFill="1" applyBorder="1" applyAlignment="1">
      <alignment horizontal="center" vertical="center"/>
    </xf>
    <xf numFmtId="178" fontId="84" fillId="14" borderId="0" xfId="41" quotePrefix="1" applyNumberFormat="1" applyFont="1" applyFill="1" applyBorder="1" applyAlignment="1">
      <alignment horizontal="center" vertical="center"/>
    </xf>
    <xf numFmtId="0" fontId="48" fillId="0" borderId="120" xfId="0" applyFont="1" applyFill="1" applyBorder="1" applyAlignment="1">
      <alignment horizontal="center" vertical="center"/>
    </xf>
    <xf numFmtId="178" fontId="82" fillId="14" borderId="0" xfId="41" quotePrefix="1" applyNumberFormat="1" applyFont="1" applyFill="1" applyBorder="1" applyAlignment="1">
      <alignment horizontal="left" vertical="center"/>
    </xf>
    <xf numFmtId="0" fontId="83" fillId="0" borderId="0" xfId="0" applyFont="1" applyAlignment="1">
      <alignment horizontal="center" vertical="center"/>
    </xf>
    <xf numFmtId="0" fontId="48" fillId="0" borderId="114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48" fillId="0" borderId="118" xfId="0" applyFont="1" applyBorder="1" applyAlignment="1">
      <alignment horizontal="center" vertical="center"/>
    </xf>
    <xf numFmtId="0" fontId="48" fillId="0" borderId="2" xfId="0" applyFont="1" applyBorder="1" applyAlignment="1">
      <alignment horizontal="left" vertical="center"/>
    </xf>
    <xf numFmtId="0" fontId="48" fillId="0" borderId="3" xfId="0" applyFont="1" applyBorder="1" applyAlignment="1">
      <alignment horizontal="left" vertical="center"/>
    </xf>
    <xf numFmtId="0" fontId="48" fillId="0" borderId="40" xfId="0" applyFont="1" applyBorder="1" applyAlignment="1">
      <alignment horizontal="center"/>
    </xf>
    <xf numFmtId="0" fontId="48" fillId="0" borderId="26" xfId="0" applyFont="1" applyBorder="1" applyAlignment="1">
      <alignment horizontal="center"/>
    </xf>
    <xf numFmtId="0" fontId="48" fillId="0" borderId="40" xfId="0" applyFont="1" applyBorder="1" applyAlignment="1">
      <alignment horizontal="right" vertical="center"/>
    </xf>
    <xf numFmtId="0" fontId="48" fillId="0" borderId="26" xfId="0" applyFont="1" applyBorder="1" applyAlignment="1">
      <alignment horizontal="right" vertical="center"/>
    </xf>
    <xf numFmtId="0" fontId="49" fillId="0" borderId="2" xfId="0" applyFont="1" applyBorder="1" applyAlignment="1">
      <alignment horizontal="center"/>
    </xf>
    <xf numFmtId="0" fontId="49" fillId="0" borderId="3" xfId="0" applyFont="1" applyBorder="1" applyAlignment="1">
      <alignment horizontal="center"/>
    </xf>
    <xf numFmtId="0" fontId="48" fillId="0" borderId="115" xfId="0" applyFont="1" applyBorder="1" applyAlignment="1">
      <alignment horizontal="right" vertical="center"/>
    </xf>
    <xf numFmtId="0" fontId="48" fillId="0" borderId="116" xfId="0" applyFont="1" applyBorder="1" applyAlignment="1">
      <alignment horizontal="right" vertical="center"/>
    </xf>
    <xf numFmtId="0" fontId="49" fillId="0" borderId="1" xfId="0" applyFont="1" applyBorder="1" applyAlignment="1">
      <alignment horizontal="left"/>
    </xf>
    <xf numFmtId="0" fontId="48" fillId="0" borderId="0" xfId="2" applyFont="1" applyAlignment="1">
      <alignment horizontal="center" vertical="center"/>
    </xf>
    <xf numFmtId="0" fontId="61" fillId="0" borderId="178" xfId="3" applyFont="1" applyBorder="1" applyAlignment="1">
      <alignment horizontal="left" vertical="center"/>
    </xf>
    <xf numFmtId="0" fontId="49" fillId="0" borderId="0" xfId="2" applyFont="1" applyAlignment="1">
      <alignment horizontal="right"/>
    </xf>
    <xf numFmtId="0" fontId="61" fillId="0" borderId="178" xfId="0" applyFont="1" applyBorder="1" applyAlignment="1">
      <alignment horizontal="left" vertical="center"/>
    </xf>
    <xf numFmtId="0" fontId="48" fillId="0" borderId="114" xfId="0" applyFont="1" applyFill="1" applyBorder="1" applyAlignment="1">
      <alignment horizontal="center" vertical="center"/>
    </xf>
    <xf numFmtId="0" fontId="48" fillId="0" borderId="118" xfId="0" applyFont="1" applyFill="1" applyBorder="1" applyAlignment="1">
      <alignment horizontal="center" vertical="center"/>
    </xf>
    <xf numFmtId="0" fontId="48" fillId="0" borderId="117" xfId="3" applyFont="1" applyBorder="1" applyAlignment="1">
      <alignment horizontal="center" vertical="center"/>
    </xf>
    <xf numFmtId="0" fontId="48" fillId="0" borderId="49" xfId="3" applyFont="1" applyBorder="1" applyAlignment="1">
      <alignment horizontal="center" vertical="center"/>
    </xf>
    <xf numFmtId="43" fontId="48" fillId="0" borderId="114" xfId="1" applyFont="1" applyBorder="1" applyAlignment="1">
      <alignment horizontal="center" vertical="center"/>
    </xf>
    <xf numFmtId="43" fontId="48" fillId="0" borderId="118" xfId="1" applyFont="1" applyBorder="1" applyAlignment="1">
      <alignment horizontal="center" vertical="center"/>
    </xf>
    <xf numFmtId="0" fontId="48" fillId="0" borderId="115" xfId="3" applyFont="1" applyBorder="1" applyAlignment="1">
      <alignment horizontal="center" vertical="center"/>
    </xf>
    <xf numFmtId="0" fontId="48" fillId="0" borderId="116" xfId="3" applyFont="1" applyBorder="1" applyAlignment="1">
      <alignment horizontal="center" vertical="center"/>
    </xf>
    <xf numFmtId="0" fontId="48" fillId="0" borderId="119" xfId="3" applyFont="1" applyBorder="1" applyAlignment="1">
      <alignment horizontal="center" vertical="center"/>
    </xf>
    <xf numFmtId="0" fontId="48" fillId="0" borderId="121" xfId="3" applyFont="1" applyBorder="1" applyAlignment="1">
      <alignment horizontal="center" vertical="center"/>
    </xf>
    <xf numFmtId="0" fontId="61" fillId="0" borderId="7" xfId="4" applyNumberFormat="1" applyFont="1" applyBorder="1" applyAlignment="1">
      <alignment horizontal="left" vertical="center"/>
    </xf>
    <xf numFmtId="0" fontId="61" fillId="0" borderId="178" xfId="5" applyFont="1" applyBorder="1" applyAlignment="1">
      <alignment horizontal="left" vertical="center"/>
    </xf>
    <xf numFmtId="0" fontId="49" fillId="0" borderId="0" xfId="0" applyFont="1" applyAlignment="1">
      <alignment horizontal="right"/>
    </xf>
    <xf numFmtId="0" fontId="49" fillId="0" borderId="1" xfId="0" applyFont="1" applyBorder="1" applyAlignment="1">
      <alignment horizontal="left" vertical="center"/>
    </xf>
    <xf numFmtId="0" fontId="48" fillId="0" borderId="2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8" fillId="0" borderId="2" xfId="0" applyFont="1" applyFill="1" applyBorder="1" applyAlignment="1">
      <alignment horizontal="center" vertical="center"/>
    </xf>
    <xf numFmtId="0" fontId="48" fillId="0" borderId="3" xfId="0" applyFont="1" applyFill="1" applyBorder="1" applyAlignment="1">
      <alignment horizontal="center" vertical="center"/>
    </xf>
    <xf numFmtId="0" fontId="49" fillId="0" borderId="2" xfId="0" applyFont="1" applyBorder="1" applyAlignment="1">
      <alignment horizontal="left" vertical="center"/>
    </xf>
    <xf numFmtId="0" fontId="49" fillId="0" borderId="3" xfId="0" applyFont="1" applyBorder="1" applyAlignment="1">
      <alignment horizontal="left" vertical="center"/>
    </xf>
    <xf numFmtId="0" fontId="49" fillId="0" borderId="2" xfId="0" applyFont="1" applyBorder="1" applyAlignment="1">
      <alignment horizontal="left"/>
    </xf>
    <xf numFmtId="0" fontId="49" fillId="0" borderId="3" xfId="0" applyFont="1" applyBorder="1" applyAlignment="1">
      <alignment horizontal="left"/>
    </xf>
    <xf numFmtId="0" fontId="61" fillId="0" borderId="178" xfId="0" applyFont="1" applyBorder="1" applyAlignment="1">
      <alignment horizontal="left" vertical="top" wrapText="1"/>
    </xf>
    <xf numFmtId="0" fontId="46" fillId="0" borderId="0" xfId="0" applyFont="1" applyAlignment="1">
      <alignment horizontal="center" vertical="top"/>
    </xf>
    <xf numFmtId="43" fontId="61" fillId="0" borderId="7" xfId="0" applyNumberFormat="1" applyFont="1" applyBorder="1" applyAlignment="1">
      <alignment horizontal="left" vertical="top" wrapText="1"/>
    </xf>
    <xf numFmtId="0" fontId="48" fillId="0" borderId="113" xfId="0" applyFont="1" applyBorder="1" applyAlignment="1">
      <alignment horizontal="center"/>
    </xf>
    <xf numFmtId="0" fontId="48" fillId="0" borderId="73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113" xfId="0" applyFont="1" applyBorder="1" applyAlignment="1">
      <alignment horizontal="center"/>
    </xf>
    <xf numFmtId="0" fontId="49" fillId="0" borderId="46" xfId="0" applyFont="1" applyBorder="1" applyAlignment="1">
      <alignment horizontal="left" vertical="center"/>
    </xf>
    <xf numFmtId="0" fontId="49" fillId="0" borderId="41" xfId="0" applyFont="1" applyBorder="1" applyAlignment="1">
      <alignment horizontal="left" vertical="center"/>
    </xf>
    <xf numFmtId="0" fontId="49" fillId="0" borderId="2" xfId="0" applyFont="1" applyFill="1" applyBorder="1" applyAlignment="1">
      <alignment horizontal="left" vertical="center"/>
    </xf>
    <xf numFmtId="0" fontId="49" fillId="0" borderId="3" xfId="0" applyFont="1" applyFill="1" applyBorder="1" applyAlignment="1">
      <alignment horizontal="left" vertical="center"/>
    </xf>
    <xf numFmtId="0" fontId="48" fillId="0" borderId="174" xfId="0" applyFont="1" applyBorder="1" applyAlignment="1">
      <alignment horizontal="center"/>
    </xf>
    <xf numFmtId="0" fontId="48" fillId="0" borderId="175" xfId="0" applyFont="1" applyBorder="1" applyAlignment="1">
      <alignment horizontal="center"/>
    </xf>
    <xf numFmtId="0" fontId="49" fillId="0" borderId="173" xfId="0" applyFont="1" applyBorder="1" applyAlignment="1">
      <alignment horizontal="center"/>
    </xf>
    <xf numFmtId="0" fontId="49" fillId="0" borderId="174" xfId="0" applyFont="1" applyBorder="1" applyAlignment="1">
      <alignment horizontal="center"/>
    </xf>
    <xf numFmtId="43" fontId="61" fillId="0" borderId="178" xfId="0" applyNumberFormat="1" applyFont="1" applyBorder="1" applyAlignment="1">
      <alignment horizontal="left" vertical="top" wrapText="1"/>
    </xf>
    <xf numFmtId="0" fontId="61" fillId="0" borderId="178" xfId="0" applyFont="1" applyBorder="1" applyAlignment="1">
      <alignment horizontal="left" vertical="center" wrapText="1"/>
    </xf>
    <xf numFmtId="0" fontId="49" fillId="0" borderId="39" xfId="0" applyFont="1" applyBorder="1" applyAlignment="1">
      <alignment horizontal="left" vertical="center"/>
    </xf>
    <xf numFmtId="0" fontId="49" fillId="0" borderId="33" xfId="0" applyFont="1" applyBorder="1" applyAlignment="1">
      <alignment horizontal="left" vertical="center"/>
    </xf>
    <xf numFmtId="0" fontId="48" fillId="0" borderId="173" xfId="0" applyFont="1" applyFill="1" applyBorder="1" applyAlignment="1">
      <alignment horizontal="center" vertical="center"/>
    </xf>
    <xf numFmtId="0" fontId="48" fillId="0" borderId="175" xfId="0" applyFont="1" applyFill="1" applyBorder="1" applyAlignment="1">
      <alignment horizontal="center" vertical="center"/>
    </xf>
    <xf numFmtId="0" fontId="15" fillId="0" borderId="12" xfId="7" applyFont="1" applyBorder="1" applyAlignment="1">
      <alignment horizontal="left"/>
    </xf>
    <xf numFmtId="0" fontId="15" fillId="0" borderId="14" xfId="7" applyFont="1" applyBorder="1" applyAlignment="1">
      <alignment horizontal="left"/>
    </xf>
    <xf numFmtId="0" fontId="15" fillId="0" borderId="15" xfId="7" applyFont="1" applyBorder="1" applyAlignment="1">
      <alignment horizontal="left"/>
    </xf>
    <xf numFmtId="4" fontId="15" fillId="0" borderId="2" xfId="7" applyNumberFormat="1" applyFont="1" applyBorder="1" applyAlignment="1">
      <alignment horizontal="center"/>
    </xf>
    <xf numFmtId="4" fontId="15" fillId="0" borderId="13" xfId="7" applyNumberFormat="1" applyFont="1" applyBorder="1" applyAlignment="1">
      <alignment horizontal="center"/>
    </xf>
    <xf numFmtId="4" fontId="15" fillId="0" borderId="3" xfId="7" applyNumberFormat="1" applyFont="1" applyBorder="1" applyAlignment="1">
      <alignment horizontal="center"/>
    </xf>
    <xf numFmtId="4" fontId="19" fillId="7" borderId="40" xfId="7" applyNumberFormat="1" applyFont="1" applyFill="1" applyBorder="1" applyAlignment="1">
      <alignment horizontal="center"/>
    </xf>
    <xf numFmtId="4" fontId="19" fillId="7" borderId="26" xfId="7" applyNumberFormat="1" applyFont="1" applyFill="1" applyBorder="1" applyAlignment="1">
      <alignment horizontal="center"/>
    </xf>
    <xf numFmtId="0" fontId="19" fillId="7" borderId="40" xfId="7" applyFont="1" applyFill="1" applyBorder="1" applyAlignment="1">
      <alignment horizontal="center"/>
    </xf>
    <xf numFmtId="0" fontId="19" fillId="7" borderId="0" xfId="7" applyFont="1" applyFill="1" applyAlignment="1">
      <alignment horizontal="center"/>
    </xf>
    <xf numFmtId="0" fontId="18" fillId="0" borderId="32" xfId="7" applyFont="1" applyBorder="1" applyAlignment="1">
      <alignment horizontal="left"/>
    </xf>
    <xf numFmtId="0" fontId="18" fillId="0" borderId="31" xfId="7" applyFont="1" applyBorder="1" applyAlignment="1">
      <alignment horizontal="left"/>
    </xf>
    <xf numFmtId="3" fontId="19" fillId="7" borderId="13" xfId="7" applyNumberFormat="1" applyFont="1" applyFill="1" applyBorder="1" applyAlignment="1">
      <alignment horizontal="center"/>
    </xf>
    <xf numFmtId="3" fontId="19" fillId="7" borderId="3" xfId="7" applyNumberFormat="1" applyFont="1" applyFill="1" applyBorder="1" applyAlignment="1">
      <alignment horizontal="center"/>
    </xf>
    <xf numFmtId="168" fontId="19" fillId="7" borderId="2" xfId="7" applyNumberFormat="1" applyFont="1" applyFill="1" applyBorder="1" applyAlignment="1">
      <alignment horizontal="center"/>
    </xf>
    <xf numFmtId="168" fontId="19" fillId="7" borderId="3" xfId="7" applyNumberFormat="1" applyFont="1" applyFill="1" applyBorder="1" applyAlignment="1">
      <alignment horizontal="center"/>
    </xf>
    <xf numFmtId="4" fontId="19" fillId="7" borderId="46" xfId="7" applyNumberFormat="1" applyFont="1" applyFill="1" applyBorder="1" applyAlignment="1">
      <alignment horizontal="center"/>
    </xf>
    <xf numFmtId="4" fontId="19" fillId="7" borderId="41" xfId="7" applyNumberFormat="1" applyFont="1" applyFill="1" applyBorder="1" applyAlignment="1">
      <alignment horizontal="center"/>
    </xf>
    <xf numFmtId="3" fontId="19" fillId="6" borderId="13" xfId="7" applyNumberFormat="1" applyFont="1" applyFill="1" applyBorder="1" applyAlignment="1">
      <alignment horizontal="center"/>
    </xf>
    <xf numFmtId="3" fontId="19" fillId="6" borderId="3" xfId="7" applyNumberFormat="1" applyFont="1" applyFill="1" applyBorder="1" applyAlignment="1">
      <alignment horizontal="center"/>
    </xf>
    <xf numFmtId="168" fontId="19" fillId="6" borderId="46" xfId="7" applyNumberFormat="1" applyFont="1" applyFill="1" applyBorder="1" applyAlignment="1">
      <alignment horizontal="center"/>
    </xf>
    <xf numFmtId="168" fontId="19" fillId="6" borderId="42" xfId="7" applyNumberFormat="1" applyFont="1" applyFill="1" applyBorder="1" applyAlignment="1">
      <alignment horizontal="center"/>
    </xf>
    <xf numFmtId="4" fontId="19" fillId="6" borderId="46" xfId="7" applyNumberFormat="1" applyFont="1" applyFill="1" applyBorder="1" applyAlignment="1">
      <alignment horizontal="center"/>
    </xf>
    <xf numFmtId="4" fontId="19" fillId="6" borderId="41" xfId="7" applyNumberFormat="1" applyFont="1" applyFill="1" applyBorder="1" applyAlignment="1">
      <alignment horizontal="center"/>
    </xf>
    <xf numFmtId="4" fontId="19" fillId="6" borderId="40" xfId="7" applyNumberFormat="1" applyFont="1" applyFill="1" applyBorder="1" applyAlignment="1">
      <alignment horizontal="center"/>
    </xf>
    <xf numFmtId="4" fontId="19" fillId="6" borderId="26" xfId="7" applyNumberFormat="1" applyFont="1" applyFill="1" applyBorder="1" applyAlignment="1">
      <alignment horizontal="center"/>
    </xf>
    <xf numFmtId="0" fontId="19" fillId="6" borderId="40" xfId="7" applyFont="1" applyFill="1" applyBorder="1" applyAlignment="1">
      <alignment horizontal="center"/>
    </xf>
    <xf numFmtId="0" fontId="19" fillId="6" borderId="0" xfId="7" applyFont="1" applyFill="1" applyAlignment="1">
      <alignment horizontal="center"/>
    </xf>
    <xf numFmtId="4" fontId="19" fillId="4" borderId="46" xfId="7" applyNumberFormat="1" applyFont="1" applyFill="1" applyBorder="1" applyAlignment="1">
      <alignment horizontal="center"/>
    </xf>
    <xf numFmtId="4" fontId="19" fillId="4" borderId="41" xfId="7" applyNumberFormat="1" applyFont="1" applyFill="1" applyBorder="1" applyAlignment="1">
      <alignment horizontal="center"/>
    </xf>
    <xf numFmtId="4" fontId="19" fillId="4" borderId="40" xfId="7" applyNumberFormat="1" applyFont="1" applyFill="1" applyBorder="1" applyAlignment="1">
      <alignment horizontal="center"/>
    </xf>
    <xf numFmtId="4" fontId="19" fillId="4" borderId="26" xfId="7" applyNumberFormat="1" applyFont="1" applyFill="1" applyBorder="1" applyAlignment="1">
      <alignment horizontal="center"/>
    </xf>
    <xf numFmtId="3" fontId="19" fillId="4" borderId="13" xfId="7" applyNumberFormat="1" applyFont="1" applyFill="1" applyBorder="1" applyAlignment="1">
      <alignment horizontal="center"/>
    </xf>
    <xf numFmtId="3" fontId="19" fillId="4" borderId="3" xfId="7" applyNumberFormat="1" applyFont="1" applyFill="1" applyBorder="1" applyAlignment="1">
      <alignment horizontal="center"/>
    </xf>
    <xf numFmtId="168" fontId="19" fillId="4" borderId="2" xfId="7" applyNumberFormat="1" applyFont="1" applyFill="1" applyBorder="1" applyAlignment="1">
      <alignment horizontal="center"/>
    </xf>
    <xf numFmtId="168" fontId="19" fillId="4" borderId="3" xfId="7" applyNumberFormat="1" applyFont="1" applyFill="1" applyBorder="1" applyAlignment="1">
      <alignment horizontal="center"/>
    </xf>
    <xf numFmtId="0" fontId="19" fillId="4" borderId="40" xfId="7" applyFont="1" applyFill="1" applyBorder="1" applyAlignment="1">
      <alignment horizontal="center"/>
    </xf>
    <xf numFmtId="0" fontId="19" fillId="4" borderId="0" xfId="7" applyFont="1" applyFill="1" applyAlignment="1">
      <alignment horizontal="center"/>
    </xf>
    <xf numFmtId="43" fontId="49" fillId="0" borderId="80" xfId="1" applyFont="1" applyBorder="1" applyAlignment="1" applyProtection="1">
      <alignment horizontal="center" vertical="top"/>
      <protection locked="0"/>
    </xf>
    <xf numFmtId="43" fontId="49" fillId="0" borderId="17" xfId="1" applyFont="1" applyBorder="1" applyAlignment="1" applyProtection="1">
      <alignment horizontal="center" vertical="top"/>
      <protection locked="0"/>
    </xf>
    <xf numFmtId="43" fontId="49" fillId="0" borderId="79" xfId="1" applyFont="1" applyBorder="1" applyAlignment="1" applyProtection="1">
      <alignment horizontal="center" vertical="top"/>
      <protection locked="0"/>
    </xf>
    <xf numFmtId="43" fontId="49" fillId="0" borderId="80" xfId="1" applyFont="1" applyFill="1" applyBorder="1" applyAlignment="1">
      <alignment horizontal="center" vertical="top"/>
    </xf>
    <xf numFmtId="43" fontId="49" fillId="0" borderId="17" xfId="1" applyFont="1" applyFill="1" applyBorder="1" applyAlignment="1">
      <alignment horizontal="center" vertical="top"/>
    </xf>
    <xf numFmtId="43" fontId="49" fillId="0" borderId="79" xfId="1" applyFont="1" applyFill="1" applyBorder="1" applyAlignment="1">
      <alignment horizontal="center" vertical="top"/>
    </xf>
    <xf numFmtId="43" fontId="48" fillId="0" borderId="2" xfId="1" applyFont="1" applyFill="1" applyBorder="1" applyAlignment="1">
      <alignment horizontal="center" vertical="center"/>
    </xf>
    <xf numFmtId="43" fontId="48" fillId="0" borderId="3" xfId="1" applyFont="1" applyFill="1" applyBorder="1" applyAlignment="1">
      <alignment horizontal="center" vertical="center"/>
    </xf>
    <xf numFmtId="0" fontId="46" fillId="0" borderId="0" xfId="2" applyFont="1" applyFill="1" applyAlignment="1">
      <alignment horizontal="center"/>
    </xf>
    <xf numFmtId="0" fontId="48" fillId="0" borderId="1" xfId="3" applyFont="1" applyFill="1" applyBorder="1" applyAlignment="1">
      <alignment horizontal="center" vertical="center"/>
    </xf>
    <xf numFmtId="0" fontId="48" fillId="0" borderId="2" xfId="3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43" fontId="48" fillId="0" borderId="4" xfId="1" applyFont="1" applyFill="1" applyBorder="1" applyAlignment="1">
      <alignment horizontal="center" vertical="center" wrapText="1"/>
    </xf>
    <xf numFmtId="43" fontId="49" fillId="0" borderId="5" xfId="1" applyFont="1" applyFill="1" applyBorder="1" applyAlignment="1">
      <alignment horizontal="center" vertical="center" wrapText="1"/>
    </xf>
    <xf numFmtId="0" fontId="48" fillId="0" borderId="4" xfId="0" applyFont="1" applyFill="1" applyBorder="1" applyAlignment="1">
      <alignment horizontal="center" vertical="center"/>
    </xf>
    <xf numFmtId="0" fontId="48" fillId="0" borderId="5" xfId="0" applyFont="1" applyFill="1" applyBorder="1" applyAlignment="1">
      <alignment horizontal="center" vertical="center"/>
    </xf>
    <xf numFmtId="43" fontId="46" fillId="0" borderId="0" xfId="4" applyFont="1" applyFill="1" applyAlignment="1">
      <alignment horizontal="left" vertical="center"/>
    </xf>
    <xf numFmtId="0" fontId="46" fillId="0" borderId="0" xfId="5" applyFont="1" applyFill="1" applyAlignment="1">
      <alignment horizontal="left" vertical="center"/>
    </xf>
    <xf numFmtId="0" fontId="46" fillId="0" borderId="0" xfId="3" applyFont="1" applyFill="1" applyAlignment="1">
      <alignment horizontal="left" vertical="center"/>
    </xf>
    <xf numFmtId="171" fontId="46" fillId="0" borderId="0" xfId="3" applyNumberFormat="1" applyFont="1" applyFill="1" applyAlignment="1">
      <alignment horizontal="right" vertical="center"/>
    </xf>
    <xf numFmtId="0" fontId="46" fillId="0" borderId="0" xfId="2" applyFont="1" applyFill="1" applyAlignment="1">
      <alignment horizontal="center" vertical="center"/>
    </xf>
    <xf numFmtId="43" fontId="49" fillId="0" borderId="80" xfId="1" applyFont="1" applyFill="1" applyBorder="1" applyAlignment="1" applyProtection="1">
      <alignment horizontal="center" vertical="top"/>
      <protection locked="0"/>
    </xf>
    <xf numFmtId="43" fontId="49" fillId="0" borderId="17" xfId="1" applyFont="1" applyFill="1" applyBorder="1" applyAlignment="1" applyProtection="1">
      <alignment horizontal="center" vertical="top"/>
      <protection locked="0"/>
    </xf>
    <xf numFmtId="43" fontId="49" fillId="0" borderId="79" xfId="1" applyFont="1" applyFill="1" applyBorder="1" applyAlignment="1" applyProtection="1">
      <alignment horizontal="center" vertical="top"/>
      <protection locked="0"/>
    </xf>
    <xf numFmtId="43" fontId="59" fillId="0" borderId="1" xfId="1" applyFont="1" applyFill="1" applyBorder="1" applyAlignment="1">
      <alignment horizontal="center" vertical="center"/>
    </xf>
    <xf numFmtId="0" fontId="46" fillId="0" borderId="7" xfId="2" applyNumberFormat="1" applyFont="1" applyFill="1" applyBorder="1" applyAlignment="1">
      <alignment horizontal="left" vertical="center"/>
    </xf>
    <xf numFmtId="0" fontId="46" fillId="0" borderId="178" xfId="3" applyNumberFormat="1" applyFont="1" applyFill="1" applyBorder="1" applyAlignment="1">
      <alignment horizontal="left" vertical="center"/>
    </xf>
    <xf numFmtId="0" fontId="46" fillId="0" borderId="178" xfId="3" applyNumberFormat="1" applyFont="1" applyFill="1" applyBorder="1" applyAlignment="1">
      <alignment horizontal="right" vertical="center"/>
    </xf>
    <xf numFmtId="0" fontId="46" fillId="0" borderId="178" xfId="5" applyNumberFormat="1" applyFont="1" applyFill="1" applyBorder="1" applyAlignment="1">
      <alignment horizontal="left" vertical="center"/>
    </xf>
    <xf numFmtId="0" fontId="46" fillId="0" borderId="178" xfId="4" applyNumberFormat="1" applyFont="1" applyFill="1" applyBorder="1" applyAlignment="1">
      <alignment horizontal="left" vertical="center"/>
    </xf>
    <xf numFmtId="175" fontId="55" fillId="0" borderId="0" xfId="37" applyNumberFormat="1" applyFont="1" applyAlignment="1">
      <alignment horizontal="center"/>
    </xf>
    <xf numFmtId="170" fontId="56" fillId="0" borderId="108" xfId="38" applyNumberFormat="1" applyFont="1" applyBorder="1" applyAlignment="1">
      <alignment horizontal="center" vertical="center"/>
    </xf>
    <xf numFmtId="170" fontId="56" fillId="0" borderId="109" xfId="38" applyNumberFormat="1" applyFont="1" applyBorder="1" applyAlignment="1">
      <alignment horizontal="center" vertical="center"/>
    </xf>
    <xf numFmtId="170" fontId="56" fillId="0" borderId="110" xfId="38" applyNumberFormat="1" applyFont="1" applyBorder="1" applyAlignment="1">
      <alignment horizontal="center" vertical="center"/>
    </xf>
    <xf numFmtId="170" fontId="54" fillId="8" borderId="0" xfId="38" applyNumberFormat="1" applyFont="1" applyFill="1" applyAlignment="1" applyProtection="1">
      <alignment horizontal="center"/>
      <protection locked="0"/>
    </xf>
    <xf numFmtId="0" fontId="55" fillId="0" borderId="0" xfId="37" applyFont="1" applyAlignment="1">
      <alignment horizontal="left" vertical="center"/>
    </xf>
    <xf numFmtId="0" fontId="55" fillId="0" borderId="0" xfId="37" applyFont="1" applyAlignment="1">
      <alignment horizontal="center" vertical="center"/>
    </xf>
    <xf numFmtId="170" fontId="55" fillId="0" borderId="0" xfId="37" applyNumberFormat="1" applyFont="1" applyAlignment="1">
      <alignment horizontal="center" vertical="center"/>
    </xf>
    <xf numFmtId="170" fontId="55" fillId="0" borderId="0" xfId="37" quotePrefix="1" applyNumberFormat="1" applyFont="1" applyAlignment="1">
      <alignment horizontal="center" vertical="center"/>
    </xf>
    <xf numFmtId="0" fontId="55" fillId="0" borderId="38" xfId="37" applyFont="1" applyBorder="1" applyAlignment="1">
      <alignment horizontal="center"/>
    </xf>
    <xf numFmtId="4" fontId="55" fillId="0" borderId="38" xfId="37" applyNumberFormat="1" applyFont="1" applyBorder="1" applyAlignment="1">
      <alignment horizontal="center"/>
    </xf>
    <xf numFmtId="0" fontId="55" fillId="0" borderId="42" xfId="37" applyFont="1" applyBorder="1" applyAlignment="1">
      <alignment horizontal="center"/>
    </xf>
    <xf numFmtId="9" fontId="54" fillId="0" borderId="0" xfId="37" applyNumberFormat="1" applyFont="1" applyAlignment="1">
      <alignment horizontal="center"/>
    </xf>
    <xf numFmtId="164" fontId="54" fillId="0" borderId="0" xfId="38" applyFont="1" applyAlignment="1">
      <alignment horizontal="center"/>
    </xf>
    <xf numFmtId="164" fontId="54" fillId="8" borderId="0" xfId="38" applyFont="1" applyFill="1" applyAlignment="1" applyProtection="1">
      <alignment horizontal="center"/>
      <protection locked="0"/>
    </xf>
    <xf numFmtId="0" fontId="55" fillId="0" borderId="0" xfId="37" applyFont="1" applyAlignment="1">
      <alignment horizontal="center"/>
    </xf>
    <xf numFmtId="0" fontId="53" fillId="0" borderId="0" xfId="37" applyFont="1" applyAlignment="1">
      <alignment horizontal="center"/>
    </xf>
    <xf numFmtId="0" fontId="55" fillId="0" borderId="0" xfId="37" quotePrefix="1" applyFont="1" applyAlignment="1">
      <alignment horizontal="center" vertical="center"/>
    </xf>
    <xf numFmtId="0" fontId="26" fillId="0" borderId="0" xfId="9" applyFont="1" applyFill="1" applyAlignment="1">
      <alignment horizontal="center"/>
    </xf>
    <xf numFmtId="43" fontId="27" fillId="0" borderId="0" xfId="9" applyNumberFormat="1" applyFont="1" applyFill="1" applyAlignment="1">
      <alignment horizontal="center"/>
    </xf>
    <xf numFmtId="0" fontId="27" fillId="0" borderId="0" xfId="9" applyFont="1" applyFill="1" applyAlignment="1">
      <alignment horizontal="center"/>
    </xf>
    <xf numFmtId="0" fontId="25" fillId="0" borderId="2" xfId="9" applyFont="1" applyFill="1" applyBorder="1" applyAlignment="1">
      <alignment horizontal="center" vertical="center"/>
    </xf>
    <xf numFmtId="0" fontId="25" fillId="0" borderId="13" xfId="9" applyFont="1" applyFill="1" applyBorder="1" applyAlignment="1">
      <alignment horizontal="center" vertical="center"/>
    </xf>
    <xf numFmtId="0" fontId="25" fillId="0" borderId="3" xfId="9" applyFont="1" applyFill="1" applyBorder="1" applyAlignment="1">
      <alignment horizontal="center" vertical="center"/>
    </xf>
    <xf numFmtId="0" fontId="25" fillId="0" borderId="2" xfId="9" applyFont="1" applyFill="1" applyBorder="1" applyAlignment="1">
      <alignment horizontal="center"/>
    </xf>
    <xf numFmtId="0" fontId="25" fillId="0" borderId="3" xfId="9" applyFont="1" applyFill="1" applyBorder="1" applyAlignment="1">
      <alignment horizontal="center"/>
    </xf>
    <xf numFmtId="0" fontId="25" fillId="0" borderId="13" xfId="9" applyFont="1" applyFill="1" applyBorder="1" applyAlignment="1">
      <alignment horizontal="center"/>
    </xf>
    <xf numFmtId="0" fontId="30" fillId="0" borderId="2" xfId="9" applyFont="1" applyFill="1" applyBorder="1" applyAlignment="1">
      <alignment horizontal="center"/>
    </xf>
    <xf numFmtId="0" fontId="30" fillId="0" borderId="13" xfId="9" applyFont="1" applyFill="1" applyBorder="1" applyAlignment="1">
      <alignment horizontal="center"/>
    </xf>
    <xf numFmtId="0" fontId="30" fillId="0" borderId="3" xfId="9" applyFont="1" applyFill="1" applyBorder="1" applyAlignment="1">
      <alignment horizontal="center"/>
    </xf>
    <xf numFmtId="43" fontId="44" fillId="0" borderId="77" xfId="1" applyFont="1" applyFill="1" applyBorder="1" applyAlignment="1">
      <alignment horizontal="center" vertical="center"/>
    </xf>
    <xf numFmtId="43" fontId="44" fillId="0" borderId="0" xfId="1" applyFont="1" applyFill="1" applyBorder="1" applyAlignment="1">
      <alignment horizontal="center" vertical="center"/>
    </xf>
    <xf numFmtId="43" fontId="44" fillId="0" borderId="7" xfId="1" applyFont="1" applyFill="1" applyBorder="1" applyAlignment="1">
      <alignment horizontal="center" vertical="center"/>
    </xf>
    <xf numFmtId="0" fontId="32" fillId="4" borderId="2" xfId="0" applyFont="1" applyFill="1" applyBorder="1" applyAlignment="1">
      <alignment horizontal="center"/>
    </xf>
    <xf numFmtId="0" fontId="32" fillId="4" borderId="13" xfId="0" applyFont="1" applyFill="1" applyBorder="1" applyAlignment="1">
      <alignment horizontal="center"/>
    </xf>
    <xf numFmtId="0" fontId="32" fillId="4" borderId="3" xfId="0" applyFont="1" applyFill="1" applyBorder="1" applyAlignment="1">
      <alignment horizontal="center"/>
    </xf>
    <xf numFmtId="0" fontId="34" fillId="4" borderId="1" xfId="0" applyFont="1" applyFill="1" applyBorder="1" applyAlignment="1">
      <alignment horizontal="center" vertical="center"/>
    </xf>
    <xf numFmtId="0" fontId="34" fillId="4" borderId="3" xfId="0" applyFont="1" applyFill="1" applyBorder="1" applyAlignment="1">
      <alignment horizontal="center" vertical="center"/>
    </xf>
    <xf numFmtId="43" fontId="11" fillId="3" borderId="80" xfId="1" applyFont="1" applyFill="1" applyBorder="1" applyAlignment="1">
      <alignment horizontal="center" vertical="center"/>
    </xf>
    <xf numFmtId="43" fontId="11" fillId="3" borderId="17" xfId="1" applyFont="1" applyFill="1" applyBorder="1" applyAlignment="1">
      <alignment horizontal="center" vertical="center"/>
    </xf>
    <xf numFmtId="43" fontId="11" fillId="3" borderId="79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32" fillId="7" borderId="1" xfId="0" applyFont="1" applyFill="1" applyBorder="1" applyAlignment="1">
      <alignment horizontal="center"/>
    </xf>
    <xf numFmtId="0" fontId="34" fillId="7" borderId="1" xfId="0" applyFont="1" applyFill="1" applyBorder="1" applyAlignment="1">
      <alignment horizontal="center" vertical="center"/>
    </xf>
    <xf numFmtId="0" fontId="34" fillId="7" borderId="3" xfId="0" applyFont="1" applyFill="1" applyBorder="1" applyAlignment="1">
      <alignment horizontal="center" vertical="center"/>
    </xf>
    <xf numFmtId="0" fontId="10" fillId="7" borderId="41" xfId="0" applyFont="1" applyFill="1" applyBorder="1" applyAlignment="1">
      <alignment horizontal="center" vertical="center"/>
    </xf>
    <xf numFmtId="0" fontId="10" fillId="7" borderId="33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/>
    </xf>
    <xf numFmtId="0" fontId="10" fillId="6" borderId="41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34" fillId="6" borderId="1" xfId="0" applyFont="1" applyFill="1" applyBorder="1" applyAlignment="1">
      <alignment horizontal="center" vertical="center"/>
    </xf>
    <xf numFmtId="0" fontId="34" fillId="6" borderId="3" xfId="0" applyFont="1" applyFill="1" applyBorder="1" applyAlignment="1">
      <alignment horizontal="center" vertical="center"/>
    </xf>
    <xf numFmtId="2" fontId="9" fillId="0" borderId="80" xfId="0" applyNumberFormat="1" applyFont="1" applyBorder="1" applyAlignment="1">
      <alignment horizontal="center" vertical="center"/>
    </xf>
    <xf numFmtId="2" fontId="9" fillId="0" borderId="17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</cellXfs>
  <cellStyles count="42">
    <cellStyle name="Comma" xfId="1" builtinId="3"/>
    <cellStyle name="Comma 10" xfId="28"/>
    <cellStyle name="Comma 10 2 2" xfId="18"/>
    <cellStyle name="Comma 2" xfId="10"/>
    <cellStyle name="Comma 2 2" xfId="16"/>
    <cellStyle name="Comma 2 4" xfId="12"/>
    <cellStyle name="Comma 3" xfId="20"/>
    <cellStyle name="Comma 36" xfId="23"/>
    <cellStyle name="Comma 4" xfId="14"/>
    <cellStyle name="Comma 47" xfId="35"/>
    <cellStyle name="Comma 5" xfId="8"/>
    <cellStyle name="Comma 5 2" xfId="17"/>
    <cellStyle name="Comma 6" xfId="38"/>
    <cellStyle name="Comma_20100427-STR-ARC" xfId="4"/>
    <cellStyle name="Hyperlink" xfId="39" builtinId="8"/>
    <cellStyle name="Normal" xfId="0" builtinId="0"/>
    <cellStyle name="Normal 10" xfId="27"/>
    <cellStyle name="Normal 10 2" xfId="36"/>
    <cellStyle name="Normal 2" xfId="3"/>
    <cellStyle name="Normal 2 3" xfId="11"/>
    <cellStyle name="Normal 3" xfId="15"/>
    <cellStyle name="Normal 35" xfId="22"/>
    <cellStyle name="Normal 37" xfId="24"/>
    <cellStyle name="Normal 39" xfId="26"/>
    <cellStyle name="Normal 4" xfId="7"/>
    <cellStyle name="Normal 4 2" xfId="21"/>
    <cellStyle name="Normal 5" xfId="9"/>
    <cellStyle name="Normal 5 2" xfId="13"/>
    <cellStyle name="Normal 6" xfId="37"/>
    <cellStyle name="Normal_boq ชลประทาน" xfId="6"/>
    <cellStyle name="Normal_BOQ-Structure" xfId="19"/>
    <cellStyle name="เครื่องหมายจุลภาค 10" xfId="25"/>
    <cellStyle name="เครื่องหมายจุลภาค 2 2" xfId="32"/>
    <cellStyle name="เครื่องหมายจุลภาค 2 2 2" xfId="34"/>
    <cellStyle name="เครื่องหมายจุลภาค 2 3 2" xfId="33"/>
    <cellStyle name="เครื่องหมายจุลภาค 6" xfId="29"/>
    <cellStyle name="เครื่องหมายสกุลเงิน [0]_PERSONAL" xfId="41"/>
    <cellStyle name="ปกติ 2" xfId="31"/>
    <cellStyle name="ปกติ_3_นันทิญาณี 25 พ.ย.50" xfId="40"/>
    <cellStyle name="ปกติ_ARCHITECTURE 2" xfId="2"/>
    <cellStyle name="ปกติ_BOQ.Blank Form" xfId="5"/>
    <cellStyle name="ปกติ_E431418E 2 2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158750</xdr:rowOff>
    </xdr:from>
    <xdr:to>
      <xdr:col>0</xdr:col>
      <xdr:colOff>1079499</xdr:colOff>
      <xdr:row>2</xdr:row>
      <xdr:rowOff>343428</xdr:rowOff>
    </xdr:to>
    <xdr:pic>
      <xdr:nvPicPr>
        <xdr:cNvPr id="2" name="รูปภาพ 2">
          <a:extLst>
            <a:ext uri="{FF2B5EF4-FFF2-40B4-BE49-F238E27FC236}">
              <a16:creationId xmlns:a16="http://schemas.microsoft.com/office/drawing/2014/main" id="{A5CBF997-B527-40F1-BC2E-15E0891D0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58750"/>
          <a:ext cx="908049" cy="9466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142875</xdr:colOff>
      <xdr:row>4</xdr:row>
      <xdr:rowOff>9525</xdr:rowOff>
    </xdr:from>
    <xdr:to>
      <xdr:col>18</xdr:col>
      <xdr:colOff>0</xdr:colOff>
      <xdr:row>6</xdr:row>
      <xdr:rowOff>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EF351DDE-132A-4D40-BBBA-1E4475DD7663}"/>
            </a:ext>
          </a:extLst>
        </xdr:cNvPr>
        <xdr:cNvSpPr>
          <a:spLocks/>
        </xdr:cNvSpPr>
      </xdr:nvSpPr>
      <xdr:spPr bwMode="auto">
        <a:xfrm>
          <a:off x="6172200" y="9725025"/>
          <a:ext cx="19050" cy="581025"/>
        </a:xfrm>
        <a:prstGeom prst="rightBrace">
          <a:avLst>
            <a:gd name="adj1" fmla="val 6354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4</xdr:row>
      <xdr:rowOff>0</xdr:rowOff>
    </xdr:from>
    <xdr:to>
      <xdr:col>5</xdr:col>
      <xdr:colOff>104775</xdr:colOff>
      <xdr:row>6</xdr:row>
      <xdr:rowOff>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64E0196E-94BB-4214-9CD7-BF6588A1D7D1}"/>
            </a:ext>
          </a:extLst>
        </xdr:cNvPr>
        <xdr:cNvSpPr>
          <a:spLocks/>
        </xdr:cNvSpPr>
      </xdr:nvSpPr>
      <xdr:spPr bwMode="auto">
        <a:xfrm>
          <a:off x="2809875" y="9715500"/>
          <a:ext cx="76200" cy="590550"/>
        </a:xfrm>
        <a:prstGeom prst="leftBrace">
          <a:avLst>
            <a:gd name="adj1" fmla="val 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28575</xdr:colOff>
      <xdr:row>21</xdr:row>
      <xdr:rowOff>9525</xdr:rowOff>
    </xdr:from>
    <xdr:to>
      <xdr:col>18</xdr:col>
      <xdr:colOff>104775</xdr:colOff>
      <xdr:row>23</xdr:row>
      <xdr:rowOff>0</xdr:rowOff>
    </xdr:to>
    <xdr:sp macro="" textlink="">
      <xdr:nvSpPr>
        <xdr:cNvPr id="12" name="AutoShape 3">
          <a:extLst>
            <a:ext uri="{FF2B5EF4-FFF2-40B4-BE49-F238E27FC236}">
              <a16:creationId xmlns:a16="http://schemas.microsoft.com/office/drawing/2014/main" id="{9A85C938-3360-4A1D-8A44-48E7DC2DA8AB}"/>
            </a:ext>
          </a:extLst>
        </xdr:cNvPr>
        <xdr:cNvSpPr>
          <a:spLocks/>
        </xdr:cNvSpPr>
      </xdr:nvSpPr>
      <xdr:spPr bwMode="auto">
        <a:xfrm>
          <a:off x="6219825" y="14744700"/>
          <a:ext cx="76200" cy="581025"/>
        </a:xfrm>
        <a:prstGeom prst="rightBrace">
          <a:avLst>
            <a:gd name="adj1" fmla="val 6354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21</xdr:row>
      <xdr:rowOff>0</xdr:rowOff>
    </xdr:from>
    <xdr:to>
      <xdr:col>5</xdr:col>
      <xdr:colOff>104775</xdr:colOff>
      <xdr:row>23</xdr:row>
      <xdr:rowOff>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D7669C7E-6E88-48E5-A767-78F18326D1BC}"/>
            </a:ext>
          </a:extLst>
        </xdr:cNvPr>
        <xdr:cNvSpPr>
          <a:spLocks/>
        </xdr:cNvSpPr>
      </xdr:nvSpPr>
      <xdr:spPr bwMode="auto">
        <a:xfrm>
          <a:off x="2809875" y="14735175"/>
          <a:ext cx="76200" cy="590550"/>
        </a:xfrm>
        <a:prstGeom prst="leftBrace">
          <a:avLst>
            <a:gd name="adj1" fmla="val 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142875</xdr:colOff>
      <xdr:row>31</xdr:row>
      <xdr:rowOff>9525</xdr:rowOff>
    </xdr:from>
    <xdr:to>
      <xdr:col>18</xdr:col>
      <xdr:colOff>0</xdr:colOff>
      <xdr:row>33</xdr:row>
      <xdr:rowOff>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2C47732E-A548-491B-94EC-BA201F4C0E10}"/>
            </a:ext>
          </a:extLst>
        </xdr:cNvPr>
        <xdr:cNvSpPr>
          <a:spLocks/>
        </xdr:cNvSpPr>
      </xdr:nvSpPr>
      <xdr:spPr bwMode="auto">
        <a:xfrm>
          <a:off x="6172200" y="1285875"/>
          <a:ext cx="19050" cy="581025"/>
        </a:xfrm>
        <a:prstGeom prst="rightBrace">
          <a:avLst>
            <a:gd name="adj1" fmla="val 6354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31</xdr:row>
      <xdr:rowOff>0</xdr:rowOff>
    </xdr:from>
    <xdr:to>
      <xdr:col>5</xdr:col>
      <xdr:colOff>104775</xdr:colOff>
      <xdr:row>33</xdr:row>
      <xdr:rowOff>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AA4623E4-7790-4DBC-8189-EAF065460EA2}"/>
            </a:ext>
          </a:extLst>
        </xdr:cNvPr>
        <xdr:cNvSpPr>
          <a:spLocks/>
        </xdr:cNvSpPr>
      </xdr:nvSpPr>
      <xdr:spPr bwMode="auto">
        <a:xfrm>
          <a:off x="2809875" y="1276350"/>
          <a:ext cx="76200" cy="590550"/>
        </a:xfrm>
        <a:prstGeom prst="leftBrace">
          <a:avLst>
            <a:gd name="adj1" fmla="val 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28575</xdr:colOff>
      <xdr:row>48</xdr:row>
      <xdr:rowOff>9525</xdr:rowOff>
    </xdr:from>
    <xdr:to>
      <xdr:col>18</xdr:col>
      <xdr:colOff>104775</xdr:colOff>
      <xdr:row>50</xdr:row>
      <xdr:rowOff>0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39B245B9-6A7F-4FE4-8BBE-18C8C091CD3A}"/>
            </a:ext>
          </a:extLst>
        </xdr:cNvPr>
        <xdr:cNvSpPr>
          <a:spLocks/>
        </xdr:cNvSpPr>
      </xdr:nvSpPr>
      <xdr:spPr bwMode="auto">
        <a:xfrm>
          <a:off x="6219825" y="6305550"/>
          <a:ext cx="76200" cy="581025"/>
        </a:xfrm>
        <a:prstGeom prst="rightBrace">
          <a:avLst>
            <a:gd name="adj1" fmla="val 6354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48</xdr:row>
      <xdr:rowOff>0</xdr:rowOff>
    </xdr:from>
    <xdr:to>
      <xdr:col>5</xdr:col>
      <xdr:colOff>104775</xdr:colOff>
      <xdr:row>50</xdr:row>
      <xdr:rowOff>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002FEDAF-DF8D-44DC-966E-A0E9405C1F92}"/>
            </a:ext>
          </a:extLst>
        </xdr:cNvPr>
        <xdr:cNvSpPr>
          <a:spLocks/>
        </xdr:cNvSpPr>
      </xdr:nvSpPr>
      <xdr:spPr bwMode="auto">
        <a:xfrm>
          <a:off x="2809875" y="6296025"/>
          <a:ext cx="76200" cy="590550"/>
        </a:xfrm>
        <a:prstGeom prst="leftBrace">
          <a:avLst>
            <a:gd name="adj1" fmla="val 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40" zoomScale="90" zoomScaleNormal="90" zoomScaleSheetLayoutView="80" zoomScalePageLayoutView="120" workbookViewId="0">
      <selection activeCell="A9" sqref="A9:E9"/>
    </sheetView>
  </sheetViews>
  <sheetFormatPr defaultColWidth="8.85546875" defaultRowHeight="24"/>
  <cols>
    <col min="1" max="1" width="18.7109375" style="632" customWidth="1"/>
    <col min="2" max="2" width="21.140625" style="632" customWidth="1"/>
    <col min="3" max="3" width="45.42578125" style="632" customWidth="1"/>
    <col min="4" max="4" width="20.42578125" style="633" customWidth="1"/>
    <col min="5" max="5" width="16.42578125" style="632" customWidth="1"/>
    <col min="6" max="6" width="8.85546875" style="3"/>
    <col min="7" max="7" width="19.42578125" style="3" customWidth="1"/>
    <col min="8" max="8" width="12.5703125" style="3" bestFit="1" customWidth="1"/>
    <col min="9" max="9" width="8.85546875" style="3"/>
    <col min="10" max="10" width="3.42578125" style="3" customWidth="1"/>
    <col min="11" max="11" width="22.42578125" style="3" customWidth="1"/>
    <col min="12" max="16384" width="8.85546875" style="3"/>
  </cols>
  <sheetData>
    <row r="1" spans="1:11" s="1" customFormat="1" ht="30" customHeight="1">
      <c r="A1" s="1597" t="s">
        <v>2697</v>
      </c>
      <c r="B1" s="1597"/>
      <c r="C1" s="1597"/>
      <c r="D1" s="1597"/>
      <c r="E1" s="1597"/>
    </row>
    <row r="2" spans="1:11" s="1" customFormat="1" ht="30" customHeight="1">
      <c r="A2" s="1595" t="s">
        <v>327</v>
      </c>
      <c r="B2" s="1595"/>
      <c r="C2" s="1595"/>
      <c r="D2" s="1595"/>
      <c r="E2" s="1595"/>
    </row>
    <row r="3" spans="1:11" s="1" customFormat="1" ht="30" customHeight="1">
      <c r="A3" s="864"/>
      <c r="B3" s="864"/>
      <c r="C3" s="864"/>
      <c r="D3" s="864"/>
      <c r="E3" s="864"/>
    </row>
    <row r="4" spans="1:11" s="1243" customFormat="1" ht="30" customHeight="1">
      <c r="A4" s="1562" t="s">
        <v>328</v>
      </c>
      <c r="B4" s="1609" t="s">
        <v>2129</v>
      </c>
      <c r="C4" s="1609"/>
      <c r="D4" s="1609"/>
      <c r="E4" s="1609"/>
      <c r="K4" s="1244"/>
    </row>
    <row r="5" spans="1:11" s="1243" customFormat="1" ht="30" customHeight="1">
      <c r="A5" s="1563" t="s">
        <v>329</v>
      </c>
      <c r="B5" s="1610" t="s">
        <v>477</v>
      </c>
      <c r="C5" s="1610"/>
      <c r="D5" s="1610"/>
      <c r="E5" s="1610"/>
    </row>
    <row r="6" spans="1:11" s="1245" customFormat="1" ht="30" customHeight="1">
      <c r="A6" s="1563" t="s">
        <v>330</v>
      </c>
      <c r="B6" s="1564" t="s">
        <v>332</v>
      </c>
      <c r="C6" s="1564"/>
      <c r="D6" s="1565"/>
      <c r="E6" s="1566"/>
    </row>
    <row r="7" spans="1:11" s="1245" customFormat="1" ht="30" customHeight="1">
      <c r="A7" s="1563" t="s">
        <v>331</v>
      </c>
      <c r="B7" s="1596" t="s">
        <v>476</v>
      </c>
      <c r="C7" s="1596"/>
      <c r="D7" s="1565"/>
      <c r="E7" s="1566"/>
    </row>
    <row r="8" spans="1:11" s="1245" customFormat="1" ht="30" customHeight="1">
      <c r="A8" s="1563" t="s">
        <v>1826</v>
      </c>
      <c r="B8" s="1565"/>
      <c r="C8" s="1565" t="s">
        <v>2686</v>
      </c>
      <c r="D8" s="1565"/>
      <c r="E8" s="1566"/>
    </row>
    <row r="9" spans="1:11" s="1245" customFormat="1" ht="30" customHeight="1">
      <c r="A9" s="1598" t="s">
        <v>2702</v>
      </c>
      <c r="B9" s="1598"/>
      <c r="C9" s="1598"/>
      <c r="D9" s="1598"/>
      <c r="E9" s="1598"/>
    </row>
    <row r="10" spans="1:11" s="2" customFormat="1" ht="24.95" customHeight="1" thickBot="1">
      <c r="A10" s="626"/>
      <c r="B10" s="626"/>
      <c r="C10" s="626"/>
      <c r="D10" s="626"/>
      <c r="E10" s="625"/>
    </row>
    <row r="11" spans="1:11" s="2" customFormat="1" ht="30" customHeight="1" thickTop="1">
      <c r="A11" s="1601" t="s">
        <v>3</v>
      </c>
      <c r="B11" s="1605" t="s">
        <v>4</v>
      </c>
      <c r="C11" s="1606"/>
      <c r="D11" s="1603" t="s">
        <v>333</v>
      </c>
      <c r="E11" s="1599" t="s">
        <v>10</v>
      </c>
    </row>
    <row r="12" spans="1:11" s="2" customFormat="1" ht="30" customHeight="1" thickBot="1">
      <c r="A12" s="1602"/>
      <c r="B12" s="1607"/>
      <c r="C12" s="1608"/>
      <c r="D12" s="1604"/>
      <c r="E12" s="1600"/>
    </row>
    <row r="13" spans="1:11" ht="30" customHeight="1" thickTop="1">
      <c r="A13" s="614"/>
      <c r="B13" s="1586"/>
      <c r="C13" s="1587"/>
      <c r="D13" s="627"/>
      <c r="E13" s="577"/>
    </row>
    <row r="14" spans="1:11" ht="30" customHeight="1">
      <c r="A14" s="886">
        <v>1</v>
      </c>
      <c r="B14" s="1584" t="s">
        <v>1793</v>
      </c>
      <c r="C14" s="1585"/>
      <c r="D14" s="638"/>
      <c r="E14" s="631"/>
    </row>
    <row r="15" spans="1:11" ht="30" customHeight="1">
      <c r="A15" s="886">
        <v>2</v>
      </c>
      <c r="B15" s="1584" t="s">
        <v>1794</v>
      </c>
      <c r="C15" s="1585"/>
      <c r="D15" s="630"/>
      <c r="E15" s="746"/>
    </row>
    <row r="16" spans="1:11" ht="30" customHeight="1">
      <c r="A16" s="628"/>
      <c r="B16" s="1594"/>
      <c r="C16" s="1594"/>
      <c r="D16" s="629"/>
      <c r="E16" s="746"/>
    </row>
    <row r="17" spans="1:11" ht="30" customHeight="1">
      <c r="A17" s="628"/>
      <c r="B17" s="1594"/>
      <c r="C17" s="1594"/>
      <c r="D17" s="629"/>
      <c r="E17" s="746"/>
    </row>
    <row r="18" spans="1:11" ht="30" customHeight="1">
      <c r="A18" s="628"/>
      <c r="B18" s="1590"/>
      <c r="C18" s="1591"/>
      <c r="D18" s="629"/>
      <c r="E18" s="688"/>
    </row>
    <row r="19" spans="1:11" ht="30" customHeight="1" thickBot="1">
      <c r="A19" s="628"/>
      <c r="B19" s="1590"/>
      <c r="C19" s="1591"/>
      <c r="D19" s="630"/>
      <c r="E19" s="689"/>
    </row>
    <row r="20" spans="1:11" ht="30" customHeight="1" thickTop="1">
      <c r="A20" s="1581" t="s">
        <v>334</v>
      </c>
      <c r="B20" s="1592" t="s">
        <v>335</v>
      </c>
      <c r="C20" s="1593"/>
      <c r="D20" s="880"/>
      <c r="E20" s="881"/>
      <c r="K20" s="652"/>
    </row>
    <row r="21" spans="1:11" ht="30" customHeight="1" thickBot="1">
      <c r="A21" s="1582"/>
      <c r="B21" s="1588" t="s">
        <v>1792</v>
      </c>
      <c r="C21" s="1589"/>
      <c r="D21" s="882"/>
      <c r="E21" s="883"/>
    </row>
    <row r="22" spans="1:11" ht="30" customHeight="1" thickTop="1" thickBot="1">
      <c r="A22" s="1583"/>
      <c r="B22" s="884" t="s">
        <v>1792</v>
      </c>
      <c r="C22" s="1578"/>
      <c r="D22" s="1578"/>
      <c r="E22" s="885"/>
    </row>
    <row r="23" spans="1:11" ht="24.75" thickTop="1">
      <c r="G23" s="652"/>
    </row>
    <row r="25" spans="1:11" ht="24" customHeight="1">
      <c r="A25" s="1579"/>
      <c r="B25" s="1579"/>
      <c r="C25" s="1579"/>
      <c r="D25" s="1579"/>
      <c r="E25" s="1579"/>
    </row>
    <row r="26" spans="1:11" ht="27.75">
      <c r="A26" s="1574"/>
      <c r="B26" s="1574"/>
      <c r="C26" s="1574"/>
      <c r="D26" s="1574"/>
      <c r="E26" s="1575"/>
    </row>
    <row r="27" spans="1:11" ht="24" customHeight="1">
      <c r="A27" s="1577"/>
      <c r="B27" s="1577"/>
      <c r="C27" s="1577"/>
      <c r="D27" s="1577"/>
      <c r="E27" s="1577"/>
    </row>
    <row r="28" spans="1:11" ht="24" customHeight="1">
      <c r="A28" s="1577"/>
      <c r="B28" s="1577"/>
      <c r="C28" s="1577"/>
      <c r="D28" s="1577"/>
      <c r="E28" s="1577"/>
    </row>
    <row r="29" spans="1:11" ht="24" customHeight="1">
      <c r="A29" s="1577"/>
      <c r="B29" s="1577"/>
      <c r="C29" s="1577"/>
      <c r="D29" s="1577"/>
      <c r="E29" s="1577"/>
    </row>
    <row r="30" spans="1:11" ht="27.75">
      <c r="A30" s="1576"/>
      <c r="B30" s="1576"/>
      <c r="C30" s="1576"/>
      <c r="D30" s="1576"/>
      <c r="E30" s="1575"/>
    </row>
    <row r="31" spans="1:11" ht="24" customHeight="1">
      <c r="A31" s="1580"/>
      <c r="B31" s="1580"/>
      <c r="C31" s="1580"/>
      <c r="D31" s="1580"/>
      <c r="E31" s="1580"/>
    </row>
    <row r="32" spans="1:11" ht="24" customHeight="1">
      <c r="A32" s="1577"/>
      <c r="B32" s="1577"/>
      <c r="C32" s="1577"/>
      <c r="D32" s="1577"/>
      <c r="E32" s="1577"/>
    </row>
    <row r="33" spans="1:5" ht="24" customHeight="1">
      <c r="A33" s="1577"/>
      <c r="B33" s="1577"/>
      <c r="C33" s="1577"/>
      <c r="D33" s="1577"/>
      <c r="E33" s="1577"/>
    </row>
    <row r="34" spans="1:5">
      <c r="A34" s="1246"/>
      <c r="B34" s="1246"/>
      <c r="C34" s="1246"/>
      <c r="D34" s="1247"/>
      <c r="E34" s="1246"/>
    </row>
  </sheetData>
  <mergeCells count="28">
    <mergeCell ref="A2:E2"/>
    <mergeCell ref="B7:C7"/>
    <mergeCell ref="A1:E1"/>
    <mergeCell ref="A9:E9"/>
    <mergeCell ref="E11:E12"/>
    <mergeCell ref="A11:A12"/>
    <mergeCell ref="D11:D12"/>
    <mergeCell ref="B11:C12"/>
    <mergeCell ref="B4:E4"/>
    <mergeCell ref="B5:E5"/>
    <mergeCell ref="B14:C14"/>
    <mergeCell ref="B15:C15"/>
    <mergeCell ref="B13:C13"/>
    <mergeCell ref="B21:C21"/>
    <mergeCell ref="B19:C19"/>
    <mergeCell ref="B20:C20"/>
    <mergeCell ref="B16:C16"/>
    <mergeCell ref="B17:C17"/>
    <mergeCell ref="B18:C18"/>
    <mergeCell ref="A32:E32"/>
    <mergeCell ref="A33:E33"/>
    <mergeCell ref="C22:D22"/>
    <mergeCell ref="A25:E25"/>
    <mergeCell ref="A27:E27"/>
    <mergeCell ref="A28:E28"/>
    <mergeCell ref="A29:E29"/>
    <mergeCell ref="A31:E31"/>
    <mergeCell ref="A20:A22"/>
  </mergeCells>
  <printOptions horizontalCentered="1"/>
  <pageMargins left="0.23622047244094491" right="0.23622047244094491" top="0.27559055118110237" bottom="0.23622047244094491" header="0.31496062992125984" footer="0.23622047244094491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view="pageBreakPreview" zoomScale="90" zoomScaleSheetLayoutView="90" workbookViewId="0">
      <selection activeCell="F27" sqref="F27"/>
    </sheetView>
  </sheetViews>
  <sheetFormatPr defaultColWidth="9" defaultRowHeight="24"/>
  <cols>
    <col min="1" max="1" width="16.42578125" style="632" customWidth="1"/>
    <col min="2" max="2" width="10.85546875" style="632" customWidth="1"/>
    <col min="3" max="3" width="32.5703125" style="632" customWidth="1"/>
    <col min="4" max="4" width="18.28515625" style="632" customWidth="1"/>
    <col min="5" max="5" width="12.28515625" style="632" customWidth="1"/>
    <col min="6" max="6" width="15.85546875" style="632" bestFit="1" customWidth="1"/>
    <col min="7" max="7" width="15" style="632" customWidth="1"/>
    <col min="8" max="8" width="8" style="3" customWidth="1"/>
    <col min="9" max="10" width="9" style="3"/>
    <col min="11" max="11" width="15.7109375" style="3" bestFit="1" customWidth="1"/>
    <col min="12" max="16384" width="9" style="3"/>
  </cols>
  <sheetData>
    <row r="1" spans="1:7" ht="23.25" customHeight="1">
      <c r="A1" s="1611" t="s">
        <v>2698</v>
      </c>
      <c r="B1" s="1611"/>
      <c r="C1" s="1611"/>
      <c r="D1" s="1611"/>
      <c r="E1" s="1611"/>
      <c r="F1" s="1611"/>
      <c r="G1" s="1611"/>
    </row>
    <row r="2" spans="1:7" s="307" customFormat="1" ht="24.95" customHeight="1">
      <c r="A2" s="1622" t="s">
        <v>336</v>
      </c>
      <c r="B2" s="1622"/>
      <c r="C2" s="1622"/>
      <c r="D2" s="1622"/>
      <c r="E2" s="1622"/>
      <c r="F2" s="1622"/>
      <c r="G2" s="1622"/>
    </row>
    <row r="3" spans="1:7" s="879" customFormat="1" ht="30" customHeight="1">
      <c r="A3" s="1567" t="s">
        <v>328</v>
      </c>
      <c r="B3" s="1623" t="str">
        <f>ปร.6!B4</f>
        <v xml:space="preserve">อาคารศูนย์ปฏิบัติการศึกษาด้านระบบรางและอากาศยาน ตำบลหนองระเวียง อำเภอเมืองนครราชสีมา จังหวัดนครราชสีมา </v>
      </c>
      <c r="C3" s="1623"/>
      <c r="D3" s="1623"/>
      <c r="E3" s="1623"/>
      <c r="F3" s="1623"/>
      <c r="G3" s="1623"/>
    </row>
    <row r="4" spans="1:7" s="879" customFormat="1" ht="30" customHeight="1">
      <c r="A4" s="1563" t="s">
        <v>329</v>
      </c>
      <c r="B4" s="1621" t="str">
        <f>ปร.6!B5</f>
        <v xml:space="preserve">มหาวิทยาลัยเทคโนโลยีราชมงคลอีสาน ตำบลหนองระเวียง อำเภอเมืองนครราชสีมา จังหวัดนครราชสีมา </v>
      </c>
      <c r="C4" s="1621"/>
      <c r="D4" s="1621"/>
      <c r="E4" s="1621"/>
      <c r="F4" s="1621"/>
      <c r="G4" s="1621"/>
    </row>
    <row r="5" spans="1:7" s="879" customFormat="1" ht="30" customHeight="1">
      <c r="A5" s="1563" t="s">
        <v>330</v>
      </c>
      <c r="B5" s="1568" t="s">
        <v>332</v>
      </c>
      <c r="C5" s="1568"/>
      <c r="D5" s="1568"/>
      <c r="E5" s="1568"/>
      <c r="F5" s="1569"/>
      <c r="G5" s="1569"/>
    </row>
    <row r="6" spans="1:7" s="879" customFormat="1" ht="30" customHeight="1">
      <c r="A6" s="1563" t="s">
        <v>331</v>
      </c>
      <c r="B6" s="1621" t="str">
        <f>ปร.6!B7</f>
        <v xml:space="preserve">มหาวิทยาลัยเทคโนโลยีราชมงคลอีสาน </v>
      </c>
      <c r="C6" s="1621"/>
      <c r="D6" s="1621"/>
      <c r="E6" s="1621"/>
      <c r="F6" s="1569"/>
      <c r="G6" s="1569"/>
    </row>
    <row r="7" spans="1:7" s="879" customFormat="1" ht="30" customHeight="1">
      <c r="A7" s="1563" t="s">
        <v>337</v>
      </c>
      <c r="B7" s="1563"/>
      <c r="C7" s="1621" t="s">
        <v>2687</v>
      </c>
      <c r="D7" s="1621"/>
      <c r="E7" s="1621"/>
      <c r="F7" s="1621"/>
      <c r="G7" s="1621"/>
    </row>
    <row r="8" spans="1:7" s="879" customFormat="1" ht="30" customHeight="1">
      <c r="A8" s="1598" t="s">
        <v>2702</v>
      </c>
      <c r="B8" s="1598"/>
      <c r="C8" s="1598"/>
      <c r="D8" s="1598"/>
      <c r="E8" s="1598"/>
      <c r="F8" s="1598"/>
      <c r="G8" s="1598"/>
    </row>
    <row r="9" spans="1:7" ht="24.95" customHeight="1">
      <c r="G9" s="634" t="s">
        <v>338</v>
      </c>
    </row>
    <row r="10" spans="1:7" s="2" customFormat="1" ht="22.5" customHeight="1">
      <c r="A10" s="686" t="s">
        <v>3</v>
      </c>
      <c r="B10" s="1615" t="s">
        <v>4</v>
      </c>
      <c r="C10" s="1616"/>
      <c r="D10" s="686" t="s">
        <v>339</v>
      </c>
      <c r="E10" s="686" t="s">
        <v>340</v>
      </c>
      <c r="F10" s="686" t="s">
        <v>333</v>
      </c>
      <c r="G10" s="686" t="s">
        <v>10</v>
      </c>
    </row>
    <row r="11" spans="1:7" s="2" customFormat="1" ht="22.5" customHeight="1">
      <c r="A11" s="635">
        <v>1</v>
      </c>
      <c r="B11" s="1594" t="s">
        <v>2179</v>
      </c>
      <c r="C11" s="1594"/>
      <c r="D11" s="631"/>
      <c r="E11" s="636"/>
      <c r="F11" s="631"/>
      <c r="G11" s="631"/>
    </row>
    <row r="12" spans="1:7" s="2" customFormat="1" ht="22.5" customHeight="1">
      <c r="A12" s="635">
        <v>2</v>
      </c>
      <c r="B12" s="1594" t="s">
        <v>2180</v>
      </c>
      <c r="C12" s="1594"/>
      <c r="D12" s="631"/>
      <c r="E12" s="636"/>
      <c r="F12" s="631"/>
      <c r="G12" s="635"/>
    </row>
    <row r="13" spans="1:7" s="2" customFormat="1" ht="22.5" customHeight="1">
      <c r="A13" s="635">
        <v>3</v>
      </c>
      <c r="B13" s="1612" t="s">
        <v>2242</v>
      </c>
      <c r="C13" s="1612"/>
      <c r="D13" s="631"/>
      <c r="E13" s="636"/>
      <c r="F13" s="631"/>
      <c r="G13" s="635"/>
    </row>
    <row r="14" spans="1:7" s="2" customFormat="1" ht="22.5" customHeight="1">
      <c r="A14" s="635">
        <v>4</v>
      </c>
      <c r="B14" s="1594" t="s">
        <v>2181</v>
      </c>
      <c r="C14" s="1594"/>
      <c r="D14" s="631"/>
      <c r="E14" s="636"/>
      <c r="F14" s="631"/>
      <c r="G14" s="635"/>
    </row>
    <row r="15" spans="1:7" s="2" customFormat="1" ht="22.5" customHeight="1">
      <c r="A15" s="635">
        <v>5</v>
      </c>
      <c r="B15" s="1594" t="s">
        <v>2182</v>
      </c>
      <c r="C15" s="1594"/>
      <c r="D15" s="631"/>
      <c r="E15" s="636"/>
      <c r="F15" s="631"/>
      <c r="G15" s="635"/>
    </row>
    <row r="16" spans="1:7" s="2" customFormat="1" ht="22.5" customHeight="1">
      <c r="A16" s="635">
        <v>6</v>
      </c>
      <c r="B16" s="1594" t="s">
        <v>2193</v>
      </c>
      <c r="C16" s="1594"/>
      <c r="D16" s="631"/>
      <c r="E16" s="636"/>
      <c r="F16" s="631"/>
      <c r="G16" s="631"/>
    </row>
    <row r="17" spans="1:11" s="2" customFormat="1" ht="22.5" customHeight="1">
      <c r="A17" s="635"/>
      <c r="B17" s="1619"/>
      <c r="C17" s="1620"/>
      <c r="D17" s="631"/>
      <c r="E17" s="636"/>
      <c r="F17" s="631"/>
      <c r="G17" s="635"/>
    </row>
    <row r="18" spans="1:11" s="2" customFormat="1" ht="22.5" customHeight="1">
      <c r="A18" s="635"/>
      <c r="B18" s="1306"/>
      <c r="C18" s="1307"/>
      <c r="D18" s="631"/>
      <c r="E18" s="636"/>
      <c r="F18" s="631"/>
      <c r="G18" s="635"/>
    </row>
    <row r="19" spans="1:11" s="2" customFormat="1" ht="22.5" customHeight="1">
      <c r="A19" s="635"/>
      <c r="B19" s="1617"/>
      <c r="C19" s="1618"/>
      <c r="D19" s="631"/>
      <c r="E19" s="636"/>
      <c r="F19" s="631"/>
      <c r="G19" s="635"/>
    </row>
    <row r="20" spans="1:11" s="2" customFormat="1" ht="22.5" customHeight="1">
      <c r="A20" s="637"/>
      <c r="B20" s="1613" t="s">
        <v>182</v>
      </c>
      <c r="C20" s="1614"/>
      <c r="D20" s="638"/>
      <c r="E20" s="638"/>
      <c r="F20" s="638"/>
      <c r="G20" s="635"/>
    </row>
    <row r="21" spans="1:11" s="2" customFormat="1" ht="22.5" customHeight="1">
      <c r="A21" s="637"/>
      <c r="B21" s="1617"/>
      <c r="C21" s="1618"/>
      <c r="D21" s="638"/>
      <c r="E21" s="638"/>
      <c r="F21" s="638"/>
      <c r="G21" s="635"/>
      <c r="K21" s="1218"/>
    </row>
    <row r="22" spans="1:11" s="2" customFormat="1" ht="22.5" customHeight="1">
      <c r="A22" s="637"/>
      <c r="B22" s="1613" t="s">
        <v>341</v>
      </c>
      <c r="C22" s="1614"/>
      <c r="D22" s="631"/>
      <c r="E22" s="631"/>
      <c r="F22" s="631"/>
      <c r="G22" s="631"/>
    </row>
    <row r="23" spans="1:11" s="2" customFormat="1" ht="22.5" customHeight="1">
      <c r="A23" s="637"/>
      <c r="B23" s="1630" t="s">
        <v>2160</v>
      </c>
      <c r="C23" s="1631"/>
      <c r="D23" s="631"/>
      <c r="E23" s="631"/>
      <c r="F23" s="631"/>
      <c r="G23" s="631"/>
    </row>
    <row r="24" spans="1:11" s="2" customFormat="1" ht="22.5" customHeight="1">
      <c r="A24" s="637"/>
      <c r="B24" s="1617" t="s">
        <v>342</v>
      </c>
      <c r="C24" s="1618"/>
      <c r="D24" s="631"/>
      <c r="E24" s="631"/>
      <c r="F24" s="631"/>
      <c r="G24" s="631"/>
    </row>
    <row r="25" spans="1:11" s="2" customFormat="1" ht="22.5" customHeight="1">
      <c r="A25" s="635"/>
      <c r="B25" s="1617" t="s">
        <v>1758</v>
      </c>
      <c r="C25" s="1618"/>
      <c r="D25" s="631"/>
      <c r="E25" s="631"/>
      <c r="F25" s="631"/>
      <c r="G25" s="631"/>
    </row>
    <row r="26" spans="1:11" s="2" customFormat="1" ht="22.5" customHeight="1">
      <c r="A26" s="858"/>
      <c r="B26" s="1628" t="s">
        <v>343</v>
      </c>
      <c r="C26" s="1629"/>
      <c r="D26" s="859"/>
      <c r="E26" s="859"/>
      <c r="F26" s="859"/>
      <c r="G26" s="859"/>
    </row>
    <row r="27" spans="1:11" ht="30" customHeight="1" thickBot="1">
      <c r="A27" s="1626"/>
      <c r="B27" s="1627"/>
      <c r="C27" s="1627"/>
      <c r="D27" s="1624" t="s">
        <v>344</v>
      </c>
      <c r="E27" s="1625"/>
      <c r="F27" s="860"/>
      <c r="G27" s="861"/>
    </row>
    <row r="28" spans="1:11" ht="22.5" customHeight="1" thickTop="1"/>
    <row r="29" spans="1:11" ht="22.5" customHeight="1"/>
    <row r="30" spans="1:11" ht="24" customHeight="1">
      <c r="A30" s="1579"/>
      <c r="B30" s="1579"/>
      <c r="C30" s="1579"/>
      <c r="D30" s="1579"/>
      <c r="E30" s="1579"/>
      <c r="F30" s="1579"/>
      <c r="G30" s="1579"/>
    </row>
    <row r="31" spans="1:11" ht="27.75">
      <c r="A31" s="1574"/>
      <c r="B31" s="1574"/>
      <c r="C31" s="1574"/>
      <c r="D31" s="1574"/>
      <c r="E31" s="1575"/>
      <c r="F31" s="3"/>
      <c r="G31" s="3"/>
    </row>
    <row r="32" spans="1:11" ht="24" customHeight="1">
      <c r="A32" s="1577"/>
      <c r="B32" s="1577"/>
      <c r="C32" s="1577"/>
      <c r="D32" s="1577"/>
      <c r="E32" s="1577"/>
      <c r="F32" s="1577"/>
      <c r="G32" s="1577"/>
    </row>
    <row r="33" spans="1:7" ht="24" customHeight="1">
      <c r="A33" s="1577"/>
      <c r="B33" s="1577"/>
      <c r="C33" s="1577"/>
      <c r="D33" s="1577"/>
      <c r="E33" s="1577"/>
      <c r="F33" s="1577"/>
      <c r="G33" s="1577"/>
    </row>
    <row r="34" spans="1:7" ht="24" customHeight="1">
      <c r="A34" s="1577"/>
      <c r="B34" s="1577"/>
      <c r="C34" s="1577"/>
      <c r="D34" s="1577"/>
      <c r="E34" s="1577"/>
      <c r="F34" s="1577"/>
      <c r="G34" s="1577"/>
    </row>
    <row r="35" spans="1:7" ht="27.75">
      <c r="A35" s="1576"/>
      <c r="B35" s="1576"/>
      <c r="C35" s="1576"/>
      <c r="D35" s="1576"/>
      <c r="E35" s="1575"/>
      <c r="F35" s="3"/>
      <c r="G35" s="3"/>
    </row>
    <row r="36" spans="1:7" ht="24" customHeight="1">
      <c r="A36" s="1580"/>
      <c r="B36" s="1580"/>
      <c r="C36" s="1580"/>
      <c r="D36" s="1580"/>
      <c r="E36" s="1580"/>
      <c r="F36" s="1580"/>
      <c r="G36" s="1580"/>
    </row>
    <row r="37" spans="1:7" ht="24" customHeight="1">
      <c r="A37" s="1577"/>
      <c r="B37" s="1577"/>
      <c r="C37" s="1577"/>
      <c r="D37" s="1577"/>
      <c r="E37" s="1577"/>
      <c r="F37" s="1577"/>
      <c r="G37" s="1577"/>
    </row>
    <row r="38" spans="1:7" ht="24" customHeight="1">
      <c r="A38" s="1577"/>
      <c r="B38" s="1577"/>
      <c r="C38" s="1577"/>
      <c r="D38" s="1577"/>
      <c r="E38" s="1577"/>
      <c r="F38" s="1577"/>
      <c r="G38" s="1577"/>
    </row>
  </sheetData>
  <mergeCells count="32">
    <mergeCell ref="D27:E27"/>
    <mergeCell ref="A27:C27"/>
    <mergeCell ref="B26:C26"/>
    <mergeCell ref="B21:C21"/>
    <mergeCell ref="B22:C22"/>
    <mergeCell ref="B23:C23"/>
    <mergeCell ref="B24:C24"/>
    <mergeCell ref="B25:C25"/>
    <mergeCell ref="B15:C15"/>
    <mergeCell ref="B19:C19"/>
    <mergeCell ref="B17:C17"/>
    <mergeCell ref="C7:G7"/>
    <mergeCell ref="A2:G2"/>
    <mergeCell ref="B3:G3"/>
    <mergeCell ref="B4:G4"/>
    <mergeCell ref="B6:E6"/>
    <mergeCell ref="A34:G34"/>
    <mergeCell ref="A36:G36"/>
    <mergeCell ref="A37:G37"/>
    <mergeCell ref="A38:G38"/>
    <mergeCell ref="A1:G1"/>
    <mergeCell ref="A8:G8"/>
    <mergeCell ref="A30:G30"/>
    <mergeCell ref="A32:G32"/>
    <mergeCell ref="A33:G33"/>
    <mergeCell ref="B13:C13"/>
    <mergeCell ref="B20:C20"/>
    <mergeCell ref="B10:C10"/>
    <mergeCell ref="B16:C16"/>
    <mergeCell ref="B11:C11"/>
    <mergeCell ref="B12:C12"/>
    <mergeCell ref="B14:C14"/>
  </mergeCells>
  <printOptions horizontalCentered="1"/>
  <pageMargins left="0.23622047244094491" right="0.23622047244094491" top="0.51181102362204722" bottom="0.3937007874015748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BreakPreview" zoomScale="80" zoomScaleSheetLayoutView="80" workbookViewId="0">
      <selection activeCell="A27" sqref="A27:G27"/>
    </sheetView>
  </sheetViews>
  <sheetFormatPr defaultColWidth="9" defaultRowHeight="24"/>
  <cols>
    <col min="1" max="1" width="17.85546875" style="632" customWidth="1"/>
    <col min="2" max="2" width="9" style="632" customWidth="1"/>
    <col min="3" max="3" width="21.140625" style="632" customWidth="1"/>
    <col min="4" max="4" width="18.140625" style="632" customWidth="1"/>
    <col min="5" max="5" width="14.7109375" style="632" customWidth="1"/>
    <col min="6" max="6" width="25" style="632" customWidth="1"/>
    <col min="7" max="7" width="15.5703125" style="632" customWidth="1"/>
    <col min="8" max="8" width="8" style="3" customWidth="1"/>
    <col min="9" max="16384" width="9" style="3"/>
  </cols>
  <sheetData>
    <row r="1" spans="1:7" ht="24.75" customHeight="1">
      <c r="A1" s="1611" t="s">
        <v>2699</v>
      </c>
      <c r="B1" s="1611"/>
      <c r="C1" s="1611"/>
      <c r="D1" s="1611"/>
      <c r="E1" s="1611"/>
      <c r="F1" s="1611"/>
      <c r="G1" s="1611"/>
    </row>
    <row r="2" spans="1:7" s="307" customFormat="1" ht="30" customHeight="1">
      <c r="A2" s="1622" t="s">
        <v>345</v>
      </c>
      <c r="B2" s="1622"/>
      <c r="C2" s="1622"/>
      <c r="D2" s="1622"/>
      <c r="E2" s="1622"/>
      <c r="F2" s="1622"/>
      <c r="G2" s="1622"/>
    </row>
    <row r="3" spans="1:7" s="878" customFormat="1" ht="30" customHeight="1">
      <c r="A3" s="1570" t="s">
        <v>346</v>
      </c>
      <c r="B3" s="1570" t="s">
        <v>1063</v>
      </c>
      <c r="C3" s="1571"/>
      <c r="D3" s="1572"/>
      <c r="E3" s="1572"/>
      <c r="F3" s="1572"/>
      <c r="G3" s="1572"/>
    </row>
    <row r="4" spans="1:7" s="879" customFormat="1" ht="30" customHeight="1">
      <c r="A4" s="1573" t="s">
        <v>328</v>
      </c>
      <c r="B4" s="1636" t="str">
        <f>ปร.6!B4</f>
        <v xml:space="preserve">อาคารศูนย์ปฏิบัติการศึกษาด้านระบบรางและอากาศยาน ตำบลหนองระเวียง อำเภอเมืองนครราชสีมา จังหวัดนครราชสีมา </v>
      </c>
      <c r="C4" s="1636"/>
      <c r="D4" s="1636"/>
      <c r="E4" s="1636"/>
      <c r="F4" s="1636"/>
      <c r="G4" s="1636"/>
    </row>
    <row r="5" spans="1:7" s="879" customFormat="1" ht="30" customHeight="1">
      <c r="A5" s="1563" t="s">
        <v>329</v>
      </c>
      <c r="B5" s="1621" t="str">
        <f>ปร.6!B5</f>
        <v xml:space="preserve">มหาวิทยาลัยเทคโนโลยีราชมงคลอีสาน ตำบลหนองระเวียง อำเภอเมืองนครราชสีมา จังหวัดนครราชสีมา </v>
      </c>
      <c r="C5" s="1621"/>
      <c r="D5" s="1621"/>
      <c r="E5" s="1621"/>
      <c r="F5" s="1621"/>
      <c r="G5" s="1621"/>
    </row>
    <row r="6" spans="1:7" s="879" customFormat="1" ht="30" customHeight="1">
      <c r="A6" s="1563" t="s">
        <v>330</v>
      </c>
      <c r="B6" s="1563"/>
      <c r="C6" s="1621" t="s">
        <v>332</v>
      </c>
      <c r="D6" s="1621"/>
      <c r="E6" s="1621"/>
      <c r="F6" s="1621"/>
      <c r="G6" s="1621"/>
    </row>
    <row r="7" spans="1:7" s="879" customFormat="1" ht="30" customHeight="1">
      <c r="A7" s="1563" t="s">
        <v>331</v>
      </c>
      <c r="B7" s="1563"/>
      <c r="C7" s="1621" t="str">
        <f>ปร.6!B7</f>
        <v xml:space="preserve">มหาวิทยาลัยเทคโนโลยีราชมงคลอีสาน </v>
      </c>
      <c r="D7" s="1621"/>
      <c r="E7" s="1621"/>
      <c r="F7" s="1621"/>
      <c r="G7" s="1621"/>
    </row>
    <row r="8" spans="1:7" s="879" customFormat="1" ht="30" customHeight="1">
      <c r="A8" s="1563" t="s">
        <v>337</v>
      </c>
      <c r="B8" s="1563"/>
      <c r="C8" s="1637" t="s">
        <v>2688</v>
      </c>
      <c r="D8" s="1637"/>
      <c r="E8" s="1637"/>
      <c r="F8" s="1637"/>
      <c r="G8" s="1637"/>
    </row>
    <row r="9" spans="1:7" s="879" customFormat="1" ht="30" customHeight="1">
      <c r="A9" s="1598" t="s">
        <v>2702</v>
      </c>
      <c r="B9" s="1598"/>
      <c r="C9" s="1598"/>
      <c r="D9" s="1598"/>
      <c r="E9" s="1598"/>
      <c r="F9" s="1598"/>
      <c r="G9" s="1598"/>
    </row>
    <row r="10" spans="1:7" ht="24.95" customHeight="1" thickBot="1">
      <c r="G10" s="634" t="s">
        <v>338</v>
      </c>
    </row>
    <row r="11" spans="1:7" s="2" customFormat="1" ht="30" customHeight="1" thickTop="1" thickBot="1">
      <c r="A11" s="1250" t="s">
        <v>3</v>
      </c>
      <c r="B11" s="1640" t="s">
        <v>4</v>
      </c>
      <c r="C11" s="1641"/>
      <c r="D11" s="1250" t="s">
        <v>347</v>
      </c>
      <c r="E11" s="1250" t="s">
        <v>348</v>
      </c>
      <c r="F11" s="1250" t="s">
        <v>333</v>
      </c>
      <c r="G11" s="1250" t="s">
        <v>10</v>
      </c>
    </row>
    <row r="12" spans="1:7" s="2" customFormat="1" ht="30" customHeight="1" thickTop="1">
      <c r="A12" s="639">
        <v>1</v>
      </c>
      <c r="B12" s="1638" t="s">
        <v>2265</v>
      </c>
      <c r="C12" s="1639"/>
      <c r="D12" s="631"/>
      <c r="E12" s="631"/>
      <c r="F12" s="631"/>
      <c r="G12" s="639"/>
    </row>
    <row r="13" spans="1:7" s="2" customFormat="1" ht="30" customHeight="1">
      <c r="A13" s="639">
        <v>2</v>
      </c>
      <c r="B13" s="1617" t="s">
        <v>2266</v>
      </c>
      <c r="C13" s="1618"/>
      <c r="D13" s="631"/>
      <c r="E13" s="631"/>
      <c r="F13" s="631"/>
      <c r="G13" s="635"/>
    </row>
    <row r="14" spans="1:7" s="2" customFormat="1" ht="30" customHeight="1">
      <c r="A14" s="639"/>
      <c r="B14" s="1617"/>
      <c r="C14" s="1618"/>
      <c r="D14" s="631"/>
      <c r="E14" s="631"/>
      <c r="F14" s="631"/>
      <c r="G14" s="635"/>
    </row>
    <row r="15" spans="1:7" s="2" customFormat="1" ht="30" customHeight="1">
      <c r="A15" s="637"/>
      <c r="B15" s="1617"/>
      <c r="C15" s="1618"/>
      <c r="D15" s="631"/>
      <c r="E15" s="631"/>
      <c r="F15" s="631"/>
      <c r="G15" s="631"/>
    </row>
    <row r="16" spans="1:7" s="2" customFormat="1" ht="30" customHeight="1">
      <c r="A16" s="635"/>
      <c r="B16" s="1617"/>
      <c r="C16" s="1618"/>
      <c r="D16" s="631"/>
      <c r="E16" s="631"/>
      <c r="F16" s="631"/>
      <c r="G16" s="631"/>
    </row>
    <row r="17" spans="1:7" s="2" customFormat="1" ht="30" customHeight="1" thickBot="1">
      <c r="A17" s="858"/>
      <c r="B17" s="1628"/>
      <c r="C17" s="1629"/>
      <c r="D17" s="859"/>
      <c r="E17" s="859"/>
      <c r="F17" s="859"/>
      <c r="G17" s="859"/>
    </row>
    <row r="18" spans="1:7" ht="30" customHeight="1" thickTop="1" thickBot="1">
      <c r="A18" s="1634"/>
      <c r="B18" s="1635"/>
      <c r="C18" s="1635"/>
      <c r="D18" s="1632" t="s">
        <v>344</v>
      </c>
      <c r="E18" s="1633"/>
      <c r="F18" s="1248"/>
      <c r="G18" s="1249"/>
    </row>
    <row r="19" spans="1:7" ht="24.75" thickTop="1"/>
    <row r="21" spans="1:7" ht="24" customHeight="1">
      <c r="A21" s="1579"/>
      <c r="B21" s="1579"/>
      <c r="C21" s="1579"/>
      <c r="D21" s="1579"/>
      <c r="E21" s="1579"/>
      <c r="F21" s="1579"/>
      <c r="G21" s="1579"/>
    </row>
    <row r="22" spans="1:7" ht="27.75">
      <c r="A22" s="1574"/>
      <c r="B22" s="1574"/>
      <c r="C22" s="1574"/>
      <c r="D22" s="1574"/>
      <c r="E22" s="1575"/>
      <c r="F22" s="3"/>
      <c r="G22" s="3"/>
    </row>
    <row r="23" spans="1:7" ht="24" customHeight="1">
      <c r="A23" s="1577"/>
      <c r="B23" s="1577"/>
      <c r="C23" s="1577"/>
      <c r="D23" s="1577"/>
      <c r="E23" s="1577"/>
      <c r="F23" s="1577"/>
      <c r="G23" s="1577"/>
    </row>
    <row r="24" spans="1:7" ht="24" customHeight="1">
      <c r="A24" s="1577"/>
      <c r="B24" s="1577"/>
      <c r="C24" s="1577"/>
      <c r="D24" s="1577"/>
      <c r="E24" s="1577"/>
      <c r="F24" s="1577"/>
      <c r="G24" s="1577"/>
    </row>
    <row r="25" spans="1:7" ht="24" customHeight="1">
      <c r="A25" s="1577"/>
      <c r="B25" s="1577"/>
      <c r="C25" s="1577"/>
      <c r="D25" s="1577"/>
      <c r="E25" s="1577"/>
      <c r="F25" s="1577"/>
      <c r="G25" s="1577"/>
    </row>
    <row r="26" spans="1:7" ht="27.75">
      <c r="A26" s="1576"/>
      <c r="B26" s="1576"/>
      <c r="C26" s="1576"/>
      <c r="D26" s="1576"/>
      <c r="E26" s="1575"/>
      <c r="F26" s="3"/>
      <c r="G26" s="3"/>
    </row>
    <row r="27" spans="1:7" ht="24" customHeight="1">
      <c r="A27" s="1580"/>
      <c r="B27" s="1580"/>
      <c r="C27" s="1580"/>
      <c r="D27" s="1580"/>
      <c r="E27" s="1580"/>
      <c r="F27" s="1580"/>
      <c r="G27" s="1580"/>
    </row>
    <row r="28" spans="1:7" ht="24" customHeight="1">
      <c r="A28" s="1577"/>
      <c r="B28" s="1577"/>
      <c r="C28" s="1577"/>
      <c r="D28" s="1577"/>
      <c r="E28" s="1577"/>
      <c r="F28" s="1577"/>
      <c r="G28" s="1577"/>
    </row>
    <row r="29" spans="1:7" ht="24" customHeight="1">
      <c r="A29" s="1577"/>
      <c r="B29" s="1577"/>
      <c r="C29" s="1577"/>
      <c r="D29" s="1577"/>
      <c r="E29" s="1577"/>
      <c r="F29" s="1577"/>
      <c r="G29" s="1577"/>
    </row>
  </sheetData>
  <mergeCells count="24">
    <mergeCell ref="B4:G4"/>
    <mergeCell ref="B5:G5"/>
    <mergeCell ref="C8:G8"/>
    <mergeCell ref="B12:C12"/>
    <mergeCell ref="A2:G2"/>
    <mergeCell ref="C6:G6"/>
    <mergeCell ref="C7:G7"/>
    <mergeCell ref="B11:C11"/>
    <mergeCell ref="A25:G25"/>
    <mergeCell ref="A27:G27"/>
    <mergeCell ref="A28:G28"/>
    <mergeCell ref="A29:G29"/>
    <mergeCell ref="A1:G1"/>
    <mergeCell ref="A9:G9"/>
    <mergeCell ref="A21:G21"/>
    <mergeCell ref="A23:G23"/>
    <mergeCell ref="A24:G24"/>
    <mergeCell ref="B14:C14"/>
    <mergeCell ref="B16:C16"/>
    <mergeCell ref="B17:C17"/>
    <mergeCell ref="D18:E18"/>
    <mergeCell ref="B15:C15"/>
    <mergeCell ref="A18:C18"/>
    <mergeCell ref="B13:C13"/>
  </mergeCells>
  <printOptions horizontalCentered="1"/>
  <pageMargins left="0.23622047244094491" right="0.23622047244094491" top="0.47244094488188981" bottom="0.43307086614173229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3" workbookViewId="0">
      <pane xSplit="8" ySplit="7" topLeftCell="I10" activePane="bottomRight" state="frozen"/>
      <selection activeCell="A3" sqref="A3"/>
      <selection pane="topRight" activeCell="I3" sqref="I3"/>
      <selection pane="bottomLeft" activeCell="A10" sqref="A10"/>
      <selection pane="bottomRight" activeCell="J22" sqref="J22"/>
    </sheetView>
  </sheetViews>
  <sheetFormatPr defaultColWidth="8.85546875" defaultRowHeight="19.5"/>
  <cols>
    <col min="1" max="1" width="4.140625" style="11" customWidth="1"/>
    <col min="2" max="2" width="10" style="6" customWidth="1"/>
    <col min="3" max="3" width="9.42578125" style="6" customWidth="1"/>
    <col min="4" max="4" width="5" style="6" customWidth="1"/>
    <col min="5" max="5" width="6.28515625" style="6" customWidth="1"/>
    <col min="6" max="6" width="5" style="6" customWidth="1"/>
    <col min="7" max="7" width="6.7109375" style="11" customWidth="1"/>
    <col min="8" max="8" width="5" style="11" customWidth="1"/>
    <col min="9" max="9" width="7.42578125" style="10" customWidth="1"/>
    <col min="10" max="11" width="8.42578125" style="10" customWidth="1"/>
    <col min="12" max="13" width="7.42578125" style="10" customWidth="1"/>
    <col min="14" max="15" width="7.42578125" style="9" customWidth="1"/>
    <col min="16" max="16" width="8.42578125" style="7" customWidth="1"/>
    <col min="17" max="17" width="6.7109375" style="7" customWidth="1"/>
    <col min="18" max="18" width="6.7109375" style="8" customWidth="1"/>
    <col min="19" max="19" width="10.28515625" style="8" customWidth="1"/>
    <col min="20" max="21" width="7.42578125" style="7" customWidth="1"/>
    <col min="22" max="23" width="6.7109375" style="7" customWidth="1"/>
    <col min="24" max="25" width="7.42578125" style="7" customWidth="1"/>
    <col min="26" max="26" width="8.28515625" style="7" bestFit="1" customWidth="1"/>
    <col min="27" max="27" width="7.42578125" style="7" bestFit="1" customWidth="1"/>
    <col min="28" max="28" width="7.7109375" style="7" customWidth="1"/>
    <col min="29" max="258" width="9" style="6"/>
    <col min="259" max="259" width="4.140625" style="6" customWidth="1"/>
    <col min="260" max="260" width="5" style="6" customWidth="1"/>
    <col min="261" max="261" width="9.42578125" style="6" customWidth="1"/>
    <col min="262" max="264" width="5" style="6" customWidth="1"/>
    <col min="265" max="265" width="5.85546875" style="6" customWidth="1"/>
    <col min="266" max="266" width="5" style="6" customWidth="1"/>
    <col min="267" max="272" width="7.42578125" style="6" customWidth="1"/>
    <col min="273" max="273" width="8.42578125" style="6" customWidth="1"/>
    <col min="274" max="275" width="6.7109375" style="6" customWidth="1"/>
    <col min="276" max="277" width="7.42578125" style="6" customWidth="1"/>
    <col min="278" max="279" width="6.7109375" style="6" customWidth="1"/>
    <col min="280" max="281" width="7.42578125" style="6" customWidth="1"/>
    <col min="282" max="282" width="8.28515625" style="6" bestFit="1" customWidth="1"/>
    <col min="283" max="283" width="7.42578125" style="6" bestFit="1" customWidth="1"/>
    <col min="284" max="284" width="6.7109375" style="6" customWidth="1"/>
    <col min="285" max="514" width="9" style="6"/>
    <col min="515" max="515" width="4.140625" style="6" customWidth="1"/>
    <col min="516" max="516" width="5" style="6" customWidth="1"/>
    <col min="517" max="517" width="9.42578125" style="6" customWidth="1"/>
    <col min="518" max="520" width="5" style="6" customWidth="1"/>
    <col min="521" max="521" width="5.85546875" style="6" customWidth="1"/>
    <col min="522" max="522" width="5" style="6" customWidth="1"/>
    <col min="523" max="528" width="7.42578125" style="6" customWidth="1"/>
    <col min="529" max="529" width="8.42578125" style="6" customWidth="1"/>
    <col min="530" max="531" width="6.7109375" style="6" customWidth="1"/>
    <col min="532" max="533" width="7.42578125" style="6" customWidth="1"/>
    <col min="534" max="535" width="6.7109375" style="6" customWidth="1"/>
    <col min="536" max="537" width="7.42578125" style="6" customWidth="1"/>
    <col min="538" max="538" width="8.28515625" style="6" bestFit="1" customWidth="1"/>
    <col min="539" max="539" width="7.42578125" style="6" bestFit="1" customWidth="1"/>
    <col min="540" max="540" width="6.7109375" style="6" customWidth="1"/>
    <col min="541" max="770" width="9" style="6"/>
    <col min="771" max="771" width="4.140625" style="6" customWidth="1"/>
    <col min="772" max="772" width="5" style="6" customWidth="1"/>
    <col min="773" max="773" width="9.42578125" style="6" customWidth="1"/>
    <col min="774" max="776" width="5" style="6" customWidth="1"/>
    <col min="777" max="777" width="5.85546875" style="6" customWidth="1"/>
    <col min="778" max="778" width="5" style="6" customWidth="1"/>
    <col min="779" max="784" width="7.42578125" style="6" customWidth="1"/>
    <col min="785" max="785" width="8.42578125" style="6" customWidth="1"/>
    <col min="786" max="787" width="6.7109375" style="6" customWidth="1"/>
    <col min="788" max="789" width="7.42578125" style="6" customWidth="1"/>
    <col min="790" max="791" width="6.7109375" style="6" customWidth="1"/>
    <col min="792" max="793" width="7.42578125" style="6" customWidth="1"/>
    <col min="794" max="794" width="8.28515625" style="6" bestFit="1" customWidth="1"/>
    <col min="795" max="795" width="7.42578125" style="6" bestFit="1" customWidth="1"/>
    <col min="796" max="796" width="6.7109375" style="6" customWidth="1"/>
    <col min="797" max="1026" width="9" style="6"/>
    <col min="1027" max="1027" width="4.140625" style="6" customWidth="1"/>
    <col min="1028" max="1028" width="5" style="6" customWidth="1"/>
    <col min="1029" max="1029" width="9.42578125" style="6" customWidth="1"/>
    <col min="1030" max="1032" width="5" style="6" customWidth="1"/>
    <col min="1033" max="1033" width="5.85546875" style="6" customWidth="1"/>
    <col min="1034" max="1034" width="5" style="6" customWidth="1"/>
    <col min="1035" max="1040" width="7.42578125" style="6" customWidth="1"/>
    <col min="1041" max="1041" width="8.42578125" style="6" customWidth="1"/>
    <col min="1042" max="1043" width="6.7109375" style="6" customWidth="1"/>
    <col min="1044" max="1045" width="7.42578125" style="6" customWidth="1"/>
    <col min="1046" max="1047" width="6.7109375" style="6" customWidth="1"/>
    <col min="1048" max="1049" width="7.42578125" style="6" customWidth="1"/>
    <col min="1050" max="1050" width="8.28515625" style="6" bestFit="1" customWidth="1"/>
    <col min="1051" max="1051" width="7.42578125" style="6" bestFit="1" customWidth="1"/>
    <col min="1052" max="1052" width="6.7109375" style="6" customWidth="1"/>
    <col min="1053" max="1282" width="9" style="6"/>
    <col min="1283" max="1283" width="4.140625" style="6" customWidth="1"/>
    <col min="1284" max="1284" width="5" style="6" customWidth="1"/>
    <col min="1285" max="1285" width="9.42578125" style="6" customWidth="1"/>
    <col min="1286" max="1288" width="5" style="6" customWidth="1"/>
    <col min="1289" max="1289" width="5.85546875" style="6" customWidth="1"/>
    <col min="1290" max="1290" width="5" style="6" customWidth="1"/>
    <col min="1291" max="1296" width="7.42578125" style="6" customWidth="1"/>
    <col min="1297" max="1297" width="8.42578125" style="6" customWidth="1"/>
    <col min="1298" max="1299" width="6.7109375" style="6" customWidth="1"/>
    <col min="1300" max="1301" width="7.42578125" style="6" customWidth="1"/>
    <col min="1302" max="1303" width="6.7109375" style="6" customWidth="1"/>
    <col min="1304" max="1305" width="7.42578125" style="6" customWidth="1"/>
    <col min="1306" max="1306" width="8.28515625" style="6" bestFit="1" customWidth="1"/>
    <col min="1307" max="1307" width="7.42578125" style="6" bestFit="1" customWidth="1"/>
    <col min="1308" max="1308" width="6.7109375" style="6" customWidth="1"/>
    <col min="1309" max="1538" width="9" style="6"/>
    <col min="1539" max="1539" width="4.140625" style="6" customWidth="1"/>
    <col min="1540" max="1540" width="5" style="6" customWidth="1"/>
    <col min="1541" max="1541" width="9.42578125" style="6" customWidth="1"/>
    <col min="1542" max="1544" width="5" style="6" customWidth="1"/>
    <col min="1545" max="1545" width="5.85546875" style="6" customWidth="1"/>
    <col min="1546" max="1546" width="5" style="6" customWidth="1"/>
    <col min="1547" max="1552" width="7.42578125" style="6" customWidth="1"/>
    <col min="1553" max="1553" width="8.42578125" style="6" customWidth="1"/>
    <col min="1554" max="1555" width="6.7109375" style="6" customWidth="1"/>
    <col min="1556" max="1557" width="7.42578125" style="6" customWidth="1"/>
    <col min="1558" max="1559" width="6.7109375" style="6" customWidth="1"/>
    <col min="1560" max="1561" width="7.42578125" style="6" customWidth="1"/>
    <col min="1562" max="1562" width="8.28515625" style="6" bestFit="1" customWidth="1"/>
    <col min="1563" max="1563" width="7.42578125" style="6" bestFit="1" customWidth="1"/>
    <col min="1564" max="1564" width="6.7109375" style="6" customWidth="1"/>
    <col min="1565" max="1794" width="9" style="6"/>
    <col min="1795" max="1795" width="4.140625" style="6" customWidth="1"/>
    <col min="1796" max="1796" width="5" style="6" customWidth="1"/>
    <col min="1797" max="1797" width="9.42578125" style="6" customWidth="1"/>
    <col min="1798" max="1800" width="5" style="6" customWidth="1"/>
    <col min="1801" max="1801" width="5.85546875" style="6" customWidth="1"/>
    <col min="1802" max="1802" width="5" style="6" customWidth="1"/>
    <col min="1803" max="1808" width="7.42578125" style="6" customWidth="1"/>
    <col min="1809" max="1809" width="8.42578125" style="6" customWidth="1"/>
    <col min="1810" max="1811" width="6.7109375" style="6" customWidth="1"/>
    <col min="1812" max="1813" width="7.42578125" style="6" customWidth="1"/>
    <col min="1814" max="1815" width="6.7109375" style="6" customWidth="1"/>
    <col min="1816" max="1817" width="7.42578125" style="6" customWidth="1"/>
    <col min="1818" max="1818" width="8.28515625" style="6" bestFit="1" customWidth="1"/>
    <col min="1819" max="1819" width="7.42578125" style="6" bestFit="1" customWidth="1"/>
    <col min="1820" max="1820" width="6.7109375" style="6" customWidth="1"/>
    <col min="1821" max="2050" width="9" style="6"/>
    <col min="2051" max="2051" width="4.140625" style="6" customWidth="1"/>
    <col min="2052" max="2052" width="5" style="6" customWidth="1"/>
    <col min="2053" max="2053" width="9.42578125" style="6" customWidth="1"/>
    <col min="2054" max="2056" width="5" style="6" customWidth="1"/>
    <col min="2057" max="2057" width="5.85546875" style="6" customWidth="1"/>
    <col min="2058" max="2058" width="5" style="6" customWidth="1"/>
    <col min="2059" max="2064" width="7.42578125" style="6" customWidth="1"/>
    <col min="2065" max="2065" width="8.42578125" style="6" customWidth="1"/>
    <col min="2066" max="2067" width="6.7109375" style="6" customWidth="1"/>
    <col min="2068" max="2069" width="7.42578125" style="6" customWidth="1"/>
    <col min="2070" max="2071" width="6.7109375" style="6" customWidth="1"/>
    <col min="2072" max="2073" width="7.42578125" style="6" customWidth="1"/>
    <col min="2074" max="2074" width="8.28515625" style="6" bestFit="1" customWidth="1"/>
    <col min="2075" max="2075" width="7.42578125" style="6" bestFit="1" customWidth="1"/>
    <col min="2076" max="2076" width="6.7109375" style="6" customWidth="1"/>
    <col min="2077" max="2306" width="9" style="6"/>
    <col min="2307" max="2307" width="4.140625" style="6" customWidth="1"/>
    <col min="2308" max="2308" width="5" style="6" customWidth="1"/>
    <col min="2309" max="2309" width="9.42578125" style="6" customWidth="1"/>
    <col min="2310" max="2312" width="5" style="6" customWidth="1"/>
    <col min="2313" max="2313" width="5.85546875" style="6" customWidth="1"/>
    <col min="2314" max="2314" width="5" style="6" customWidth="1"/>
    <col min="2315" max="2320" width="7.42578125" style="6" customWidth="1"/>
    <col min="2321" max="2321" width="8.42578125" style="6" customWidth="1"/>
    <col min="2322" max="2323" width="6.7109375" style="6" customWidth="1"/>
    <col min="2324" max="2325" width="7.42578125" style="6" customWidth="1"/>
    <col min="2326" max="2327" width="6.7109375" style="6" customWidth="1"/>
    <col min="2328" max="2329" width="7.42578125" style="6" customWidth="1"/>
    <col min="2330" max="2330" width="8.28515625" style="6" bestFit="1" customWidth="1"/>
    <col min="2331" max="2331" width="7.42578125" style="6" bestFit="1" customWidth="1"/>
    <col min="2332" max="2332" width="6.7109375" style="6" customWidth="1"/>
    <col min="2333" max="2562" width="9" style="6"/>
    <col min="2563" max="2563" width="4.140625" style="6" customWidth="1"/>
    <col min="2564" max="2564" width="5" style="6" customWidth="1"/>
    <col min="2565" max="2565" width="9.42578125" style="6" customWidth="1"/>
    <col min="2566" max="2568" width="5" style="6" customWidth="1"/>
    <col min="2569" max="2569" width="5.85546875" style="6" customWidth="1"/>
    <col min="2570" max="2570" width="5" style="6" customWidth="1"/>
    <col min="2571" max="2576" width="7.42578125" style="6" customWidth="1"/>
    <col min="2577" max="2577" width="8.42578125" style="6" customWidth="1"/>
    <col min="2578" max="2579" width="6.7109375" style="6" customWidth="1"/>
    <col min="2580" max="2581" width="7.42578125" style="6" customWidth="1"/>
    <col min="2582" max="2583" width="6.7109375" style="6" customWidth="1"/>
    <col min="2584" max="2585" width="7.42578125" style="6" customWidth="1"/>
    <col min="2586" max="2586" width="8.28515625" style="6" bestFit="1" customWidth="1"/>
    <col min="2587" max="2587" width="7.42578125" style="6" bestFit="1" customWidth="1"/>
    <col min="2588" max="2588" width="6.7109375" style="6" customWidth="1"/>
    <col min="2589" max="2818" width="9" style="6"/>
    <col min="2819" max="2819" width="4.140625" style="6" customWidth="1"/>
    <col min="2820" max="2820" width="5" style="6" customWidth="1"/>
    <col min="2821" max="2821" width="9.42578125" style="6" customWidth="1"/>
    <col min="2822" max="2824" width="5" style="6" customWidth="1"/>
    <col min="2825" max="2825" width="5.85546875" style="6" customWidth="1"/>
    <col min="2826" max="2826" width="5" style="6" customWidth="1"/>
    <col min="2827" max="2832" width="7.42578125" style="6" customWidth="1"/>
    <col min="2833" max="2833" width="8.42578125" style="6" customWidth="1"/>
    <col min="2834" max="2835" width="6.7109375" style="6" customWidth="1"/>
    <col min="2836" max="2837" width="7.42578125" style="6" customWidth="1"/>
    <col min="2838" max="2839" width="6.7109375" style="6" customWidth="1"/>
    <col min="2840" max="2841" width="7.42578125" style="6" customWidth="1"/>
    <col min="2842" max="2842" width="8.28515625" style="6" bestFit="1" customWidth="1"/>
    <col min="2843" max="2843" width="7.42578125" style="6" bestFit="1" customWidth="1"/>
    <col min="2844" max="2844" width="6.7109375" style="6" customWidth="1"/>
    <col min="2845" max="3074" width="9" style="6"/>
    <col min="3075" max="3075" width="4.140625" style="6" customWidth="1"/>
    <col min="3076" max="3076" width="5" style="6" customWidth="1"/>
    <col min="3077" max="3077" width="9.42578125" style="6" customWidth="1"/>
    <col min="3078" max="3080" width="5" style="6" customWidth="1"/>
    <col min="3081" max="3081" width="5.85546875" style="6" customWidth="1"/>
    <col min="3082" max="3082" width="5" style="6" customWidth="1"/>
    <col min="3083" max="3088" width="7.42578125" style="6" customWidth="1"/>
    <col min="3089" max="3089" width="8.42578125" style="6" customWidth="1"/>
    <col min="3090" max="3091" width="6.7109375" style="6" customWidth="1"/>
    <col min="3092" max="3093" width="7.42578125" style="6" customWidth="1"/>
    <col min="3094" max="3095" width="6.7109375" style="6" customWidth="1"/>
    <col min="3096" max="3097" width="7.42578125" style="6" customWidth="1"/>
    <col min="3098" max="3098" width="8.28515625" style="6" bestFit="1" customWidth="1"/>
    <col min="3099" max="3099" width="7.42578125" style="6" bestFit="1" customWidth="1"/>
    <col min="3100" max="3100" width="6.7109375" style="6" customWidth="1"/>
    <col min="3101" max="3330" width="9" style="6"/>
    <col min="3331" max="3331" width="4.140625" style="6" customWidth="1"/>
    <col min="3332" max="3332" width="5" style="6" customWidth="1"/>
    <col min="3333" max="3333" width="9.42578125" style="6" customWidth="1"/>
    <col min="3334" max="3336" width="5" style="6" customWidth="1"/>
    <col min="3337" max="3337" width="5.85546875" style="6" customWidth="1"/>
    <col min="3338" max="3338" width="5" style="6" customWidth="1"/>
    <col min="3339" max="3344" width="7.42578125" style="6" customWidth="1"/>
    <col min="3345" max="3345" width="8.42578125" style="6" customWidth="1"/>
    <col min="3346" max="3347" width="6.7109375" style="6" customWidth="1"/>
    <col min="3348" max="3349" width="7.42578125" style="6" customWidth="1"/>
    <col min="3350" max="3351" width="6.7109375" style="6" customWidth="1"/>
    <col min="3352" max="3353" width="7.42578125" style="6" customWidth="1"/>
    <col min="3354" max="3354" width="8.28515625" style="6" bestFit="1" customWidth="1"/>
    <col min="3355" max="3355" width="7.42578125" style="6" bestFit="1" customWidth="1"/>
    <col min="3356" max="3356" width="6.7109375" style="6" customWidth="1"/>
    <col min="3357" max="3586" width="9" style="6"/>
    <col min="3587" max="3587" width="4.140625" style="6" customWidth="1"/>
    <col min="3588" max="3588" width="5" style="6" customWidth="1"/>
    <col min="3589" max="3589" width="9.42578125" style="6" customWidth="1"/>
    <col min="3590" max="3592" width="5" style="6" customWidth="1"/>
    <col min="3593" max="3593" width="5.85546875" style="6" customWidth="1"/>
    <col min="3594" max="3594" width="5" style="6" customWidth="1"/>
    <col min="3595" max="3600" width="7.42578125" style="6" customWidth="1"/>
    <col min="3601" max="3601" width="8.42578125" style="6" customWidth="1"/>
    <col min="3602" max="3603" width="6.7109375" style="6" customWidth="1"/>
    <col min="3604" max="3605" width="7.42578125" style="6" customWidth="1"/>
    <col min="3606" max="3607" width="6.7109375" style="6" customWidth="1"/>
    <col min="3608" max="3609" width="7.42578125" style="6" customWidth="1"/>
    <col min="3610" max="3610" width="8.28515625" style="6" bestFit="1" customWidth="1"/>
    <col min="3611" max="3611" width="7.42578125" style="6" bestFit="1" customWidth="1"/>
    <col min="3612" max="3612" width="6.7109375" style="6" customWidth="1"/>
    <col min="3613" max="3842" width="9" style="6"/>
    <col min="3843" max="3843" width="4.140625" style="6" customWidth="1"/>
    <col min="3844" max="3844" width="5" style="6" customWidth="1"/>
    <col min="3845" max="3845" width="9.42578125" style="6" customWidth="1"/>
    <col min="3846" max="3848" width="5" style="6" customWidth="1"/>
    <col min="3849" max="3849" width="5.85546875" style="6" customWidth="1"/>
    <col min="3850" max="3850" width="5" style="6" customWidth="1"/>
    <col min="3851" max="3856" width="7.42578125" style="6" customWidth="1"/>
    <col min="3857" max="3857" width="8.42578125" style="6" customWidth="1"/>
    <col min="3858" max="3859" width="6.7109375" style="6" customWidth="1"/>
    <col min="3860" max="3861" width="7.42578125" style="6" customWidth="1"/>
    <col min="3862" max="3863" width="6.7109375" style="6" customWidth="1"/>
    <col min="3864" max="3865" width="7.42578125" style="6" customWidth="1"/>
    <col min="3866" max="3866" width="8.28515625" style="6" bestFit="1" customWidth="1"/>
    <col min="3867" max="3867" width="7.42578125" style="6" bestFit="1" customWidth="1"/>
    <col min="3868" max="3868" width="6.7109375" style="6" customWidth="1"/>
    <col min="3869" max="4098" width="9" style="6"/>
    <col min="4099" max="4099" width="4.140625" style="6" customWidth="1"/>
    <col min="4100" max="4100" width="5" style="6" customWidth="1"/>
    <col min="4101" max="4101" width="9.42578125" style="6" customWidth="1"/>
    <col min="4102" max="4104" width="5" style="6" customWidth="1"/>
    <col min="4105" max="4105" width="5.85546875" style="6" customWidth="1"/>
    <col min="4106" max="4106" width="5" style="6" customWidth="1"/>
    <col min="4107" max="4112" width="7.42578125" style="6" customWidth="1"/>
    <col min="4113" max="4113" width="8.42578125" style="6" customWidth="1"/>
    <col min="4114" max="4115" width="6.7109375" style="6" customWidth="1"/>
    <col min="4116" max="4117" width="7.42578125" style="6" customWidth="1"/>
    <col min="4118" max="4119" width="6.7109375" style="6" customWidth="1"/>
    <col min="4120" max="4121" width="7.42578125" style="6" customWidth="1"/>
    <col min="4122" max="4122" width="8.28515625" style="6" bestFit="1" customWidth="1"/>
    <col min="4123" max="4123" width="7.42578125" style="6" bestFit="1" customWidth="1"/>
    <col min="4124" max="4124" width="6.7109375" style="6" customWidth="1"/>
    <col min="4125" max="4354" width="9" style="6"/>
    <col min="4355" max="4355" width="4.140625" style="6" customWidth="1"/>
    <col min="4356" max="4356" width="5" style="6" customWidth="1"/>
    <col min="4357" max="4357" width="9.42578125" style="6" customWidth="1"/>
    <col min="4358" max="4360" width="5" style="6" customWidth="1"/>
    <col min="4361" max="4361" width="5.85546875" style="6" customWidth="1"/>
    <col min="4362" max="4362" width="5" style="6" customWidth="1"/>
    <col min="4363" max="4368" width="7.42578125" style="6" customWidth="1"/>
    <col min="4369" max="4369" width="8.42578125" style="6" customWidth="1"/>
    <col min="4370" max="4371" width="6.7109375" style="6" customWidth="1"/>
    <col min="4372" max="4373" width="7.42578125" style="6" customWidth="1"/>
    <col min="4374" max="4375" width="6.7109375" style="6" customWidth="1"/>
    <col min="4376" max="4377" width="7.42578125" style="6" customWidth="1"/>
    <col min="4378" max="4378" width="8.28515625" style="6" bestFit="1" customWidth="1"/>
    <col min="4379" max="4379" width="7.42578125" style="6" bestFit="1" customWidth="1"/>
    <col min="4380" max="4380" width="6.7109375" style="6" customWidth="1"/>
    <col min="4381" max="4610" width="9" style="6"/>
    <col min="4611" max="4611" width="4.140625" style="6" customWidth="1"/>
    <col min="4612" max="4612" width="5" style="6" customWidth="1"/>
    <col min="4613" max="4613" width="9.42578125" style="6" customWidth="1"/>
    <col min="4614" max="4616" width="5" style="6" customWidth="1"/>
    <col min="4617" max="4617" width="5.85546875" style="6" customWidth="1"/>
    <col min="4618" max="4618" width="5" style="6" customWidth="1"/>
    <col min="4619" max="4624" width="7.42578125" style="6" customWidth="1"/>
    <col min="4625" max="4625" width="8.42578125" style="6" customWidth="1"/>
    <col min="4626" max="4627" width="6.7109375" style="6" customWidth="1"/>
    <col min="4628" max="4629" width="7.42578125" style="6" customWidth="1"/>
    <col min="4630" max="4631" width="6.7109375" style="6" customWidth="1"/>
    <col min="4632" max="4633" width="7.42578125" style="6" customWidth="1"/>
    <col min="4634" max="4634" width="8.28515625" style="6" bestFit="1" customWidth="1"/>
    <col min="4635" max="4635" width="7.42578125" style="6" bestFit="1" customWidth="1"/>
    <col min="4636" max="4636" width="6.7109375" style="6" customWidth="1"/>
    <col min="4637" max="4866" width="9" style="6"/>
    <col min="4867" max="4867" width="4.140625" style="6" customWidth="1"/>
    <col min="4868" max="4868" width="5" style="6" customWidth="1"/>
    <col min="4869" max="4869" width="9.42578125" style="6" customWidth="1"/>
    <col min="4870" max="4872" width="5" style="6" customWidth="1"/>
    <col min="4873" max="4873" width="5.85546875" style="6" customWidth="1"/>
    <col min="4874" max="4874" width="5" style="6" customWidth="1"/>
    <col min="4875" max="4880" width="7.42578125" style="6" customWidth="1"/>
    <col min="4881" max="4881" width="8.42578125" style="6" customWidth="1"/>
    <col min="4882" max="4883" width="6.7109375" style="6" customWidth="1"/>
    <col min="4884" max="4885" width="7.42578125" style="6" customWidth="1"/>
    <col min="4886" max="4887" width="6.7109375" style="6" customWidth="1"/>
    <col min="4888" max="4889" width="7.42578125" style="6" customWidth="1"/>
    <col min="4890" max="4890" width="8.28515625" style="6" bestFit="1" customWidth="1"/>
    <col min="4891" max="4891" width="7.42578125" style="6" bestFit="1" customWidth="1"/>
    <col min="4892" max="4892" width="6.7109375" style="6" customWidth="1"/>
    <col min="4893" max="5122" width="9" style="6"/>
    <col min="5123" max="5123" width="4.140625" style="6" customWidth="1"/>
    <col min="5124" max="5124" width="5" style="6" customWidth="1"/>
    <col min="5125" max="5125" width="9.42578125" style="6" customWidth="1"/>
    <col min="5126" max="5128" width="5" style="6" customWidth="1"/>
    <col min="5129" max="5129" width="5.85546875" style="6" customWidth="1"/>
    <col min="5130" max="5130" width="5" style="6" customWidth="1"/>
    <col min="5131" max="5136" width="7.42578125" style="6" customWidth="1"/>
    <col min="5137" max="5137" width="8.42578125" style="6" customWidth="1"/>
    <col min="5138" max="5139" width="6.7109375" style="6" customWidth="1"/>
    <col min="5140" max="5141" width="7.42578125" style="6" customWidth="1"/>
    <col min="5142" max="5143" width="6.7109375" style="6" customWidth="1"/>
    <col min="5144" max="5145" width="7.42578125" style="6" customWidth="1"/>
    <col min="5146" max="5146" width="8.28515625" style="6" bestFit="1" customWidth="1"/>
    <col min="5147" max="5147" width="7.42578125" style="6" bestFit="1" customWidth="1"/>
    <col min="5148" max="5148" width="6.7109375" style="6" customWidth="1"/>
    <col min="5149" max="5378" width="9" style="6"/>
    <col min="5379" max="5379" width="4.140625" style="6" customWidth="1"/>
    <col min="5380" max="5380" width="5" style="6" customWidth="1"/>
    <col min="5381" max="5381" width="9.42578125" style="6" customWidth="1"/>
    <col min="5382" max="5384" width="5" style="6" customWidth="1"/>
    <col min="5385" max="5385" width="5.85546875" style="6" customWidth="1"/>
    <col min="5386" max="5386" width="5" style="6" customWidth="1"/>
    <col min="5387" max="5392" width="7.42578125" style="6" customWidth="1"/>
    <col min="5393" max="5393" width="8.42578125" style="6" customWidth="1"/>
    <col min="5394" max="5395" width="6.7109375" style="6" customWidth="1"/>
    <col min="5396" max="5397" width="7.42578125" style="6" customWidth="1"/>
    <col min="5398" max="5399" width="6.7109375" style="6" customWidth="1"/>
    <col min="5400" max="5401" width="7.42578125" style="6" customWidth="1"/>
    <col min="5402" max="5402" width="8.28515625" style="6" bestFit="1" customWidth="1"/>
    <col min="5403" max="5403" width="7.42578125" style="6" bestFit="1" customWidth="1"/>
    <col min="5404" max="5404" width="6.7109375" style="6" customWidth="1"/>
    <col min="5405" max="5634" width="9" style="6"/>
    <col min="5635" max="5635" width="4.140625" style="6" customWidth="1"/>
    <col min="5636" max="5636" width="5" style="6" customWidth="1"/>
    <col min="5637" max="5637" width="9.42578125" style="6" customWidth="1"/>
    <col min="5638" max="5640" width="5" style="6" customWidth="1"/>
    <col min="5641" max="5641" width="5.85546875" style="6" customWidth="1"/>
    <col min="5642" max="5642" width="5" style="6" customWidth="1"/>
    <col min="5643" max="5648" width="7.42578125" style="6" customWidth="1"/>
    <col min="5649" max="5649" width="8.42578125" style="6" customWidth="1"/>
    <col min="5650" max="5651" width="6.7109375" style="6" customWidth="1"/>
    <col min="5652" max="5653" width="7.42578125" style="6" customWidth="1"/>
    <col min="5654" max="5655" width="6.7109375" style="6" customWidth="1"/>
    <col min="5656" max="5657" width="7.42578125" style="6" customWidth="1"/>
    <col min="5658" max="5658" width="8.28515625" style="6" bestFit="1" customWidth="1"/>
    <col min="5659" max="5659" width="7.42578125" style="6" bestFit="1" customWidth="1"/>
    <col min="5660" max="5660" width="6.7109375" style="6" customWidth="1"/>
    <col min="5661" max="5890" width="9" style="6"/>
    <col min="5891" max="5891" width="4.140625" style="6" customWidth="1"/>
    <col min="5892" max="5892" width="5" style="6" customWidth="1"/>
    <col min="5893" max="5893" width="9.42578125" style="6" customWidth="1"/>
    <col min="5894" max="5896" width="5" style="6" customWidth="1"/>
    <col min="5897" max="5897" width="5.85546875" style="6" customWidth="1"/>
    <col min="5898" max="5898" width="5" style="6" customWidth="1"/>
    <col min="5899" max="5904" width="7.42578125" style="6" customWidth="1"/>
    <col min="5905" max="5905" width="8.42578125" style="6" customWidth="1"/>
    <col min="5906" max="5907" width="6.7109375" style="6" customWidth="1"/>
    <col min="5908" max="5909" width="7.42578125" style="6" customWidth="1"/>
    <col min="5910" max="5911" width="6.7109375" style="6" customWidth="1"/>
    <col min="5912" max="5913" width="7.42578125" style="6" customWidth="1"/>
    <col min="5914" max="5914" width="8.28515625" style="6" bestFit="1" customWidth="1"/>
    <col min="5915" max="5915" width="7.42578125" style="6" bestFit="1" customWidth="1"/>
    <col min="5916" max="5916" width="6.7109375" style="6" customWidth="1"/>
    <col min="5917" max="6146" width="9" style="6"/>
    <col min="6147" max="6147" width="4.140625" style="6" customWidth="1"/>
    <col min="6148" max="6148" width="5" style="6" customWidth="1"/>
    <col min="6149" max="6149" width="9.42578125" style="6" customWidth="1"/>
    <col min="6150" max="6152" width="5" style="6" customWidth="1"/>
    <col min="6153" max="6153" width="5.85546875" style="6" customWidth="1"/>
    <col min="6154" max="6154" width="5" style="6" customWidth="1"/>
    <col min="6155" max="6160" width="7.42578125" style="6" customWidth="1"/>
    <col min="6161" max="6161" width="8.42578125" style="6" customWidth="1"/>
    <col min="6162" max="6163" width="6.7109375" style="6" customWidth="1"/>
    <col min="6164" max="6165" width="7.42578125" style="6" customWidth="1"/>
    <col min="6166" max="6167" width="6.7109375" style="6" customWidth="1"/>
    <col min="6168" max="6169" width="7.42578125" style="6" customWidth="1"/>
    <col min="6170" max="6170" width="8.28515625" style="6" bestFit="1" customWidth="1"/>
    <col min="6171" max="6171" width="7.42578125" style="6" bestFit="1" customWidth="1"/>
    <col min="6172" max="6172" width="6.7109375" style="6" customWidth="1"/>
    <col min="6173" max="6402" width="9" style="6"/>
    <col min="6403" max="6403" width="4.140625" style="6" customWidth="1"/>
    <col min="6404" max="6404" width="5" style="6" customWidth="1"/>
    <col min="6405" max="6405" width="9.42578125" style="6" customWidth="1"/>
    <col min="6406" max="6408" width="5" style="6" customWidth="1"/>
    <col min="6409" max="6409" width="5.85546875" style="6" customWidth="1"/>
    <col min="6410" max="6410" width="5" style="6" customWidth="1"/>
    <col min="6411" max="6416" width="7.42578125" style="6" customWidth="1"/>
    <col min="6417" max="6417" width="8.42578125" style="6" customWidth="1"/>
    <col min="6418" max="6419" width="6.7109375" style="6" customWidth="1"/>
    <col min="6420" max="6421" width="7.42578125" style="6" customWidth="1"/>
    <col min="6422" max="6423" width="6.7109375" style="6" customWidth="1"/>
    <col min="6424" max="6425" width="7.42578125" style="6" customWidth="1"/>
    <col min="6426" max="6426" width="8.28515625" style="6" bestFit="1" customWidth="1"/>
    <col min="6427" max="6427" width="7.42578125" style="6" bestFit="1" customWidth="1"/>
    <col min="6428" max="6428" width="6.7109375" style="6" customWidth="1"/>
    <col min="6429" max="6658" width="9" style="6"/>
    <col min="6659" max="6659" width="4.140625" style="6" customWidth="1"/>
    <col min="6660" max="6660" width="5" style="6" customWidth="1"/>
    <col min="6661" max="6661" width="9.42578125" style="6" customWidth="1"/>
    <col min="6662" max="6664" width="5" style="6" customWidth="1"/>
    <col min="6665" max="6665" width="5.85546875" style="6" customWidth="1"/>
    <col min="6666" max="6666" width="5" style="6" customWidth="1"/>
    <col min="6667" max="6672" width="7.42578125" style="6" customWidth="1"/>
    <col min="6673" max="6673" width="8.42578125" style="6" customWidth="1"/>
    <col min="6674" max="6675" width="6.7109375" style="6" customWidth="1"/>
    <col min="6676" max="6677" width="7.42578125" style="6" customWidth="1"/>
    <col min="6678" max="6679" width="6.7109375" style="6" customWidth="1"/>
    <col min="6680" max="6681" width="7.42578125" style="6" customWidth="1"/>
    <col min="6682" max="6682" width="8.28515625" style="6" bestFit="1" customWidth="1"/>
    <col min="6683" max="6683" width="7.42578125" style="6" bestFit="1" customWidth="1"/>
    <col min="6684" max="6684" width="6.7109375" style="6" customWidth="1"/>
    <col min="6685" max="6914" width="9" style="6"/>
    <col min="6915" max="6915" width="4.140625" style="6" customWidth="1"/>
    <col min="6916" max="6916" width="5" style="6" customWidth="1"/>
    <col min="6917" max="6917" width="9.42578125" style="6" customWidth="1"/>
    <col min="6918" max="6920" width="5" style="6" customWidth="1"/>
    <col min="6921" max="6921" width="5.85546875" style="6" customWidth="1"/>
    <col min="6922" max="6922" width="5" style="6" customWidth="1"/>
    <col min="6923" max="6928" width="7.42578125" style="6" customWidth="1"/>
    <col min="6929" max="6929" width="8.42578125" style="6" customWidth="1"/>
    <col min="6930" max="6931" width="6.7109375" style="6" customWidth="1"/>
    <col min="6932" max="6933" width="7.42578125" style="6" customWidth="1"/>
    <col min="6934" max="6935" width="6.7109375" style="6" customWidth="1"/>
    <col min="6936" max="6937" width="7.42578125" style="6" customWidth="1"/>
    <col min="6938" max="6938" width="8.28515625" style="6" bestFit="1" customWidth="1"/>
    <col min="6939" max="6939" width="7.42578125" style="6" bestFit="1" customWidth="1"/>
    <col min="6940" max="6940" width="6.7109375" style="6" customWidth="1"/>
    <col min="6941" max="7170" width="9" style="6"/>
    <col min="7171" max="7171" width="4.140625" style="6" customWidth="1"/>
    <col min="7172" max="7172" width="5" style="6" customWidth="1"/>
    <col min="7173" max="7173" width="9.42578125" style="6" customWidth="1"/>
    <col min="7174" max="7176" width="5" style="6" customWidth="1"/>
    <col min="7177" max="7177" width="5.85546875" style="6" customWidth="1"/>
    <col min="7178" max="7178" width="5" style="6" customWidth="1"/>
    <col min="7179" max="7184" width="7.42578125" style="6" customWidth="1"/>
    <col min="7185" max="7185" width="8.42578125" style="6" customWidth="1"/>
    <col min="7186" max="7187" width="6.7109375" style="6" customWidth="1"/>
    <col min="7188" max="7189" width="7.42578125" style="6" customWidth="1"/>
    <col min="7190" max="7191" width="6.7109375" style="6" customWidth="1"/>
    <col min="7192" max="7193" width="7.42578125" style="6" customWidth="1"/>
    <col min="7194" max="7194" width="8.28515625" style="6" bestFit="1" customWidth="1"/>
    <col min="7195" max="7195" width="7.42578125" style="6" bestFit="1" customWidth="1"/>
    <col min="7196" max="7196" width="6.7109375" style="6" customWidth="1"/>
    <col min="7197" max="7426" width="9" style="6"/>
    <col min="7427" max="7427" width="4.140625" style="6" customWidth="1"/>
    <col min="7428" max="7428" width="5" style="6" customWidth="1"/>
    <col min="7429" max="7429" width="9.42578125" style="6" customWidth="1"/>
    <col min="7430" max="7432" width="5" style="6" customWidth="1"/>
    <col min="7433" max="7433" width="5.85546875" style="6" customWidth="1"/>
    <col min="7434" max="7434" width="5" style="6" customWidth="1"/>
    <col min="7435" max="7440" width="7.42578125" style="6" customWidth="1"/>
    <col min="7441" max="7441" width="8.42578125" style="6" customWidth="1"/>
    <col min="7442" max="7443" width="6.7109375" style="6" customWidth="1"/>
    <col min="7444" max="7445" width="7.42578125" style="6" customWidth="1"/>
    <col min="7446" max="7447" width="6.7109375" style="6" customWidth="1"/>
    <col min="7448" max="7449" width="7.42578125" style="6" customWidth="1"/>
    <col min="7450" max="7450" width="8.28515625" style="6" bestFit="1" customWidth="1"/>
    <col min="7451" max="7451" width="7.42578125" style="6" bestFit="1" customWidth="1"/>
    <col min="7452" max="7452" width="6.7109375" style="6" customWidth="1"/>
    <col min="7453" max="7682" width="9" style="6"/>
    <col min="7683" max="7683" width="4.140625" style="6" customWidth="1"/>
    <col min="7684" max="7684" width="5" style="6" customWidth="1"/>
    <col min="7685" max="7685" width="9.42578125" style="6" customWidth="1"/>
    <col min="7686" max="7688" width="5" style="6" customWidth="1"/>
    <col min="7689" max="7689" width="5.85546875" style="6" customWidth="1"/>
    <col min="7690" max="7690" width="5" style="6" customWidth="1"/>
    <col min="7691" max="7696" width="7.42578125" style="6" customWidth="1"/>
    <col min="7697" max="7697" width="8.42578125" style="6" customWidth="1"/>
    <col min="7698" max="7699" width="6.7109375" style="6" customWidth="1"/>
    <col min="7700" max="7701" width="7.42578125" style="6" customWidth="1"/>
    <col min="7702" max="7703" width="6.7109375" style="6" customWidth="1"/>
    <col min="7704" max="7705" width="7.42578125" style="6" customWidth="1"/>
    <col min="7706" max="7706" width="8.28515625" style="6" bestFit="1" customWidth="1"/>
    <col min="7707" max="7707" width="7.42578125" style="6" bestFit="1" customWidth="1"/>
    <col min="7708" max="7708" width="6.7109375" style="6" customWidth="1"/>
    <col min="7709" max="7938" width="9" style="6"/>
    <col min="7939" max="7939" width="4.140625" style="6" customWidth="1"/>
    <col min="7940" max="7940" width="5" style="6" customWidth="1"/>
    <col min="7941" max="7941" width="9.42578125" style="6" customWidth="1"/>
    <col min="7942" max="7944" width="5" style="6" customWidth="1"/>
    <col min="7945" max="7945" width="5.85546875" style="6" customWidth="1"/>
    <col min="7946" max="7946" width="5" style="6" customWidth="1"/>
    <col min="7947" max="7952" width="7.42578125" style="6" customWidth="1"/>
    <col min="7953" max="7953" width="8.42578125" style="6" customWidth="1"/>
    <col min="7954" max="7955" width="6.7109375" style="6" customWidth="1"/>
    <col min="7956" max="7957" width="7.42578125" style="6" customWidth="1"/>
    <col min="7958" max="7959" width="6.7109375" style="6" customWidth="1"/>
    <col min="7960" max="7961" width="7.42578125" style="6" customWidth="1"/>
    <col min="7962" max="7962" width="8.28515625" style="6" bestFit="1" customWidth="1"/>
    <col min="7963" max="7963" width="7.42578125" style="6" bestFit="1" customWidth="1"/>
    <col min="7964" max="7964" width="6.7109375" style="6" customWidth="1"/>
    <col min="7965" max="8194" width="9" style="6"/>
    <col min="8195" max="8195" width="4.140625" style="6" customWidth="1"/>
    <col min="8196" max="8196" width="5" style="6" customWidth="1"/>
    <col min="8197" max="8197" width="9.42578125" style="6" customWidth="1"/>
    <col min="8198" max="8200" width="5" style="6" customWidth="1"/>
    <col min="8201" max="8201" width="5.85546875" style="6" customWidth="1"/>
    <col min="8202" max="8202" width="5" style="6" customWidth="1"/>
    <col min="8203" max="8208" width="7.42578125" style="6" customWidth="1"/>
    <col min="8209" max="8209" width="8.42578125" style="6" customWidth="1"/>
    <col min="8210" max="8211" width="6.7109375" style="6" customWidth="1"/>
    <col min="8212" max="8213" width="7.42578125" style="6" customWidth="1"/>
    <col min="8214" max="8215" width="6.7109375" style="6" customWidth="1"/>
    <col min="8216" max="8217" width="7.42578125" style="6" customWidth="1"/>
    <col min="8218" max="8218" width="8.28515625" style="6" bestFit="1" customWidth="1"/>
    <col min="8219" max="8219" width="7.42578125" style="6" bestFit="1" customWidth="1"/>
    <col min="8220" max="8220" width="6.7109375" style="6" customWidth="1"/>
    <col min="8221" max="8450" width="9" style="6"/>
    <col min="8451" max="8451" width="4.140625" style="6" customWidth="1"/>
    <col min="8452" max="8452" width="5" style="6" customWidth="1"/>
    <col min="8453" max="8453" width="9.42578125" style="6" customWidth="1"/>
    <col min="8454" max="8456" width="5" style="6" customWidth="1"/>
    <col min="8457" max="8457" width="5.85546875" style="6" customWidth="1"/>
    <col min="8458" max="8458" width="5" style="6" customWidth="1"/>
    <col min="8459" max="8464" width="7.42578125" style="6" customWidth="1"/>
    <col min="8465" max="8465" width="8.42578125" style="6" customWidth="1"/>
    <col min="8466" max="8467" width="6.7109375" style="6" customWidth="1"/>
    <col min="8468" max="8469" width="7.42578125" style="6" customWidth="1"/>
    <col min="8470" max="8471" width="6.7109375" style="6" customWidth="1"/>
    <col min="8472" max="8473" width="7.42578125" style="6" customWidth="1"/>
    <col min="8474" max="8474" width="8.28515625" style="6" bestFit="1" customWidth="1"/>
    <col min="8475" max="8475" width="7.42578125" style="6" bestFit="1" customWidth="1"/>
    <col min="8476" max="8476" width="6.7109375" style="6" customWidth="1"/>
    <col min="8477" max="8706" width="9" style="6"/>
    <col min="8707" max="8707" width="4.140625" style="6" customWidth="1"/>
    <col min="8708" max="8708" width="5" style="6" customWidth="1"/>
    <col min="8709" max="8709" width="9.42578125" style="6" customWidth="1"/>
    <col min="8710" max="8712" width="5" style="6" customWidth="1"/>
    <col min="8713" max="8713" width="5.85546875" style="6" customWidth="1"/>
    <col min="8714" max="8714" width="5" style="6" customWidth="1"/>
    <col min="8715" max="8720" width="7.42578125" style="6" customWidth="1"/>
    <col min="8721" max="8721" width="8.42578125" style="6" customWidth="1"/>
    <col min="8722" max="8723" width="6.7109375" style="6" customWidth="1"/>
    <col min="8724" max="8725" width="7.42578125" style="6" customWidth="1"/>
    <col min="8726" max="8727" width="6.7109375" style="6" customWidth="1"/>
    <col min="8728" max="8729" width="7.42578125" style="6" customWidth="1"/>
    <col min="8730" max="8730" width="8.28515625" style="6" bestFit="1" customWidth="1"/>
    <col min="8731" max="8731" width="7.42578125" style="6" bestFit="1" customWidth="1"/>
    <col min="8732" max="8732" width="6.7109375" style="6" customWidth="1"/>
    <col min="8733" max="8962" width="9" style="6"/>
    <col min="8963" max="8963" width="4.140625" style="6" customWidth="1"/>
    <col min="8964" max="8964" width="5" style="6" customWidth="1"/>
    <col min="8965" max="8965" width="9.42578125" style="6" customWidth="1"/>
    <col min="8966" max="8968" width="5" style="6" customWidth="1"/>
    <col min="8969" max="8969" width="5.85546875" style="6" customWidth="1"/>
    <col min="8970" max="8970" width="5" style="6" customWidth="1"/>
    <col min="8971" max="8976" width="7.42578125" style="6" customWidth="1"/>
    <col min="8977" max="8977" width="8.42578125" style="6" customWidth="1"/>
    <col min="8978" max="8979" width="6.7109375" style="6" customWidth="1"/>
    <col min="8980" max="8981" width="7.42578125" style="6" customWidth="1"/>
    <col min="8982" max="8983" width="6.7109375" style="6" customWidth="1"/>
    <col min="8984" max="8985" width="7.42578125" style="6" customWidth="1"/>
    <col min="8986" max="8986" width="8.28515625" style="6" bestFit="1" customWidth="1"/>
    <col min="8987" max="8987" width="7.42578125" style="6" bestFit="1" customWidth="1"/>
    <col min="8988" max="8988" width="6.7109375" style="6" customWidth="1"/>
    <col min="8989" max="9218" width="9" style="6"/>
    <col min="9219" max="9219" width="4.140625" style="6" customWidth="1"/>
    <col min="9220" max="9220" width="5" style="6" customWidth="1"/>
    <col min="9221" max="9221" width="9.42578125" style="6" customWidth="1"/>
    <col min="9222" max="9224" width="5" style="6" customWidth="1"/>
    <col min="9225" max="9225" width="5.85546875" style="6" customWidth="1"/>
    <col min="9226" max="9226" width="5" style="6" customWidth="1"/>
    <col min="9227" max="9232" width="7.42578125" style="6" customWidth="1"/>
    <col min="9233" max="9233" width="8.42578125" style="6" customWidth="1"/>
    <col min="9234" max="9235" width="6.7109375" style="6" customWidth="1"/>
    <col min="9236" max="9237" width="7.42578125" style="6" customWidth="1"/>
    <col min="9238" max="9239" width="6.7109375" style="6" customWidth="1"/>
    <col min="9240" max="9241" width="7.42578125" style="6" customWidth="1"/>
    <col min="9242" max="9242" width="8.28515625" style="6" bestFit="1" customWidth="1"/>
    <col min="9243" max="9243" width="7.42578125" style="6" bestFit="1" customWidth="1"/>
    <col min="9244" max="9244" width="6.7109375" style="6" customWidth="1"/>
    <col min="9245" max="9474" width="9" style="6"/>
    <col min="9475" max="9475" width="4.140625" style="6" customWidth="1"/>
    <col min="9476" max="9476" width="5" style="6" customWidth="1"/>
    <col min="9477" max="9477" width="9.42578125" style="6" customWidth="1"/>
    <col min="9478" max="9480" width="5" style="6" customWidth="1"/>
    <col min="9481" max="9481" width="5.85546875" style="6" customWidth="1"/>
    <col min="9482" max="9482" width="5" style="6" customWidth="1"/>
    <col min="9483" max="9488" width="7.42578125" style="6" customWidth="1"/>
    <col min="9489" max="9489" width="8.42578125" style="6" customWidth="1"/>
    <col min="9490" max="9491" width="6.7109375" style="6" customWidth="1"/>
    <col min="9492" max="9493" width="7.42578125" style="6" customWidth="1"/>
    <col min="9494" max="9495" width="6.7109375" style="6" customWidth="1"/>
    <col min="9496" max="9497" width="7.42578125" style="6" customWidth="1"/>
    <col min="9498" max="9498" width="8.28515625" style="6" bestFit="1" customWidth="1"/>
    <col min="9499" max="9499" width="7.42578125" style="6" bestFit="1" customWidth="1"/>
    <col min="9500" max="9500" width="6.7109375" style="6" customWidth="1"/>
    <col min="9501" max="9730" width="9" style="6"/>
    <col min="9731" max="9731" width="4.140625" style="6" customWidth="1"/>
    <col min="9732" max="9732" width="5" style="6" customWidth="1"/>
    <col min="9733" max="9733" width="9.42578125" style="6" customWidth="1"/>
    <col min="9734" max="9736" width="5" style="6" customWidth="1"/>
    <col min="9737" max="9737" width="5.85546875" style="6" customWidth="1"/>
    <col min="9738" max="9738" width="5" style="6" customWidth="1"/>
    <col min="9739" max="9744" width="7.42578125" style="6" customWidth="1"/>
    <col min="9745" max="9745" width="8.42578125" style="6" customWidth="1"/>
    <col min="9746" max="9747" width="6.7109375" style="6" customWidth="1"/>
    <col min="9748" max="9749" width="7.42578125" style="6" customWidth="1"/>
    <col min="9750" max="9751" width="6.7109375" style="6" customWidth="1"/>
    <col min="9752" max="9753" width="7.42578125" style="6" customWidth="1"/>
    <col min="9754" max="9754" width="8.28515625" style="6" bestFit="1" customWidth="1"/>
    <col min="9755" max="9755" width="7.42578125" style="6" bestFit="1" customWidth="1"/>
    <col min="9756" max="9756" width="6.7109375" style="6" customWidth="1"/>
    <col min="9757" max="9986" width="9" style="6"/>
    <col min="9987" max="9987" width="4.140625" style="6" customWidth="1"/>
    <col min="9988" max="9988" width="5" style="6" customWidth="1"/>
    <col min="9989" max="9989" width="9.42578125" style="6" customWidth="1"/>
    <col min="9990" max="9992" width="5" style="6" customWidth="1"/>
    <col min="9993" max="9993" width="5.85546875" style="6" customWidth="1"/>
    <col min="9994" max="9994" width="5" style="6" customWidth="1"/>
    <col min="9995" max="10000" width="7.42578125" style="6" customWidth="1"/>
    <col min="10001" max="10001" width="8.42578125" style="6" customWidth="1"/>
    <col min="10002" max="10003" width="6.7109375" style="6" customWidth="1"/>
    <col min="10004" max="10005" width="7.42578125" style="6" customWidth="1"/>
    <col min="10006" max="10007" width="6.7109375" style="6" customWidth="1"/>
    <col min="10008" max="10009" width="7.42578125" style="6" customWidth="1"/>
    <col min="10010" max="10010" width="8.28515625" style="6" bestFit="1" customWidth="1"/>
    <col min="10011" max="10011" width="7.42578125" style="6" bestFit="1" customWidth="1"/>
    <col min="10012" max="10012" width="6.7109375" style="6" customWidth="1"/>
    <col min="10013" max="10242" width="9" style="6"/>
    <col min="10243" max="10243" width="4.140625" style="6" customWidth="1"/>
    <col min="10244" max="10244" width="5" style="6" customWidth="1"/>
    <col min="10245" max="10245" width="9.42578125" style="6" customWidth="1"/>
    <col min="10246" max="10248" width="5" style="6" customWidth="1"/>
    <col min="10249" max="10249" width="5.85546875" style="6" customWidth="1"/>
    <col min="10250" max="10250" width="5" style="6" customWidth="1"/>
    <col min="10251" max="10256" width="7.42578125" style="6" customWidth="1"/>
    <col min="10257" max="10257" width="8.42578125" style="6" customWidth="1"/>
    <col min="10258" max="10259" width="6.7109375" style="6" customWidth="1"/>
    <col min="10260" max="10261" width="7.42578125" style="6" customWidth="1"/>
    <col min="10262" max="10263" width="6.7109375" style="6" customWidth="1"/>
    <col min="10264" max="10265" width="7.42578125" style="6" customWidth="1"/>
    <col min="10266" max="10266" width="8.28515625" style="6" bestFit="1" customWidth="1"/>
    <col min="10267" max="10267" width="7.42578125" style="6" bestFit="1" customWidth="1"/>
    <col min="10268" max="10268" width="6.7109375" style="6" customWidth="1"/>
    <col min="10269" max="10498" width="9" style="6"/>
    <col min="10499" max="10499" width="4.140625" style="6" customWidth="1"/>
    <col min="10500" max="10500" width="5" style="6" customWidth="1"/>
    <col min="10501" max="10501" width="9.42578125" style="6" customWidth="1"/>
    <col min="10502" max="10504" width="5" style="6" customWidth="1"/>
    <col min="10505" max="10505" width="5.85546875" style="6" customWidth="1"/>
    <col min="10506" max="10506" width="5" style="6" customWidth="1"/>
    <col min="10507" max="10512" width="7.42578125" style="6" customWidth="1"/>
    <col min="10513" max="10513" width="8.42578125" style="6" customWidth="1"/>
    <col min="10514" max="10515" width="6.7109375" style="6" customWidth="1"/>
    <col min="10516" max="10517" width="7.42578125" style="6" customWidth="1"/>
    <col min="10518" max="10519" width="6.7109375" style="6" customWidth="1"/>
    <col min="10520" max="10521" width="7.42578125" style="6" customWidth="1"/>
    <col min="10522" max="10522" width="8.28515625" style="6" bestFit="1" customWidth="1"/>
    <col min="10523" max="10523" width="7.42578125" style="6" bestFit="1" customWidth="1"/>
    <col min="10524" max="10524" width="6.7109375" style="6" customWidth="1"/>
    <col min="10525" max="10754" width="9" style="6"/>
    <col min="10755" max="10755" width="4.140625" style="6" customWidth="1"/>
    <col min="10756" max="10756" width="5" style="6" customWidth="1"/>
    <col min="10757" max="10757" width="9.42578125" style="6" customWidth="1"/>
    <col min="10758" max="10760" width="5" style="6" customWidth="1"/>
    <col min="10761" max="10761" width="5.85546875" style="6" customWidth="1"/>
    <col min="10762" max="10762" width="5" style="6" customWidth="1"/>
    <col min="10763" max="10768" width="7.42578125" style="6" customWidth="1"/>
    <col min="10769" max="10769" width="8.42578125" style="6" customWidth="1"/>
    <col min="10770" max="10771" width="6.7109375" style="6" customWidth="1"/>
    <col min="10772" max="10773" width="7.42578125" style="6" customWidth="1"/>
    <col min="10774" max="10775" width="6.7109375" style="6" customWidth="1"/>
    <col min="10776" max="10777" width="7.42578125" style="6" customWidth="1"/>
    <col min="10778" max="10778" width="8.28515625" style="6" bestFit="1" customWidth="1"/>
    <col min="10779" max="10779" width="7.42578125" style="6" bestFit="1" customWidth="1"/>
    <col min="10780" max="10780" width="6.7109375" style="6" customWidth="1"/>
    <col min="10781" max="11010" width="9" style="6"/>
    <col min="11011" max="11011" width="4.140625" style="6" customWidth="1"/>
    <col min="11012" max="11012" width="5" style="6" customWidth="1"/>
    <col min="11013" max="11013" width="9.42578125" style="6" customWidth="1"/>
    <col min="11014" max="11016" width="5" style="6" customWidth="1"/>
    <col min="11017" max="11017" width="5.85546875" style="6" customWidth="1"/>
    <col min="11018" max="11018" width="5" style="6" customWidth="1"/>
    <col min="11019" max="11024" width="7.42578125" style="6" customWidth="1"/>
    <col min="11025" max="11025" width="8.42578125" style="6" customWidth="1"/>
    <col min="11026" max="11027" width="6.7109375" style="6" customWidth="1"/>
    <col min="11028" max="11029" width="7.42578125" style="6" customWidth="1"/>
    <col min="11030" max="11031" width="6.7109375" style="6" customWidth="1"/>
    <col min="11032" max="11033" width="7.42578125" style="6" customWidth="1"/>
    <col min="11034" max="11034" width="8.28515625" style="6" bestFit="1" customWidth="1"/>
    <col min="11035" max="11035" width="7.42578125" style="6" bestFit="1" customWidth="1"/>
    <col min="11036" max="11036" width="6.7109375" style="6" customWidth="1"/>
    <col min="11037" max="11266" width="9" style="6"/>
    <col min="11267" max="11267" width="4.140625" style="6" customWidth="1"/>
    <col min="11268" max="11268" width="5" style="6" customWidth="1"/>
    <col min="11269" max="11269" width="9.42578125" style="6" customWidth="1"/>
    <col min="11270" max="11272" width="5" style="6" customWidth="1"/>
    <col min="11273" max="11273" width="5.85546875" style="6" customWidth="1"/>
    <col min="11274" max="11274" width="5" style="6" customWidth="1"/>
    <col min="11275" max="11280" width="7.42578125" style="6" customWidth="1"/>
    <col min="11281" max="11281" width="8.42578125" style="6" customWidth="1"/>
    <col min="11282" max="11283" width="6.7109375" style="6" customWidth="1"/>
    <col min="11284" max="11285" width="7.42578125" style="6" customWidth="1"/>
    <col min="11286" max="11287" width="6.7109375" style="6" customWidth="1"/>
    <col min="11288" max="11289" width="7.42578125" style="6" customWidth="1"/>
    <col min="11290" max="11290" width="8.28515625" style="6" bestFit="1" customWidth="1"/>
    <col min="11291" max="11291" width="7.42578125" style="6" bestFit="1" customWidth="1"/>
    <col min="11292" max="11292" width="6.7109375" style="6" customWidth="1"/>
    <col min="11293" max="11522" width="9" style="6"/>
    <col min="11523" max="11523" width="4.140625" style="6" customWidth="1"/>
    <col min="11524" max="11524" width="5" style="6" customWidth="1"/>
    <col min="11525" max="11525" width="9.42578125" style="6" customWidth="1"/>
    <col min="11526" max="11528" width="5" style="6" customWidth="1"/>
    <col min="11529" max="11529" width="5.85546875" style="6" customWidth="1"/>
    <col min="11530" max="11530" width="5" style="6" customWidth="1"/>
    <col min="11531" max="11536" width="7.42578125" style="6" customWidth="1"/>
    <col min="11537" max="11537" width="8.42578125" style="6" customWidth="1"/>
    <col min="11538" max="11539" width="6.7109375" style="6" customWidth="1"/>
    <col min="11540" max="11541" width="7.42578125" style="6" customWidth="1"/>
    <col min="11542" max="11543" width="6.7109375" style="6" customWidth="1"/>
    <col min="11544" max="11545" width="7.42578125" style="6" customWidth="1"/>
    <col min="11546" max="11546" width="8.28515625" style="6" bestFit="1" customWidth="1"/>
    <col min="11547" max="11547" width="7.42578125" style="6" bestFit="1" customWidth="1"/>
    <col min="11548" max="11548" width="6.7109375" style="6" customWidth="1"/>
    <col min="11549" max="11778" width="9" style="6"/>
    <col min="11779" max="11779" width="4.140625" style="6" customWidth="1"/>
    <col min="11780" max="11780" width="5" style="6" customWidth="1"/>
    <col min="11781" max="11781" width="9.42578125" style="6" customWidth="1"/>
    <col min="11782" max="11784" width="5" style="6" customWidth="1"/>
    <col min="11785" max="11785" width="5.85546875" style="6" customWidth="1"/>
    <col min="11786" max="11786" width="5" style="6" customWidth="1"/>
    <col min="11787" max="11792" width="7.42578125" style="6" customWidth="1"/>
    <col min="11793" max="11793" width="8.42578125" style="6" customWidth="1"/>
    <col min="11794" max="11795" width="6.7109375" style="6" customWidth="1"/>
    <col min="11796" max="11797" width="7.42578125" style="6" customWidth="1"/>
    <col min="11798" max="11799" width="6.7109375" style="6" customWidth="1"/>
    <col min="11800" max="11801" width="7.42578125" style="6" customWidth="1"/>
    <col min="11802" max="11802" width="8.28515625" style="6" bestFit="1" customWidth="1"/>
    <col min="11803" max="11803" width="7.42578125" style="6" bestFit="1" customWidth="1"/>
    <col min="11804" max="11804" width="6.7109375" style="6" customWidth="1"/>
    <col min="11805" max="12034" width="9" style="6"/>
    <col min="12035" max="12035" width="4.140625" style="6" customWidth="1"/>
    <col min="12036" max="12036" width="5" style="6" customWidth="1"/>
    <col min="12037" max="12037" width="9.42578125" style="6" customWidth="1"/>
    <col min="12038" max="12040" width="5" style="6" customWidth="1"/>
    <col min="12041" max="12041" width="5.85546875" style="6" customWidth="1"/>
    <col min="12042" max="12042" width="5" style="6" customWidth="1"/>
    <col min="12043" max="12048" width="7.42578125" style="6" customWidth="1"/>
    <col min="12049" max="12049" width="8.42578125" style="6" customWidth="1"/>
    <col min="12050" max="12051" width="6.7109375" style="6" customWidth="1"/>
    <col min="12052" max="12053" width="7.42578125" style="6" customWidth="1"/>
    <col min="12054" max="12055" width="6.7109375" style="6" customWidth="1"/>
    <col min="12056" max="12057" width="7.42578125" style="6" customWidth="1"/>
    <col min="12058" max="12058" width="8.28515625" style="6" bestFit="1" customWidth="1"/>
    <col min="12059" max="12059" width="7.42578125" style="6" bestFit="1" customWidth="1"/>
    <col min="12060" max="12060" width="6.7109375" style="6" customWidth="1"/>
    <col min="12061" max="12290" width="9" style="6"/>
    <col min="12291" max="12291" width="4.140625" style="6" customWidth="1"/>
    <col min="12292" max="12292" width="5" style="6" customWidth="1"/>
    <col min="12293" max="12293" width="9.42578125" style="6" customWidth="1"/>
    <col min="12294" max="12296" width="5" style="6" customWidth="1"/>
    <col min="12297" max="12297" width="5.85546875" style="6" customWidth="1"/>
    <col min="12298" max="12298" width="5" style="6" customWidth="1"/>
    <col min="12299" max="12304" width="7.42578125" style="6" customWidth="1"/>
    <col min="12305" max="12305" width="8.42578125" style="6" customWidth="1"/>
    <col min="12306" max="12307" width="6.7109375" style="6" customWidth="1"/>
    <col min="12308" max="12309" width="7.42578125" style="6" customWidth="1"/>
    <col min="12310" max="12311" width="6.7109375" style="6" customWidth="1"/>
    <col min="12312" max="12313" width="7.42578125" style="6" customWidth="1"/>
    <col min="12314" max="12314" width="8.28515625" style="6" bestFit="1" customWidth="1"/>
    <col min="12315" max="12315" width="7.42578125" style="6" bestFit="1" customWidth="1"/>
    <col min="12316" max="12316" width="6.7109375" style="6" customWidth="1"/>
    <col min="12317" max="12546" width="9" style="6"/>
    <col min="12547" max="12547" width="4.140625" style="6" customWidth="1"/>
    <col min="12548" max="12548" width="5" style="6" customWidth="1"/>
    <col min="12549" max="12549" width="9.42578125" style="6" customWidth="1"/>
    <col min="12550" max="12552" width="5" style="6" customWidth="1"/>
    <col min="12553" max="12553" width="5.85546875" style="6" customWidth="1"/>
    <col min="12554" max="12554" width="5" style="6" customWidth="1"/>
    <col min="12555" max="12560" width="7.42578125" style="6" customWidth="1"/>
    <col min="12561" max="12561" width="8.42578125" style="6" customWidth="1"/>
    <col min="12562" max="12563" width="6.7109375" style="6" customWidth="1"/>
    <col min="12564" max="12565" width="7.42578125" style="6" customWidth="1"/>
    <col min="12566" max="12567" width="6.7109375" style="6" customWidth="1"/>
    <col min="12568" max="12569" width="7.42578125" style="6" customWidth="1"/>
    <col min="12570" max="12570" width="8.28515625" style="6" bestFit="1" customWidth="1"/>
    <col min="12571" max="12571" width="7.42578125" style="6" bestFit="1" customWidth="1"/>
    <col min="12572" max="12572" width="6.7109375" style="6" customWidth="1"/>
    <col min="12573" max="12802" width="9" style="6"/>
    <col min="12803" max="12803" width="4.140625" style="6" customWidth="1"/>
    <col min="12804" max="12804" width="5" style="6" customWidth="1"/>
    <col min="12805" max="12805" width="9.42578125" style="6" customWidth="1"/>
    <col min="12806" max="12808" width="5" style="6" customWidth="1"/>
    <col min="12809" max="12809" width="5.85546875" style="6" customWidth="1"/>
    <col min="12810" max="12810" width="5" style="6" customWidth="1"/>
    <col min="12811" max="12816" width="7.42578125" style="6" customWidth="1"/>
    <col min="12817" max="12817" width="8.42578125" style="6" customWidth="1"/>
    <col min="12818" max="12819" width="6.7109375" style="6" customWidth="1"/>
    <col min="12820" max="12821" width="7.42578125" style="6" customWidth="1"/>
    <col min="12822" max="12823" width="6.7109375" style="6" customWidth="1"/>
    <col min="12824" max="12825" width="7.42578125" style="6" customWidth="1"/>
    <col min="12826" max="12826" width="8.28515625" style="6" bestFit="1" customWidth="1"/>
    <col min="12827" max="12827" width="7.42578125" style="6" bestFit="1" customWidth="1"/>
    <col min="12828" max="12828" width="6.7109375" style="6" customWidth="1"/>
    <col min="12829" max="13058" width="9" style="6"/>
    <col min="13059" max="13059" width="4.140625" style="6" customWidth="1"/>
    <col min="13060" max="13060" width="5" style="6" customWidth="1"/>
    <col min="13061" max="13061" width="9.42578125" style="6" customWidth="1"/>
    <col min="13062" max="13064" width="5" style="6" customWidth="1"/>
    <col min="13065" max="13065" width="5.85546875" style="6" customWidth="1"/>
    <col min="13066" max="13066" width="5" style="6" customWidth="1"/>
    <col min="13067" max="13072" width="7.42578125" style="6" customWidth="1"/>
    <col min="13073" max="13073" width="8.42578125" style="6" customWidth="1"/>
    <col min="13074" max="13075" width="6.7109375" style="6" customWidth="1"/>
    <col min="13076" max="13077" width="7.42578125" style="6" customWidth="1"/>
    <col min="13078" max="13079" width="6.7109375" style="6" customWidth="1"/>
    <col min="13080" max="13081" width="7.42578125" style="6" customWidth="1"/>
    <col min="13082" max="13082" width="8.28515625" style="6" bestFit="1" customWidth="1"/>
    <col min="13083" max="13083" width="7.42578125" style="6" bestFit="1" customWidth="1"/>
    <col min="13084" max="13084" width="6.7109375" style="6" customWidth="1"/>
    <col min="13085" max="13314" width="9" style="6"/>
    <col min="13315" max="13315" width="4.140625" style="6" customWidth="1"/>
    <col min="13316" max="13316" width="5" style="6" customWidth="1"/>
    <col min="13317" max="13317" width="9.42578125" style="6" customWidth="1"/>
    <col min="13318" max="13320" width="5" style="6" customWidth="1"/>
    <col min="13321" max="13321" width="5.85546875" style="6" customWidth="1"/>
    <col min="13322" max="13322" width="5" style="6" customWidth="1"/>
    <col min="13323" max="13328" width="7.42578125" style="6" customWidth="1"/>
    <col min="13329" max="13329" width="8.42578125" style="6" customWidth="1"/>
    <col min="13330" max="13331" width="6.7109375" style="6" customWidth="1"/>
    <col min="13332" max="13333" width="7.42578125" style="6" customWidth="1"/>
    <col min="13334" max="13335" width="6.7109375" style="6" customWidth="1"/>
    <col min="13336" max="13337" width="7.42578125" style="6" customWidth="1"/>
    <col min="13338" max="13338" width="8.28515625" style="6" bestFit="1" customWidth="1"/>
    <col min="13339" max="13339" width="7.42578125" style="6" bestFit="1" customWidth="1"/>
    <col min="13340" max="13340" width="6.7109375" style="6" customWidth="1"/>
    <col min="13341" max="13570" width="9" style="6"/>
    <col min="13571" max="13571" width="4.140625" style="6" customWidth="1"/>
    <col min="13572" max="13572" width="5" style="6" customWidth="1"/>
    <col min="13573" max="13573" width="9.42578125" style="6" customWidth="1"/>
    <col min="13574" max="13576" width="5" style="6" customWidth="1"/>
    <col min="13577" max="13577" width="5.85546875" style="6" customWidth="1"/>
    <col min="13578" max="13578" width="5" style="6" customWidth="1"/>
    <col min="13579" max="13584" width="7.42578125" style="6" customWidth="1"/>
    <col min="13585" max="13585" width="8.42578125" style="6" customWidth="1"/>
    <col min="13586" max="13587" width="6.7109375" style="6" customWidth="1"/>
    <col min="13588" max="13589" width="7.42578125" style="6" customWidth="1"/>
    <col min="13590" max="13591" width="6.7109375" style="6" customWidth="1"/>
    <col min="13592" max="13593" width="7.42578125" style="6" customWidth="1"/>
    <col min="13594" max="13594" width="8.28515625" style="6" bestFit="1" customWidth="1"/>
    <col min="13595" max="13595" width="7.42578125" style="6" bestFit="1" customWidth="1"/>
    <col min="13596" max="13596" width="6.7109375" style="6" customWidth="1"/>
    <col min="13597" max="13826" width="9" style="6"/>
    <col min="13827" max="13827" width="4.140625" style="6" customWidth="1"/>
    <col min="13828" max="13828" width="5" style="6" customWidth="1"/>
    <col min="13829" max="13829" width="9.42578125" style="6" customWidth="1"/>
    <col min="13830" max="13832" width="5" style="6" customWidth="1"/>
    <col min="13833" max="13833" width="5.85546875" style="6" customWidth="1"/>
    <col min="13834" max="13834" width="5" style="6" customWidth="1"/>
    <col min="13835" max="13840" width="7.42578125" style="6" customWidth="1"/>
    <col min="13841" max="13841" width="8.42578125" style="6" customWidth="1"/>
    <col min="13842" max="13843" width="6.7109375" style="6" customWidth="1"/>
    <col min="13844" max="13845" width="7.42578125" style="6" customWidth="1"/>
    <col min="13846" max="13847" width="6.7109375" style="6" customWidth="1"/>
    <col min="13848" max="13849" width="7.42578125" style="6" customWidth="1"/>
    <col min="13850" max="13850" width="8.28515625" style="6" bestFit="1" customWidth="1"/>
    <col min="13851" max="13851" width="7.42578125" style="6" bestFit="1" customWidth="1"/>
    <col min="13852" max="13852" width="6.7109375" style="6" customWidth="1"/>
    <col min="13853" max="14082" width="9" style="6"/>
    <col min="14083" max="14083" width="4.140625" style="6" customWidth="1"/>
    <col min="14084" max="14084" width="5" style="6" customWidth="1"/>
    <col min="14085" max="14085" width="9.42578125" style="6" customWidth="1"/>
    <col min="14086" max="14088" width="5" style="6" customWidth="1"/>
    <col min="14089" max="14089" width="5.85546875" style="6" customWidth="1"/>
    <col min="14090" max="14090" width="5" style="6" customWidth="1"/>
    <col min="14091" max="14096" width="7.42578125" style="6" customWidth="1"/>
    <col min="14097" max="14097" width="8.42578125" style="6" customWidth="1"/>
    <col min="14098" max="14099" width="6.7109375" style="6" customWidth="1"/>
    <col min="14100" max="14101" width="7.42578125" style="6" customWidth="1"/>
    <col min="14102" max="14103" width="6.7109375" style="6" customWidth="1"/>
    <col min="14104" max="14105" width="7.42578125" style="6" customWidth="1"/>
    <col min="14106" max="14106" width="8.28515625" style="6" bestFit="1" customWidth="1"/>
    <col min="14107" max="14107" width="7.42578125" style="6" bestFit="1" customWidth="1"/>
    <col min="14108" max="14108" width="6.7109375" style="6" customWidth="1"/>
    <col min="14109" max="14338" width="9" style="6"/>
    <col min="14339" max="14339" width="4.140625" style="6" customWidth="1"/>
    <col min="14340" max="14340" width="5" style="6" customWidth="1"/>
    <col min="14341" max="14341" width="9.42578125" style="6" customWidth="1"/>
    <col min="14342" max="14344" width="5" style="6" customWidth="1"/>
    <col min="14345" max="14345" width="5.85546875" style="6" customWidth="1"/>
    <col min="14346" max="14346" width="5" style="6" customWidth="1"/>
    <col min="14347" max="14352" width="7.42578125" style="6" customWidth="1"/>
    <col min="14353" max="14353" width="8.42578125" style="6" customWidth="1"/>
    <col min="14354" max="14355" width="6.7109375" style="6" customWidth="1"/>
    <col min="14356" max="14357" width="7.42578125" style="6" customWidth="1"/>
    <col min="14358" max="14359" width="6.7109375" style="6" customWidth="1"/>
    <col min="14360" max="14361" width="7.42578125" style="6" customWidth="1"/>
    <col min="14362" max="14362" width="8.28515625" style="6" bestFit="1" customWidth="1"/>
    <col min="14363" max="14363" width="7.42578125" style="6" bestFit="1" customWidth="1"/>
    <col min="14364" max="14364" width="6.7109375" style="6" customWidth="1"/>
    <col min="14365" max="14594" width="9" style="6"/>
    <col min="14595" max="14595" width="4.140625" style="6" customWidth="1"/>
    <col min="14596" max="14596" width="5" style="6" customWidth="1"/>
    <col min="14597" max="14597" width="9.42578125" style="6" customWidth="1"/>
    <col min="14598" max="14600" width="5" style="6" customWidth="1"/>
    <col min="14601" max="14601" width="5.85546875" style="6" customWidth="1"/>
    <col min="14602" max="14602" width="5" style="6" customWidth="1"/>
    <col min="14603" max="14608" width="7.42578125" style="6" customWidth="1"/>
    <col min="14609" max="14609" width="8.42578125" style="6" customWidth="1"/>
    <col min="14610" max="14611" width="6.7109375" style="6" customWidth="1"/>
    <col min="14612" max="14613" width="7.42578125" style="6" customWidth="1"/>
    <col min="14614" max="14615" width="6.7109375" style="6" customWidth="1"/>
    <col min="14616" max="14617" width="7.42578125" style="6" customWidth="1"/>
    <col min="14618" max="14618" width="8.28515625" style="6" bestFit="1" customWidth="1"/>
    <col min="14619" max="14619" width="7.42578125" style="6" bestFit="1" customWidth="1"/>
    <col min="14620" max="14620" width="6.7109375" style="6" customWidth="1"/>
    <col min="14621" max="14850" width="9" style="6"/>
    <col min="14851" max="14851" width="4.140625" style="6" customWidth="1"/>
    <col min="14852" max="14852" width="5" style="6" customWidth="1"/>
    <col min="14853" max="14853" width="9.42578125" style="6" customWidth="1"/>
    <col min="14854" max="14856" width="5" style="6" customWidth="1"/>
    <col min="14857" max="14857" width="5.85546875" style="6" customWidth="1"/>
    <col min="14858" max="14858" width="5" style="6" customWidth="1"/>
    <col min="14859" max="14864" width="7.42578125" style="6" customWidth="1"/>
    <col min="14865" max="14865" width="8.42578125" style="6" customWidth="1"/>
    <col min="14866" max="14867" width="6.7109375" style="6" customWidth="1"/>
    <col min="14868" max="14869" width="7.42578125" style="6" customWidth="1"/>
    <col min="14870" max="14871" width="6.7109375" style="6" customWidth="1"/>
    <col min="14872" max="14873" width="7.42578125" style="6" customWidth="1"/>
    <col min="14874" max="14874" width="8.28515625" style="6" bestFit="1" customWidth="1"/>
    <col min="14875" max="14875" width="7.42578125" style="6" bestFit="1" customWidth="1"/>
    <col min="14876" max="14876" width="6.7109375" style="6" customWidth="1"/>
    <col min="14877" max="15106" width="9" style="6"/>
    <col min="15107" max="15107" width="4.140625" style="6" customWidth="1"/>
    <col min="15108" max="15108" width="5" style="6" customWidth="1"/>
    <col min="15109" max="15109" width="9.42578125" style="6" customWidth="1"/>
    <col min="15110" max="15112" width="5" style="6" customWidth="1"/>
    <col min="15113" max="15113" width="5.85546875" style="6" customWidth="1"/>
    <col min="15114" max="15114" width="5" style="6" customWidth="1"/>
    <col min="15115" max="15120" width="7.42578125" style="6" customWidth="1"/>
    <col min="15121" max="15121" width="8.42578125" style="6" customWidth="1"/>
    <col min="15122" max="15123" width="6.7109375" style="6" customWidth="1"/>
    <col min="15124" max="15125" width="7.42578125" style="6" customWidth="1"/>
    <col min="15126" max="15127" width="6.7109375" style="6" customWidth="1"/>
    <col min="15128" max="15129" width="7.42578125" style="6" customWidth="1"/>
    <col min="15130" max="15130" width="8.28515625" style="6" bestFit="1" customWidth="1"/>
    <col min="15131" max="15131" width="7.42578125" style="6" bestFit="1" customWidth="1"/>
    <col min="15132" max="15132" width="6.7109375" style="6" customWidth="1"/>
    <col min="15133" max="15362" width="9" style="6"/>
    <col min="15363" max="15363" width="4.140625" style="6" customWidth="1"/>
    <col min="15364" max="15364" width="5" style="6" customWidth="1"/>
    <col min="15365" max="15365" width="9.42578125" style="6" customWidth="1"/>
    <col min="15366" max="15368" width="5" style="6" customWidth="1"/>
    <col min="15369" max="15369" width="5.85546875" style="6" customWidth="1"/>
    <col min="15370" max="15370" width="5" style="6" customWidth="1"/>
    <col min="15371" max="15376" width="7.42578125" style="6" customWidth="1"/>
    <col min="15377" max="15377" width="8.42578125" style="6" customWidth="1"/>
    <col min="15378" max="15379" width="6.7109375" style="6" customWidth="1"/>
    <col min="15380" max="15381" width="7.42578125" style="6" customWidth="1"/>
    <col min="15382" max="15383" width="6.7109375" style="6" customWidth="1"/>
    <col min="15384" max="15385" width="7.42578125" style="6" customWidth="1"/>
    <col min="15386" max="15386" width="8.28515625" style="6" bestFit="1" customWidth="1"/>
    <col min="15387" max="15387" width="7.42578125" style="6" bestFit="1" customWidth="1"/>
    <col min="15388" max="15388" width="6.7109375" style="6" customWidth="1"/>
    <col min="15389" max="15618" width="9" style="6"/>
    <col min="15619" max="15619" width="4.140625" style="6" customWidth="1"/>
    <col min="15620" max="15620" width="5" style="6" customWidth="1"/>
    <col min="15621" max="15621" width="9.42578125" style="6" customWidth="1"/>
    <col min="15622" max="15624" width="5" style="6" customWidth="1"/>
    <col min="15625" max="15625" width="5.85546875" style="6" customWidth="1"/>
    <col min="15626" max="15626" width="5" style="6" customWidth="1"/>
    <col min="15627" max="15632" width="7.42578125" style="6" customWidth="1"/>
    <col min="15633" max="15633" width="8.42578125" style="6" customWidth="1"/>
    <col min="15634" max="15635" width="6.7109375" style="6" customWidth="1"/>
    <col min="15636" max="15637" width="7.42578125" style="6" customWidth="1"/>
    <col min="15638" max="15639" width="6.7109375" style="6" customWidth="1"/>
    <col min="15640" max="15641" width="7.42578125" style="6" customWidth="1"/>
    <col min="15642" max="15642" width="8.28515625" style="6" bestFit="1" customWidth="1"/>
    <col min="15643" max="15643" width="7.42578125" style="6" bestFit="1" customWidth="1"/>
    <col min="15644" max="15644" width="6.7109375" style="6" customWidth="1"/>
    <col min="15645" max="15874" width="9" style="6"/>
    <col min="15875" max="15875" width="4.140625" style="6" customWidth="1"/>
    <col min="15876" max="15876" width="5" style="6" customWidth="1"/>
    <col min="15877" max="15877" width="9.42578125" style="6" customWidth="1"/>
    <col min="15878" max="15880" width="5" style="6" customWidth="1"/>
    <col min="15881" max="15881" width="5.85546875" style="6" customWidth="1"/>
    <col min="15882" max="15882" width="5" style="6" customWidth="1"/>
    <col min="15883" max="15888" width="7.42578125" style="6" customWidth="1"/>
    <col min="15889" max="15889" width="8.42578125" style="6" customWidth="1"/>
    <col min="15890" max="15891" width="6.7109375" style="6" customWidth="1"/>
    <col min="15892" max="15893" width="7.42578125" style="6" customWidth="1"/>
    <col min="15894" max="15895" width="6.7109375" style="6" customWidth="1"/>
    <col min="15896" max="15897" width="7.42578125" style="6" customWidth="1"/>
    <col min="15898" max="15898" width="8.28515625" style="6" bestFit="1" customWidth="1"/>
    <col min="15899" max="15899" width="7.42578125" style="6" bestFit="1" customWidth="1"/>
    <col min="15900" max="15900" width="6.7109375" style="6" customWidth="1"/>
    <col min="15901" max="16130" width="9" style="6"/>
    <col min="16131" max="16131" width="4.140625" style="6" customWidth="1"/>
    <col min="16132" max="16132" width="5" style="6" customWidth="1"/>
    <col min="16133" max="16133" width="9.42578125" style="6" customWidth="1"/>
    <col min="16134" max="16136" width="5" style="6" customWidth="1"/>
    <col min="16137" max="16137" width="5.85546875" style="6" customWidth="1"/>
    <col min="16138" max="16138" width="5" style="6" customWidth="1"/>
    <col min="16139" max="16144" width="7.42578125" style="6" customWidth="1"/>
    <col min="16145" max="16145" width="8.42578125" style="6" customWidth="1"/>
    <col min="16146" max="16147" width="6.7109375" style="6" customWidth="1"/>
    <col min="16148" max="16149" width="7.42578125" style="6" customWidth="1"/>
    <col min="16150" max="16151" width="6.7109375" style="6" customWidth="1"/>
    <col min="16152" max="16153" width="7.42578125" style="6" customWidth="1"/>
    <col min="16154" max="16154" width="8.28515625" style="6" bestFit="1" customWidth="1"/>
    <col min="16155" max="16155" width="7.42578125" style="6" bestFit="1" customWidth="1"/>
    <col min="16156" max="16156" width="6.7109375" style="6" customWidth="1"/>
    <col min="16157" max="16384" width="9" style="6"/>
  </cols>
  <sheetData>
    <row r="1" spans="1:28" s="52" customFormat="1" ht="30">
      <c r="A1" s="61" t="s">
        <v>180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4"/>
      <c r="M1" s="54"/>
      <c r="N1" s="54"/>
      <c r="O1" s="54"/>
      <c r="P1" s="54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52" customFormat="1" ht="30">
      <c r="A2" s="61" t="s">
        <v>179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4"/>
      <c r="M2" s="54"/>
      <c r="N2" s="54"/>
      <c r="O2" s="54"/>
      <c r="P2" s="54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</row>
    <row r="3" spans="1:28" s="52" customFormat="1" ht="15.75" customHeight="1">
      <c r="A3" s="60"/>
      <c r="B3" s="59"/>
      <c r="C3" s="59"/>
      <c r="D3" s="59"/>
      <c r="E3" s="59"/>
      <c r="F3" s="59"/>
      <c r="G3" s="59"/>
      <c r="H3" s="59"/>
      <c r="I3" s="58"/>
      <c r="J3" s="57"/>
      <c r="K3" s="57"/>
      <c r="L3" s="56"/>
      <c r="M3" s="54"/>
      <c r="N3" s="55"/>
      <c r="O3" s="55"/>
      <c r="P3" s="54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</row>
    <row r="4" spans="1:28" s="42" customFormat="1" ht="17.25">
      <c r="A4" s="231" t="s">
        <v>178</v>
      </c>
      <c r="B4" s="232" t="s">
        <v>177</v>
      </c>
      <c r="C4" s="233"/>
      <c r="D4" s="234"/>
      <c r="E4" s="234"/>
      <c r="F4" s="235"/>
      <c r="G4" s="236" t="s">
        <v>176</v>
      </c>
      <c r="H4" s="236"/>
      <c r="I4" s="237" t="s">
        <v>175</v>
      </c>
      <c r="J4" s="238"/>
      <c r="K4" s="289"/>
      <c r="L4" s="1674" t="s">
        <v>297</v>
      </c>
      <c r="M4" s="1674"/>
      <c r="N4" s="1674"/>
      <c r="O4" s="1675"/>
      <c r="P4" s="239" t="s">
        <v>173</v>
      </c>
      <c r="Q4" s="240" t="s">
        <v>172</v>
      </c>
      <c r="R4" s="1676" t="s">
        <v>171</v>
      </c>
      <c r="S4" s="1677"/>
      <c r="T4" s="1670" t="s">
        <v>170</v>
      </c>
      <c r="U4" s="1671"/>
      <c r="V4" s="240" t="s">
        <v>169</v>
      </c>
      <c r="W4" s="239" t="s">
        <v>168</v>
      </c>
      <c r="X4" s="241" t="s">
        <v>167</v>
      </c>
      <c r="Y4" s="241"/>
      <c r="Z4" s="242" t="s">
        <v>166</v>
      </c>
      <c r="AA4" s="239" t="s">
        <v>165</v>
      </c>
      <c r="AB4" s="242" t="s">
        <v>164</v>
      </c>
    </row>
    <row r="5" spans="1:28" s="42" customFormat="1" ht="17.25">
      <c r="A5" s="243"/>
      <c r="B5" s="244"/>
      <c r="C5" s="245"/>
      <c r="D5" s="245"/>
      <c r="E5" s="245"/>
      <c r="F5" s="246"/>
      <c r="G5" s="243" t="s">
        <v>163</v>
      </c>
      <c r="H5" s="243" t="s">
        <v>162</v>
      </c>
      <c r="I5" s="247"/>
      <c r="J5" s="248"/>
      <c r="K5" s="290"/>
      <c r="L5" s="247"/>
      <c r="M5" s="249"/>
      <c r="N5" s="249"/>
      <c r="O5" s="250"/>
      <c r="P5" s="251" t="s">
        <v>161</v>
      </c>
      <c r="Q5" s="252" t="s">
        <v>160</v>
      </c>
      <c r="R5" s="253" t="s">
        <v>159</v>
      </c>
      <c r="S5" s="253" t="s">
        <v>158</v>
      </c>
      <c r="T5" s="1672" t="s">
        <v>157</v>
      </c>
      <c r="U5" s="1673"/>
      <c r="V5" s="254"/>
      <c r="W5" s="251"/>
      <c r="X5" s="251" t="s">
        <v>156</v>
      </c>
      <c r="Y5" s="251" t="s">
        <v>155</v>
      </c>
      <c r="Z5" s="255" t="s">
        <v>154</v>
      </c>
      <c r="AA5" s="256" t="s">
        <v>153</v>
      </c>
      <c r="AB5" s="257"/>
    </row>
    <row r="6" spans="1:28" s="42" customFormat="1" ht="17.25">
      <c r="A6" s="243"/>
      <c r="B6" s="1678" t="s">
        <v>263</v>
      </c>
      <c r="C6" s="1679"/>
      <c r="D6" s="245"/>
      <c r="E6" s="245"/>
      <c r="F6" s="246"/>
      <c r="G6" s="243"/>
      <c r="H6" s="243"/>
      <c r="I6" s="258" t="s">
        <v>152</v>
      </c>
      <c r="J6" s="259" t="s">
        <v>151</v>
      </c>
      <c r="K6" s="260" t="s">
        <v>321</v>
      </c>
      <c r="L6" s="258" t="s">
        <v>150</v>
      </c>
      <c r="M6" s="260" t="s">
        <v>149</v>
      </c>
      <c r="N6" s="259" t="s">
        <v>148</v>
      </c>
      <c r="O6" s="261" t="s">
        <v>147</v>
      </c>
      <c r="P6" s="251"/>
      <c r="Q6" s="252"/>
      <c r="R6" s="262" t="s">
        <v>146</v>
      </c>
      <c r="S6" s="263" t="s">
        <v>145</v>
      </c>
      <c r="T6" s="264"/>
      <c r="U6" s="265"/>
      <c r="V6" s="254"/>
      <c r="W6" s="251"/>
      <c r="X6" s="251"/>
      <c r="Y6" s="251"/>
      <c r="Z6" s="256" t="s">
        <v>144</v>
      </c>
      <c r="AA6" s="257"/>
      <c r="AB6" s="257"/>
    </row>
    <row r="7" spans="1:28" s="42" customFormat="1" ht="17.25">
      <c r="A7" s="243"/>
      <c r="B7" s="244"/>
      <c r="C7" s="245"/>
      <c r="D7" s="245"/>
      <c r="E7" s="245"/>
      <c r="F7" s="246"/>
      <c r="G7" s="243"/>
      <c r="H7" s="243"/>
      <c r="I7" s="258" t="s">
        <v>143</v>
      </c>
      <c r="J7" s="259" t="s">
        <v>142</v>
      </c>
      <c r="K7" s="260" t="s">
        <v>322</v>
      </c>
      <c r="L7" s="258" t="s">
        <v>141</v>
      </c>
      <c r="M7" s="260" t="s">
        <v>140</v>
      </c>
      <c r="N7" s="259" t="s">
        <v>139</v>
      </c>
      <c r="O7" s="261" t="s">
        <v>138</v>
      </c>
      <c r="P7" s="251"/>
      <c r="Q7" s="251"/>
      <c r="R7" s="253"/>
      <c r="S7" s="253" t="s">
        <v>137</v>
      </c>
      <c r="T7" s="264"/>
      <c r="U7" s="265"/>
      <c r="V7" s="251"/>
      <c r="W7" s="251"/>
      <c r="X7" s="251"/>
      <c r="Y7" s="251"/>
      <c r="Z7" s="255"/>
      <c r="AA7" s="255"/>
      <c r="AB7" s="257"/>
    </row>
    <row r="8" spans="1:28" s="42" customFormat="1" ht="17.25">
      <c r="A8" s="243"/>
      <c r="B8" s="244"/>
      <c r="C8" s="245"/>
      <c r="D8" s="245" t="s">
        <v>136</v>
      </c>
      <c r="E8" s="245" t="s">
        <v>135</v>
      </c>
      <c r="F8" s="246" t="s">
        <v>134</v>
      </c>
      <c r="G8" s="243"/>
      <c r="H8" s="243"/>
      <c r="I8" s="266">
        <v>0.222</v>
      </c>
      <c r="J8" s="267">
        <v>0.499</v>
      </c>
      <c r="K8" s="268">
        <v>2.226</v>
      </c>
      <c r="L8" s="266">
        <v>0.88800000000000001</v>
      </c>
      <c r="M8" s="268">
        <v>1.5780000000000001</v>
      </c>
      <c r="N8" s="267">
        <v>2.4660000000000002</v>
      </c>
      <c r="O8" s="269">
        <v>3.8530000000000002</v>
      </c>
      <c r="P8" s="251"/>
      <c r="Q8" s="251"/>
      <c r="R8" s="253"/>
      <c r="S8" s="253"/>
      <c r="T8" s="270"/>
      <c r="U8" s="265"/>
      <c r="V8" s="251"/>
      <c r="W8" s="251"/>
      <c r="X8" s="251"/>
      <c r="Y8" s="251"/>
      <c r="Z8" s="257"/>
      <c r="AA8" s="257"/>
      <c r="AB8" s="257"/>
    </row>
    <row r="9" spans="1:28" s="42" customFormat="1" ht="17.25">
      <c r="A9" s="271"/>
      <c r="B9" s="272"/>
      <c r="C9" s="273"/>
      <c r="D9" s="273" t="s">
        <v>133</v>
      </c>
      <c r="E9" s="273" t="s">
        <v>133</v>
      </c>
      <c r="F9" s="274" t="s">
        <v>133</v>
      </c>
      <c r="G9" s="271"/>
      <c r="H9" s="271"/>
      <c r="I9" s="275" t="s">
        <v>131</v>
      </c>
      <c r="J9" s="276" t="s">
        <v>131</v>
      </c>
      <c r="K9" s="277" t="s">
        <v>131</v>
      </c>
      <c r="L9" s="275" t="s">
        <v>131</v>
      </c>
      <c r="M9" s="277" t="s">
        <v>131</v>
      </c>
      <c r="N9" s="276" t="s">
        <v>131</v>
      </c>
      <c r="O9" s="278" t="s">
        <v>131</v>
      </c>
      <c r="P9" s="279" t="s">
        <v>131</v>
      </c>
      <c r="Q9" s="279" t="s">
        <v>129</v>
      </c>
      <c r="R9" s="280" t="s">
        <v>130</v>
      </c>
      <c r="S9" s="280" t="s">
        <v>130</v>
      </c>
      <c r="T9" s="301" t="s">
        <v>128</v>
      </c>
      <c r="U9" s="301" t="s">
        <v>132</v>
      </c>
      <c r="V9" s="279" t="s">
        <v>131</v>
      </c>
      <c r="W9" s="280" t="s">
        <v>130</v>
      </c>
      <c r="X9" s="280" t="s">
        <v>130</v>
      </c>
      <c r="Y9" s="280" t="s">
        <v>130</v>
      </c>
      <c r="Z9" s="279" t="s">
        <v>129</v>
      </c>
      <c r="AA9" s="279" t="s">
        <v>128</v>
      </c>
      <c r="AB9" s="279" t="s">
        <v>128</v>
      </c>
    </row>
    <row r="10" spans="1:28" s="42" customFormat="1" ht="17.25">
      <c r="A10" s="51"/>
      <c r="B10" s="1652" t="s">
        <v>296</v>
      </c>
      <c r="C10" s="1653"/>
      <c r="D10" s="1653"/>
      <c r="E10" s="1653"/>
      <c r="F10" s="50"/>
      <c r="G10" s="49"/>
      <c r="H10" s="49"/>
      <c r="I10" s="47"/>
      <c r="J10" s="48"/>
      <c r="K10" s="45"/>
      <c r="L10" s="47"/>
      <c r="M10" s="45"/>
      <c r="N10" s="45"/>
      <c r="O10" s="46"/>
      <c r="P10" s="43"/>
      <c r="Q10" s="43"/>
      <c r="R10" s="44"/>
      <c r="S10" s="44"/>
      <c r="T10" s="302"/>
      <c r="U10" s="302"/>
      <c r="V10" s="43"/>
      <c r="W10" s="44"/>
      <c r="X10" s="44"/>
      <c r="Y10" s="44"/>
      <c r="Z10" s="43"/>
      <c r="AA10" s="43"/>
      <c r="AB10" s="43"/>
    </row>
    <row r="11" spans="1:28" ht="21.95" customHeight="1">
      <c r="A11" s="306"/>
      <c r="B11" s="40" t="s">
        <v>127</v>
      </c>
      <c r="C11" s="39"/>
      <c r="D11" s="29">
        <v>1.3</v>
      </c>
      <c r="E11" s="29">
        <v>1.3</v>
      </c>
      <c r="F11" s="28">
        <v>1.5</v>
      </c>
      <c r="G11" s="305">
        <v>8</v>
      </c>
      <c r="H11" s="26" t="s">
        <v>115</v>
      </c>
      <c r="I11" s="24"/>
      <c r="J11" s="23"/>
      <c r="K11" s="21"/>
      <c r="L11" s="24">
        <f>((F11+D11+F11)*8+(F11+E11+F11)*8)*G11*L8+((D11*2+E11*2)*2*G11)*L8</f>
        <v>562.63679999999999</v>
      </c>
      <c r="M11" s="21"/>
      <c r="N11" s="38"/>
      <c r="O11" s="25">
        <f>(F11+D11+F11)*E11/0.2+(10*E11)*G11*O8</f>
        <v>428.66200000000003</v>
      </c>
      <c r="P11" s="20">
        <f>SUM(I11:O11)</f>
        <v>991.29880000000003</v>
      </c>
      <c r="Q11" s="20">
        <f>(P11*0.03)</f>
        <v>29.738963999999999</v>
      </c>
      <c r="R11" s="20">
        <f>D11*E11*0.1*G11</f>
        <v>1.3520000000000003</v>
      </c>
      <c r="S11" s="20">
        <f>D11*E11*F11*G11</f>
        <v>20.28</v>
      </c>
      <c r="T11" s="300">
        <f>((D11*F11)*2+(E11*F11)*2)*G11</f>
        <v>62.400000000000006</v>
      </c>
      <c r="U11" s="300">
        <f>(T11*0.03)*10.764</f>
        <v>20.150207999999999</v>
      </c>
      <c r="V11" s="20">
        <f>T11*0.25</f>
        <v>15.600000000000001</v>
      </c>
      <c r="W11" s="20">
        <f>(D11*E11*0.1)*G11</f>
        <v>1.3520000000000003</v>
      </c>
      <c r="X11" s="20">
        <f>((D11*E11)*F11)*G11</f>
        <v>20.28</v>
      </c>
      <c r="Y11" s="20">
        <v>0</v>
      </c>
      <c r="Z11" s="20">
        <f>G11*1</f>
        <v>8</v>
      </c>
      <c r="AA11" s="20">
        <v>0</v>
      </c>
      <c r="AB11" s="20">
        <v>0</v>
      </c>
    </row>
    <row r="12" spans="1:28" ht="21.95" customHeight="1">
      <c r="A12" s="306"/>
      <c r="B12" s="40" t="s">
        <v>126</v>
      </c>
      <c r="C12" s="39"/>
      <c r="D12" s="29">
        <v>2.4</v>
      </c>
      <c r="E12" s="29">
        <v>2.4</v>
      </c>
      <c r="F12" s="28">
        <v>1.1000000000000001</v>
      </c>
      <c r="G12" s="305">
        <v>8</v>
      </c>
      <c r="H12" s="26" t="s">
        <v>115</v>
      </c>
      <c r="I12" s="24"/>
      <c r="J12" s="23"/>
      <c r="K12" s="21"/>
      <c r="L12" s="24"/>
      <c r="M12" s="41"/>
      <c r="N12" s="23"/>
      <c r="O12" s="25">
        <f>(F12+D12+F12)*E12/0.2+(10*E12)*G12*O8</f>
        <v>794.97600000000011</v>
      </c>
      <c r="P12" s="20">
        <f>SUM(I12:O12)</f>
        <v>794.97600000000011</v>
      </c>
      <c r="Q12" s="20">
        <f>(P12*0.03)</f>
        <v>23.849280000000004</v>
      </c>
      <c r="R12" s="20">
        <f>D12*E12*0.1*G12</f>
        <v>4.6079999999999997</v>
      </c>
      <c r="S12" s="20">
        <f>D12*E12*F12*G12</f>
        <v>50.688000000000002</v>
      </c>
      <c r="T12" s="20">
        <f>((D12*F12)*2+(E12*F12)*2)*G12</f>
        <v>84.48</v>
      </c>
      <c r="U12" s="20">
        <f>(T12*0.03)*10.764</f>
        <v>27.280281600000002</v>
      </c>
      <c r="V12" s="20">
        <f>T12*0.25</f>
        <v>21.12</v>
      </c>
      <c r="W12" s="20">
        <f>(D12*E12*0.1)*G12</f>
        <v>4.6079999999999997</v>
      </c>
      <c r="X12" s="20">
        <f>((D12*E12)*F12)*G12</f>
        <v>50.688000000000002</v>
      </c>
      <c r="Y12" s="20"/>
      <c r="Z12" s="20">
        <f>G12*3</f>
        <v>24</v>
      </c>
      <c r="AA12" s="20">
        <v>0</v>
      </c>
      <c r="AB12" s="20">
        <v>0</v>
      </c>
    </row>
    <row r="13" spans="1:28" ht="21.95" customHeight="1">
      <c r="A13" s="306"/>
      <c r="B13" s="40" t="s">
        <v>125</v>
      </c>
      <c r="C13" s="39"/>
      <c r="D13" s="29">
        <v>2.8</v>
      </c>
      <c r="E13" s="29">
        <v>2.8</v>
      </c>
      <c r="F13" s="28">
        <v>1.6</v>
      </c>
      <c r="G13" s="305">
        <v>8</v>
      </c>
      <c r="H13" s="26" t="s">
        <v>115</v>
      </c>
      <c r="I13" s="24"/>
      <c r="J13" s="23"/>
      <c r="K13" s="21"/>
      <c r="L13" s="24"/>
      <c r="M13" s="21"/>
      <c r="N13" s="38"/>
      <c r="O13" s="25">
        <f>(F13+D13+F13)*E13/0.2+(10*E13)*G13*O8</f>
        <v>947.072</v>
      </c>
      <c r="P13" s="20">
        <f>SUM(I13:O13)</f>
        <v>947.072</v>
      </c>
      <c r="Q13" s="20">
        <f>(P13*0.03)</f>
        <v>28.41216</v>
      </c>
      <c r="R13" s="20">
        <f>D13*E13*0.1*G13</f>
        <v>6.2719999999999994</v>
      </c>
      <c r="S13" s="20">
        <f>D13*E13*F13*G13</f>
        <v>100.35199999999999</v>
      </c>
      <c r="T13" s="20">
        <f>((D13*F13)*2+(E13*F13)*2)*G13</f>
        <v>143.35999999999999</v>
      </c>
      <c r="U13" s="20">
        <f>(T13*0.03)*10.764</f>
        <v>46.293811199999993</v>
      </c>
      <c r="V13" s="20">
        <f>T13*0.25</f>
        <v>35.839999999999996</v>
      </c>
      <c r="W13" s="20">
        <f>(D13*E13*0.1)*G13</f>
        <v>6.2719999999999994</v>
      </c>
      <c r="X13" s="20">
        <f>((D13*E13)*F13)*G13</f>
        <v>100.35199999999999</v>
      </c>
      <c r="Y13" s="20"/>
      <c r="Z13" s="20">
        <f>G13*4</f>
        <v>32</v>
      </c>
      <c r="AA13" s="20">
        <v>0</v>
      </c>
      <c r="AB13" s="20">
        <v>0</v>
      </c>
    </row>
    <row r="14" spans="1:28" ht="21.95" customHeight="1">
      <c r="A14" s="306"/>
      <c r="B14" s="40" t="s">
        <v>124</v>
      </c>
      <c r="C14" s="39"/>
      <c r="D14" s="29">
        <v>3.1</v>
      </c>
      <c r="E14" s="29">
        <v>3.1</v>
      </c>
      <c r="F14" s="28">
        <v>1.7</v>
      </c>
      <c r="G14" s="305">
        <v>3</v>
      </c>
      <c r="H14" s="26" t="s">
        <v>115</v>
      </c>
      <c r="I14" s="24"/>
      <c r="J14" s="23"/>
      <c r="K14" s="21"/>
      <c r="L14" s="24"/>
      <c r="M14" s="21"/>
      <c r="N14" s="38"/>
      <c r="O14" s="25">
        <f>(F14+D14+F14)*E14/0.2+(10*E14)*G14*O8</f>
        <v>459.07900000000001</v>
      </c>
      <c r="P14" s="20">
        <f>SUM(I14:O14)</f>
        <v>459.07900000000001</v>
      </c>
      <c r="Q14" s="20">
        <f>(P14*0.03)</f>
        <v>13.77237</v>
      </c>
      <c r="R14" s="20">
        <f>D14*E14*0.1*G14</f>
        <v>2.8830000000000005</v>
      </c>
      <c r="S14" s="20">
        <f>D14*E14*F14*G14</f>
        <v>49.01100000000001</v>
      </c>
      <c r="T14" s="20">
        <f>((D14*F14)*2+(E14*F14)*2)*G14</f>
        <v>63.239999999999995</v>
      </c>
      <c r="U14" s="20">
        <f>(T14*0.03)*10.764</f>
        <v>20.421460799999995</v>
      </c>
      <c r="V14" s="20">
        <f>T14*0.25</f>
        <v>15.809999999999999</v>
      </c>
      <c r="W14" s="20">
        <f>(D14*E14*0.1)*G14</f>
        <v>2.8830000000000005</v>
      </c>
      <c r="X14" s="20">
        <f>((D14*E14)*F14)*G14</f>
        <v>49.01100000000001</v>
      </c>
      <c r="Y14" s="20"/>
      <c r="Z14" s="20">
        <f>G14*5</f>
        <v>15</v>
      </c>
      <c r="AA14" s="20">
        <v>0</v>
      </c>
      <c r="AB14" s="20">
        <v>0</v>
      </c>
    </row>
    <row r="15" spans="1:28" ht="21.95" customHeight="1">
      <c r="A15" s="306"/>
      <c r="B15" s="40" t="s">
        <v>123</v>
      </c>
      <c r="C15" s="39"/>
      <c r="D15" s="29">
        <v>3.3</v>
      </c>
      <c r="E15" s="29">
        <v>3.3</v>
      </c>
      <c r="F15" s="28">
        <v>1</v>
      </c>
      <c r="G15" s="305">
        <v>3</v>
      </c>
      <c r="H15" s="26" t="s">
        <v>115</v>
      </c>
      <c r="I15" s="24"/>
      <c r="J15" s="23"/>
      <c r="K15" s="21"/>
      <c r="L15" s="24"/>
      <c r="M15" s="21"/>
      <c r="N15" s="38"/>
      <c r="O15" s="25">
        <f>(F15+D15+F15)*E15/0.2+(10*E15)*G15*O8</f>
        <v>468.89699999999999</v>
      </c>
      <c r="P15" s="20">
        <f>SUM(I15:O15)</f>
        <v>468.89699999999999</v>
      </c>
      <c r="Q15" s="20">
        <f>(P15*0.03)</f>
        <v>14.06691</v>
      </c>
      <c r="R15" s="20">
        <f>D15*E15*0.1*G15</f>
        <v>3.2669999999999999</v>
      </c>
      <c r="S15" s="20">
        <f>D15*E15*F15*G15</f>
        <v>32.669999999999995</v>
      </c>
      <c r="T15" s="20">
        <f>((D15*F15)*2+(E15*F15)*2)*G15</f>
        <v>39.599999999999994</v>
      </c>
      <c r="U15" s="20">
        <f>(T15*0.03)*10.764</f>
        <v>12.787631999999997</v>
      </c>
      <c r="V15" s="20">
        <f>T15*0.25</f>
        <v>9.8999999999999986</v>
      </c>
      <c r="W15" s="20">
        <f>(D15*E15*0.1)*G15</f>
        <v>3.2669999999999999</v>
      </c>
      <c r="X15" s="20">
        <f>((D15*E15)*F15)*G15</f>
        <v>32.669999999999995</v>
      </c>
      <c r="Y15" s="20"/>
      <c r="Z15" s="20">
        <f>G15*6</f>
        <v>18</v>
      </c>
      <c r="AA15" s="20">
        <v>0</v>
      </c>
      <c r="AB15" s="20">
        <v>0</v>
      </c>
    </row>
    <row r="16" spans="1:28" ht="21.95" customHeight="1">
      <c r="A16" s="37"/>
      <c r="B16" s="40" t="s">
        <v>265</v>
      </c>
      <c r="C16" s="39"/>
      <c r="D16" s="29"/>
      <c r="E16" s="29"/>
      <c r="F16" s="28"/>
      <c r="G16" s="26"/>
      <c r="H16" s="26"/>
      <c r="I16" s="24"/>
      <c r="J16" s="21"/>
      <c r="K16" s="21"/>
      <c r="L16" s="24"/>
      <c r="M16" s="21"/>
      <c r="N16" s="23"/>
      <c r="O16" s="25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28" ht="21.95" customHeight="1">
      <c r="A17" s="37"/>
      <c r="B17" s="40" t="s">
        <v>122</v>
      </c>
      <c r="C17" s="39"/>
      <c r="D17" s="29">
        <v>0.2</v>
      </c>
      <c r="E17" s="29">
        <v>0.2</v>
      </c>
      <c r="F17" s="28">
        <v>1</v>
      </c>
      <c r="G17" s="26">
        <v>11</v>
      </c>
      <c r="H17" s="26" t="s">
        <v>115</v>
      </c>
      <c r="I17" s="21">
        <f>(((D17+E17+D17+E17)*F17/0.2)*G17)*I8</f>
        <v>9.7680000000000007</v>
      </c>
      <c r="J17" s="21"/>
      <c r="K17" s="21"/>
      <c r="L17" s="24"/>
      <c r="M17" s="23"/>
      <c r="N17" s="23"/>
      <c r="O17" s="25">
        <f>(G17*4)*O8</f>
        <v>169.53200000000001</v>
      </c>
      <c r="P17" s="20">
        <f t="shared" ref="P17:P23" si="0">SUM(I17:O17)</f>
        <v>179.3</v>
      </c>
      <c r="Q17" s="20">
        <f t="shared" ref="Q17:Q23" si="1">(P17*0.03)</f>
        <v>5.3790000000000004</v>
      </c>
      <c r="R17" s="20"/>
      <c r="S17" s="20">
        <f t="shared" ref="S17:S23" si="2">(D17*E17*F17)*G17</f>
        <v>0.44000000000000006</v>
      </c>
      <c r="T17" s="20">
        <f t="shared" ref="T17:T23" si="3">(D17+E17+E17+D17)*G17</f>
        <v>8.8000000000000007</v>
      </c>
      <c r="U17" s="20">
        <f t="shared" ref="U17:U23" si="4">(T17*0.03)*10.764</f>
        <v>2.8416959999999998</v>
      </c>
      <c r="V17" s="20">
        <f t="shared" ref="V17:V23" si="5">(T17+U17)*0.25</f>
        <v>2.9104239999999999</v>
      </c>
      <c r="W17" s="20"/>
      <c r="X17" s="20">
        <v>0</v>
      </c>
      <c r="Y17" s="20">
        <v>0</v>
      </c>
      <c r="Z17" s="20">
        <v>0</v>
      </c>
      <c r="AA17" s="20">
        <v>0</v>
      </c>
      <c r="AB17" s="20">
        <v>0</v>
      </c>
    </row>
    <row r="18" spans="1:28" ht="21.95" customHeight="1">
      <c r="A18" s="37"/>
      <c r="B18" s="40" t="s">
        <v>121</v>
      </c>
      <c r="C18" s="39"/>
      <c r="D18" s="29">
        <v>0.4</v>
      </c>
      <c r="E18" s="29">
        <v>0.6</v>
      </c>
      <c r="F18" s="28">
        <v>1</v>
      </c>
      <c r="G18" s="26">
        <v>9</v>
      </c>
      <c r="H18" s="26" t="s">
        <v>115</v>
      </c>
      <c r="I18" s="21">
        <f>(((D18+E18+D18+E18)*F18/0.29)*G18)*4*I8</f>
        <v>55.11724137931035</v>
      </c>
      <c r="J18" s="21"/>
      <c r="K18" s="21"/>
      <c r="L18" s="24"/>
      <c r="M18" s="23"/>
      <c r="N18" s="23"/>
      <c r="O18" s="25">
        <f>(G18*12)*O8</f>
        <v>416.12400000000002</v>
      </c>
      <c r="P18" s="20">
        <f t="shared" si="0"/>
        <v>471.2412413793104</v>
      </c>
      <c r="Q18" s="20">
        <f t="shared" si="1"/>
        <v>14.137237241379312</v>
      </c>
      <c r="R18" s="20"/>
      <c r="S18" s="20">
        <f t="shared" si="2"/>
        <v>2.16</v>
      </c>
      <c r="T18" s="20">
        <f t="shared" si="3"/>
        <v>18</v>
      </c>
      <c r="U18" s="20">
        <f t="shared" si="4"/>
        <v>5.8125600000000004</v>
      </c>
      <c r="V18" s="20">
        <f t="shared" si="5"/>
        <v>5.9531400000000003</v>
      </c>
      <c r="W18" s="20"/>
      <c r="X18" s="20">
        <v>0</v>
      </c>
      <c r="Y18" s="20">
        <v>0</v>
      </c>
      <c r="Z18" s="20">
        <v>0</v>
      </c>
      <c r="AA18" s="20">
        <v>0</v>
      </c>
      <c r="AB18" s="20">
        <v>0</v>
      </c>
    </row>
    <row r="19" spans="1:28" ht="21.95" customHeight="1">
      <c r="A19" s="37"/>
      <c r="B19" s="40" t="s">
        <v>120</v>
      </c>
      <c r="C19" s="39"/>
      <c r="D19" s="29">
        <v>0.4</v>
      </c>
      <c r="E19" s="29">
        <v>0.6</v>
      </c>
      <c r="F19" s="28">
        <v>1</v>
      </c>
      <c r="G19" s="26">
        <v>3</v>
      </c>
      <c r="H19" s="26" t="s">
        <v>115</v>
      </c>
      <c r="I19" s="21">
        <f>(((D19+E19+D19+E19)*F19/0.29)*G19)*4*I8</f>
        <v>18.372413793103448</v>
      </c>
      <c r="J19" s="21"/>
      <c r="K19" s="21"/>
      <c r="L19" s="24"/>
      <c r="M19" s="23"/>
      <c r="N19" s="23"/>
      <c r="O19" s="25">
        <f>(G19*12)*O8</f>
        <v>138.708</v>
      </c>
      <c r="P19" s="20">
        <f t="shared" si="0"/>
        <v>157.08041379310345</v>
      </c>
      <c r="Q19" s="20">
        <f t="shared" si="1"/>
        <v>4.7124124137931034</v>
      </c>
      <c r="R19" s="20"/>
      <c r="S19" s="20">
        <f t="shared" si="2"/>
        <v>0.72</v>
      </c>
      <c r="T19" s="20">
        <f t="shared" si="3"/>
        <v>6</v>
      </c>
      <c r="U19" s="20">
        <f t="shared" si="4"/>
        <v>1.9375199999999999</v>
      </c>
      <c r="V19" s="20">
        <f t="shared" si="5"/>
        <v>1.98438</v>
      </c>
      <c r="W19" s="20"/>
      <c r="X19" s="20">
        <v>0</v>
      </c>
      <c r="Y19" s="20">
        <v>0</v>
      </c>
      <c r="Z19" s="20">
        <v>0</v>
      </c>
      <c r="AA19" s="20">
        <v>0</v>
      </c>
      <c r="AB19" s="20">
        <v>0</v>
      </c>
    </row>
    <row r="20" spans="1:28" ht="21.95" customHeight="1">
      <c r="A20" s="37"/>
      <c r="B20" s="40" t="s">
        <v>119</v>
      </c>
      <c r="C20" s="39"/>
      <c r="D20" s="29">
        <v>0.4</v>
      </c>
      <c r="E20" s="29">
        <v>0.6</v>
      </c>
      <c r="F20" s="28">
        <v>1</v>
      </c>
      <c r="G20" s="26">
        <v>24</v>
      </c>
      <c r="H20" s="26" t="s">
        <v>115</v>
      </c>
      <c r="I20" s="21">
        <f>(((D20+E20+D20+E20)*F20/0.29)*G20)*4*I8</f>
        <v>146.97931034482758</v>
      </c>
      <c r="J20" s="21"/>
      <c r="K20" s="21"/>
      <c r="L20" s="24"/>
      <c r="M20" s="23"/>
      <c r="N20" s="23"/>
      <c r="O20" s="25">
        <f>(G20*14)*O8</f>
        <v>1294.6080000000002</v>
      </c>
      <c r="P20" s="20">
        <f t="shared" si="0"/>
        <v>1441.5873103448278</v>
      </c>
      <c r="Q20" s="20">
        <f t="shared" si="1"/>
        <v>43.247619310344831</v>
      </c>
      <c r="R20" s="20"/>
      <c r="S20" s="20">
        <f t="shared" si="2"/>
        <v>5.76</v>
      </c>
      <c r="T20" s="20">
        <f t="shared" si="3"/>
        <v>48</v>
      </c>
      <c r="U20" s="20">
        <f t="shared" si="4"/>
        <v>15.500159999999999</v>
      </c>
      <c r="V20" s="20">
        <f t="shared" si="5"/>
        <v>15.87504</v>
      </c>
      <c r="W20" s="20"/>
      <c r="X20" s="20">
        <v>0</v>
      </c>
      <c r="Y20" s="20">
        <v>0</v>
      </c>
      <c r="Z20" s="20">
        <v>0</v>
      </c>
      <c r="AA20" s="20">
        <v>0</v>
      </c>
      <c r="AB20" s="20">
        <v>0</v>
      </c>
    </row>
    <row r="21" spans="1:28" ht="21.95" customHeight="1">
      <c r="A21" s="37"/>
      <c r="B21" s="40" t="s">
        <v>118</v>
      </c>
      <c r="C21" s="39"/>
      <c r="D21" s="29">
        <v>0.4</v>
      </c>
      <c r="E21" s="29">
        <v>0.6</v>
      </c>
      <c r="F21" s="28">
        <v>1</v>
      </c>
      <c r="G21" s="26">
        <v>12</v>
      </c>
      <c r="H21" s="26" t="s">
        <v>115</v>
      </c>
      <c r="I21" s="21">
        <f>(((D21+E21+D21+E21)*F21/0.29)*G21)*4*I8</f>
        <v>73.489655172413791</v>
      </c>
      <c r="J21" s="21"/>
      <c r="K21" s="21"/>
      <c r="L21" s="24"/>
      <c r="M21" s="23"/>
      <c r="N21" s="23"/>
      <c r="O21" s="25">
        <f>(G21*12)*O8</f>
        <v>554.83199999999999</v>
      </c>
      <c r="P21" s="20">
        <f t="shared" si="0"/>
        <v>628.32165517241378</v>
      </c>
      <c r="Q21" s="20">
        <f t="shared" si="1"/>
        <v>18.849649655172414</v>
      </c>
      <c r="R21" s="20"/>
      <c r="S21" s="20">
        <f t="shared" si="2"/>
        <v>2.88</v>
      </c>
      <c r="T21" s="20">
        <f t="shared" si="3"/>
        <v>24</v>
      </c>
      <c r="U21" s="20">
        <f t="shared" si="4"/>
        <v>7.7500799999999996</v>
      </c>
      <c r="V21" s="20">
        <f t="shared" si="5"/>
        <v>7.9375200000000001</v>
      </c>
      <c r="W21" s="20"/>
      <c r="X21" s="20">
        <v>0</v>
      </c>
      <c r="Y21" s="20">
        <v>0</v>
      </c>
      <c r="Z21" s="20">
        <v>0</v>
      </c>
      <c r="AA21" s="20">
        <v>0</v>
      </c>
      <c r="AB21" s="20">
        <v>0</v>
      </c>
    </row>
    <row r="22" spans="1:28" ht="21.95" customHeight="1">
      <c r="A22" s="37"/>
      <c r="B22" s="40" t="s">
        <v>117</v>
      </c>
      <c r="C22" s="39"/>
      <c r="D22" s="29">
        <v>0.4</v>
      </c>
      <c r="E22" s="29">
        <v>0.6</v>
      </c>
      <c r="F22" s="28">
        <v>1</v>
      </c>
      <c r="G22" s="26">
        <v>34</v>
      </c>
      <c r="H22" s="26" t="s">
        <v>115</v>
      </c>
      <c r="I22" s="21">
        <f>(((D22+E22+D22+E22)*F22/0.29)*G22)*4*I8</f>
        <v>208.22068965517244</v>
      </c>
      <c r="J22" s="21"/>
      <c r="K22" s="21"/>
      <c r="L22" s="24"/>
      <c r="M22" s="23"/>
      <c r="N22" s="23"/>
      <c r="O22" s="25">
        <f>(G22*14)*O8</f>
        <v>1834.028</v>
      </c>
      <c r="P22" s="20">
        <f t="shared" si="0"/>
        <v>2042.2486896551725</v>
      </c>
      <c r="Q22" s="20">
        <f t="shared" si="1"/>
        <v>61.267460689655174</v>
      </c>
      <c r="R22" s="20"/>
      <c r="S22" s="20">
        <f t="shared" si="2"/>
        <v>8.16</v>
      </c>
      <c r="T22" s="20">
        <f t="shared" si="3"/>
        <v>68</v>
      </c>
      <c r="U22" s="20">
        <f t="shared" si="4"/>
        <v>21.958559999999999</v>
      </c>
      <c r="V22" s="20">
        <f t="shared" si="5"/>
        <v>22.489640000000001</v>
      </c>
      <c r="W22" s="20"/>
      <c r="X22" s="20">
        <v>0</v>
      </c>
      <c r="Y22" s="20">
        <v>0</v>
      </c>
      <c r="Z22" s="20">
        <v>0</v>
      </c>
      <c r="AA22" s="20">
        <v>0</v>
      </c>
      <c r="AB22" s="20">
        <v>0</v>
      </c>
    </row>
    <row r="23" spans="1:28" ht="21.95" customHeight="1">
      <c r="A23" s="37"/>
      <c r="B23" s="40" t="s">
        <v>116</v>
      </c>
      <c r="C23" s="39"/>
      <c r="D23" s="29">
        <v>0.4</v>
      </c>
      <c r="E23" s="29">
        <v>0.6</v>
      </c>
      <c r="F23" s="28">
        <v>1</v>
      </c>
      <c r="G23" s="26">
        <v>3</v>
      </c>
      <c r="H23" s="26" t="s">
        <v>115</v>
      </c>
      <c r="I23" s="21">
        <f>(((D23+E23+D23+E23)*F23/0.29)*G23)*4*I8</f>
        <v>18.372413793103448</v>
      </c>
      <c r="J23" s="21"/>
      <c r="K23" s="21"/>
      <c r="L23" s="24"/>
      <c r="M23" s="23"/>
      <c r="N23" s="23"/>
      <c r="O23" s="25">
        <f>(G23*14)*O8</f>
        <v>161.82600000000002</v>
      </c>
      <c r="P23" s="20">
        <f t="shared" si="0"/>
        <v>180.19841379310347</v>
      </c>
      <c r="Q23" s="20">
        <f t="shared" si="1"/>
        <v>5.4059524137931039</v>
      </c>
      <c r="R23" s="20"/>
      <c r="S23" s="20">
        <f t="shared" si="2"/>
        <v>0.72</v>
      </c>
      <c r="T23" s="20">
        <f t="shared" si="3"/>
        <v>6</v>
      </c>
      <c r="U23" s="20">
        <f t="shared" si="4"/>
        <v>1.9375199999999999</v>
      </c>
      <c r="V23" s="20">
        <f t="shared" si="5"/>
        <v>1.98438</v>
      </c>
      <c r="W23" s="20"/>
      <c r="X23" s="20">
        <v>0</v>
      </c>
      <c r="Y23" s="20">
        <v>0</v>
      </c>
      <c r="Z23" s="20">
        <v>0</v>
      </c>
      <c r="AA23" s="20">
        <v>0</v>
      </c>
      <c r="AB23" s="20">
        <v>0</v>
      </c>
    </row>
    <row r="24" spans="1:28" ht="21.95" customHeight="1">
      <c r="A24" s="37"/>
      <c r="B24" s="40" t="s">
        <v>326</v>
      </c>
      <c r="C24" s="39"/>
      <c r="D24" s="29"/>
      <c r="E24" s="29"/>
      <c r="F24" s="28"/>
      <c r="G24" s="26"/>
      <c r="H24" s="26"/>
      <c r="I24" s="24"/>
      <c r="J24" s="21"/>
      <c r="K24" s="21"/>
      <c r="L24" s="24"/>
      <c r="M24" s="21"/>
      <c r="N24" s="23"/>
      <c r="O24" s="25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</row>
    <row r="25" spans="1:28" s="12" customFormat="1" ht="21.95" customHeight="1">
      <c r="A25" s="37"/>
      <c r="B25" s="31" t="s">
        <v>114</v>
      </c>
      <c r="C25" s="30"/>
      <c r="D25" s="29">
        <v>0.15</v>
      </c>
      <c r="E25" s="29">
        <v>0.4</v>
      </c>
      <c r="F25" s="28"/>
      <c r="G25" s="27">
        <v>24.72</v>
      </c>
      <c r="H25" s="26" t="s">
        <v>73</v>
      </c>
      <c r="I25" s="21">
        <f>((D25+E25+D25+E25)*G25/0.175)*I8</f>
        <v>34.494994285714284</v>
      </c>
      <c r="J25" s="21"/>
      <c r="K25" s="21"/>
      <c r="L25" s="24">
        <f>(G25*4)*L8</f>
        <v>87.80543999999999</v>
      </c>
      <c r="M25" s="23"/>
      <c r="N25" s="23"/>
      <c r="O25" s="25"/>
      <c r="P25" s="20">
        <f t="shared" ref="P25:P44" si="6">SUM(I25:O25)</f>
        <v>122.30043428571427</v>
      </c>
      <c r="Q25" s="20">
        <f t="shared" ref="Q25:Q44" si="7">(P25*0.03)</f>
        <v>3.669013028571428</v>
      </c>
      <c r="R25" s="20"/>
      <c r="S25" s="20">
        <f t="shared" ref="S25:S39" si="8">D25*E25*G25</f>
        <v>1.4831999999999999</v>
      </c>
      <c r="T25" s="20">
        <f t="shared" ref="T25:T39" si="9">(D25+E25+E25)*G25</f>
        <v>23.484000000000002</v>
      </c>
      <c r="U25" s="20">
        <f t="shared" ref="U25:U44" si="10">(T25*0.03)*10.764</f>
        <v>7.5834532799999996</v>
      </c>
      <c r="V25" s="20">
        <f t="shared" ref="V25:V44" si="11">(T25+U25)*0.25</f>
        <v>7.7668633200000006</v>
      </c>
      <c r="W25" s="20"/>
      <c r="X25" s="20">
        <v>0</v>
      </c>
      <c r="Y25" s="20">
        <v>0</v>
      </c>
      <c r="Z25" s="20">
        <v>0</v>
      </c>
      <c r="AA25" s="20">
        <v>0</v>
      </c>
      <c r="AB25" s="20">
        <v>0</v>
      </c>
    </row>
    <row r="26" spans="1:28" s="12" customFormat="1" ht="21.95" customHeight="1">
      <c r="A26" s="37"/>
      <c r="B26" s="31" t="s">
        <v>113</v>
      </c>
      <c r="C26" s="30"/>
      <c r="D26" s="29">
        <v>0.2</v>
      </c>
      <c r="E26" s="29">
        <v>0.4</v>
      </c>
      <c r="F26" s="28"/>
      <c r="G26" s="27">
        <v>13.81</v>
      </c>
      <c r="H26" s="26" t="s">
        <v>73</v>
      </c>
      <c r="I26" s="21">
        <f>((D26+E26+D26+E26)*G26/0.15)*I8</f>
        <v>24.526560000000003</v>
      </c>
      <c r="J26" s="21"/>
      <c r="K26" s="21"/>
      <c r="L26" s="24">
        <f>(G26*4)*L8</f>
        <v>49.05312</v>
      </c>
      <c r="M26" s="23"/>
      <c r="N26" s="23"/>
      <c r="O26" s="25">
        <f>(G26*2)/0.75*O8</f>
        <v>141.89314666666667</v>
      </c>
      <c r="P26" s="20">
        <f t="shared" si="6"/>
        <v>215.47282666666666</v>
      </c>
      <c r="Q26" s="20">
        <f t="shared" si="7"/>
        <v>6.4641848</v>
      </c>
      <c r="R26" s="20"/>
      <c r="S26" s="20">
        <f t="shared" si="8"/>
        <v>1.1048000000000002</v>
      </c>
      <c r="T26" s="20">
        <f t="shared" si="9"/>
        <v>13.81</v>
      </c>
      <c r="U26" s="20">
        <f t="shared" si="10"/>
        <v>4.4595251999999999</v>
      </c>
      <c r="V26" s="20">
        <f t="shared" si="11"/>
        <v>4.5673813000000001</v>
      </c>
      <c r="W26" s="20"/>
      <c r="X26" s="20">
        <v>0</v>
      </c>
      <c r="Y26" s="20">
        <v>0</v>
      </c>
      <c r="Z26" s="20">
        <v>0</v>
      </c>
      <c r="AA26" s="20">
        <v>0</v>
      </c>
      <c r="AB26" s="20">
        <v>0</v>
      </c>
    </row>
    <row r="27" spans="1:28" s="12" customFormat="1" ht="21.95" customHeight="1">
      <c r="A27" s="37"/>
      <c r="B27" s="31" t="s">
        <v>112</v>
      </c>
      <c r="C27" s="30"/>
      <c r="D27" s="29">
        <v>0.3</v>
      </c>
      <c r="E27" s="29">
        <v>0.5</v>
      </c>
      <c r="F27" s="28"/>
      <c r="G27" s="27">
        <v>104.04</v>
      </c>
      <c r="H27" s="26" t="s">
        <v>73</v>
      </c>
      <c r="I27" s="24"/>
      <c r="J27" s="21">
        <f>((D27+E27+D27+E27)*G27/0.2)*J8</f>
        <v>415.32768000000004</v>
      </c>
      <c r="K27" s="21"/>
      <c r="L27" s="24">
        <f>(G27*4)*L8</f>
        <v>369.55008000000004</v>
      </c>
      <c r="M27" s="23"/>
      <c r="N27" s="23"/>
      <c r="O27" s="25">
        <f>((G27*2)/0.75)+(G27)*O8</f>
        <v>678.30611999999996</v>
      </c>
      <c r="P27" s="20">
        <f t="shared" si="6"/>
        <v>1463.18388</v>
      </c>
      <c r="Q27" s="20">
        <f t="shared" si="7"/>
        <v>43.895516399999998</v>
      </c>
      <c r="R27" s="20"/>
      <c r="S27" s="20">
        <f t="shared" si="8"/>
        <v>15.606</v>
      </c>
      <c r="T27" s="20">
        <f t="shared" si="9"/>
        <v>135.25200000000001</v>
      </c>
      <c r="U27" s="20">
        <f t="shared" si="10"/>
        <v>43.67557584</v>
      </c>
      <c r="V27" s="20">
        <f t="shared" si="11"/>
        <v>44.731893960000001</v>
      </c>
      <c r="W27" s="20"/>
      <c r="X27" s="20">
        <v>0</v>
      </c>
      <c r="Y27" s="20">
        <v>0</v>
      </c>
      <c r="Z27" s="20">
        <v>0</v>
      </c>
      <c r="AA27" s="20">
        <v>0</v>
      </c>
      <c r="AB27" s="20">
        <v>0</v>
      </c>
    </row>
    <row r="28" spans="1:28" s="12" customFormat="1" ht="21.95" customHeight="1">
      <c r="A28" s="37"/>
      <c r="B28" s="31" t="s">
        <v>111</v>
      </c>
      <c r="C28" s="30"/>
      <c r="D28" s="29">
        <v>0.2</v>
      </c>
      <c r="E28" s="29">
        <v>0.7</v>
      </c>
      <c r="F28" s="28"/>
      <c r="G28" s="27">
        <v>8.1999999999999993</v>
      </c>
      <c r="H28" s="26" t="s">
        <v>73</v>
      </c>
      <c r="I28" s="24"/>
      <c r="J28" s="21">
        <f>((D28+E28+D28+E28)*G28/0.3)*J8</f>
        <v>24.550799999999999</v>
      </c>
      <c r="K28" s="21"/>
      <c r="L28" s="24">
        <f>(G28*4)*L8</f>
        <v>29.126399999999997</v>
      </c>
      <c r="M28" s="23"/>
      <c r="N28" s="23"/>
      <c r="O28" s="25">
        <f>((G28*2)/0.75)+(G28)*O8</f>
        <v>53.46126666666666</v>
      </c>
      <c r="P28" s="20">
        <f t="shared" si="6"/>
        <v>107.13846666666666</v>
      </c>
      <c r="Q28" s="20">
        <f t="shared" si="7"/>
        <v>3.2141539999999997</v>
      </c>
      <c r="R28" s="20"/>
      <c r="S28" s="20">
        <f t="shared" si="8"/>
        <v>1.1479999999999997</v>
      </c>
      <c r="T28" s="20">
        <f t="shared" si="9"/>
        <v>13.119999999999997</v>
      </c>
      <c r="U28" s="20">
        <f t="shared" si="10"/>
        <v>4.2367103999999989</v>
      </c>
      <c r="V28" s="20">
        <f t="shared" si="11"/>
        <v>4.3391775999999993</v>
      </c>
      <c r="W28" s="20"/>
      <c r="X28" s="20">
        <v>0</v>
      </c>
      <c r="Y28" s="20">
        <v>0</v>
      </c>
      <c r="Z28" s="20">
        <v>0</v>
      </c>
      <c r="AA28" s="20">
        <v>0</v>
      </c>
      <c r="AB28" s="20">
        <v>0</v>
      </c>
    </row>
    <row r="29" spans="1:28" s="12" customFormat="1" ht="21.95" customHeight="1">
      <c r="A29" s="37"/>
      <c r="B29" s="31" t="s">
        <v>110</v>
      </c>
      <c r="C29" s="30"/>
      <c r="D29" s="29">
        <v>0.2</v>
      </c>
      <c r="E29" s="29">
        <v>0.5</v>
      </c>
      <c r="F29" s="28"/>
      <c r="G29" s="27">
        <v>117.53</v>
      </c>
      <c r="H29" s="26" t="s">
        <v>73</v>
      </c>
      <c r="I29" s="24"/>
      <c r="J29" s="21">
        <f>((D29+E29+D29+E29)*G29/0.3)*J8</f>
        <v>273.68819333333334</v>
      </c>
      <c r="K29" s="21"/>
      <c r="L29" s="24">
        <f>(G29*4)+((G29*2)/0.75)*L8</f>
        <v>748.43104000000005</v>
      </c>
      <c r="M29" s="23">
        <f>2*(G29/4)*M8</f>
        <v>92.731170000000006</v>
      </c>
      <c r="N29" s="23"/>
      <c r="O29" s="25"/>
      <c r="P29" s="20">
        <f t="shared" si="6"/>
        <v>1114.8504033333334</v>
      </c>
      <c r="Q29" s="20">
        <f t="shared" si="7"/>
        <v>33.445512100000002</v>
      </c>
      <c r="R29" s="20"/>
      <c r="S29" s="20">
        <f t="shared" si="8"/>
        <v>11.753</v>
      </c>
      <c r="T29" s="20">
        <f t="shared" si="9"/>
        <v>141.036</v>
      </c>
      <c r="U29" s="20">
        <f t="shared" si="10"/>
        <v>45.543345119999991</v>
      </c>
      <c r="V29" s="20">
        <f t="shared" si="11"/>
        <v>46.64483628</v>
      </c>
      <c r="W29" s="20"/>
      <c r="X29" s="20">
        <v>0</v>
      </c>
      <c r="Y29" s="20">
        <v>0</v>
      </c>
      <c r="Z29" s="20">
        <v>0</v>
      </c>
      <c r="AA29" s="20">
        <v>0</v>
      </c>
      <c r="AB29" s="20">
        <v>0</v>
      </c>
    </row>
    <row r="30" spans="1:28" s="12" customFormat="1" ht="21.95" customHeight="1">
      <c r="A30" s="37"/>
      <c r="B30" s="31" t="s">
        <v>109</v>
      </c>
      <c r="C30" s="30"/>
      <c r="D30" s="29">
        <v>0.2</v>
      </c>
      <c r="E30" s="29">
        <v>0.4</v>
      </c>
      <c r="F30" s="28"/>
      <c r="G30" s="27">
        <v>20.56</v>
      </c>
      <c r="H30" s="26" t="s">
        <v>73</v>
      </c>
      <c r="I30" s="21">
        <f>((D30+E30+D30+E30)*G30/0.15)*I8</f>
        <v>36.514560000000003</v>
      </c>
      <c r="J30" s="21"/>
      <c r="K30" s="21"/>
      <c r="L30" s="24">
        <f>(G30*4)+((G30*2)/0.75)+(1*(G30/4))*L8</f>
        <v>141.63098666666667</v>
      </c>
      <c r="M30" s="23">
        <f>2*(G30/4)*M8</f>
        <v>16.22184</v>
      </c>
      <c r="N30" s="23"/>
      <c r="O30" s="25"/>
      <c r="P30" s="20">
        <f t="shared" si="6"/>
        <v>194.36738666666668</v>
      </c>
      <c r="Q30" s="20">
        <f t="shared" si="7"/>
        <v>5.8310215999999997</v>
      </c>
      <c r="R30" s="20"/>
      <c r="S30" s="20">
        <f t="shared" si="8"/>
        <v>1.6448000000000003</v>
      </c>
      <c r="T30" s="20">
        <f t="shared" si="9"/>
        <v>20.56</v>
      </c>
      <c r="U30" s="20">
        <f t="shared" si="10"/>
        <v>6.639235199999999</v>
      </c>
      <c r="V30" s="20">
        <f t="shared" si="11"/>
        <v>6.7998087999999992</v>
      </c>
      <c r="W30" s="20"/>
      <c r="X30" s="20">
        <v>0</v>
      </c>
      <c r="Y30" s="20">
        <v>0</v>
      </c>
      <c r="Z30" s="20">
        <v>0</v>
      </c>
      <c r="AA30" s="20">
        <v>0</v>
      </c>
      <c r="AB30" s="20">
        <v>0</v>
      </c>
    </row>
    <row r="31" spans="1:28" s="12" customFormat="1" ht="21.95" customHeight="1">
      <c r="A31" s="37"/>
      <c r="B31" s="31" t="s">
        <v>108</v>
      </c>
      <c r="C31" s="30"/>
      <c r="D31" s="29">
        <v>0.2</v>
      </c>
      <c r="E31" s="29">
        <v>0.7</v>
      </c>
      <c r="F31" s="28"/>
      <c r="G31" s="27">
        <v>2.9</v>
      </c>
      <c r="H31" s="26" t="s">
        <v>73</v>
      </c>
      <c r="I31" s="24"/>
      <c r="J31" s="21">
        <f>((D31+E31+D31+E31)*G31/0.3)*J8</f>
        <v>8.682599999999999</v>
      </c>
      <c r="K31" s="21"/>
      <c r="L31" s="24">
        <f>(G31*4)+((G31*2)/0.75)+(1*(G31/4))*L8</f>
        <v>19.977133333333331</v>
      </c>
      <c r="M31" s="23">
        <f>2*(G31/4)*M8</f>
        <v>2.2881</v>
      </c>
      <c r="N31" s="23"/>
      <c r="O31" s="25"/>
      <c r="P31" s="20">
        <f t="shared" si="6"/>
        <v>30.947833333333328</v>
      </c>
      <c r="Q31" s="20">
        <f t="shared" si="7"/>
        <v>0.92843499999999979</v>
      </c>
      <c r="R31" s="20"/>
      <c r="S31" s="20">
        <f t="shared" si="8"/>
        <v>0.40599999999999997</v>
      </c>
      <c r="T31" s="20">
        <f t="shared" si="9"/>
        <v>4.6399999999999997</v>
      </c>
      <c r="U31" s="20">
        <f t="shared" si="10"/>
        <v>1.4983487999999998</v>
      </c>
      <c r="V31" s="20">
        <f t="shared" si="11"/>
        <v>1.5345871999999998</v>
      </c>
      <c r="W31" s="20"/>
      <c r="X31" s="20">
        <v>0</v>
      </c>
      <c r="Y31" s="20">
        <v>0</v>
      </c>
      <c r="Z31" s="20">
        <v>0</v>
      </c>
      <c r="AA31" s="20">
        <v>0</v>
      </c>
      <c r="AB31" s="20">
        <v>0</v>
      </c>
    </row>
    <row r="32" spans="1:28" s="12" customFormat="1" ht="21.95" customHeight="1">
      <c r="A32" s="32"/>
      <c r="B32" s="31" t="s">
        <v>107</v>
      </c>
      <c r="C32" s="30"/>
      <c r="D32" s="29">
        <v>0.3</v>
      </c>
      <c r="E32" s="29">
        <v>0.5</v>
      </c>
      <c r="F32" s="28"/>
      <c r="G32" s="27">
        <v>45.39</v>
      </c>
      <c r="H32" s="26" t="s">
        <v>73</v>
      </c>
      <c r="I32" s="24"/>
      <c r="J32" s="21">
        <f>((D32+E32+D32+E32)*G32/0.225)*2*J8</f>
        <v>322.12778666666668</v>
      </c>
      <c r="K32" s="21"/>
      <c r="L32" s="24"/>
      <c r="M32" s="23"/>
      <c r="N32" s="36"/>
      <c r="O32" s="25">
        <f>(G32*4)+(3*(G32/4))*O8</f>
        <v>312.7257525</v>
      </c>
      <c r="P32" s="20">
        <f t="shared" si="6"/>
        <v>634.85353916666668</v>
      </c>
      <c r="Q32" s="20">
        <f t="shared" si="7"/>
        <v>19.045606175</v>
      </c>
      <c r="R32" s="20"/>
      <c r="S32" s="20">
        <f t="shared" si="8"/>
        <v>6.8084999999999996</v>
      </c>
      <c r="T32" s="20">
        <f t="shared" si="9"/>
        <v>59.007000000000005</v>
      </c>
      <c r="U32" s="20">
        <f t="shared" si="10"/>
        <v>19.05454044</v>
      </c>
      <c r="V32" s="20">
        <f t="shared" si="11"/>
        <v>19.51538511</v>
      </c>
      <c r="W32" s="20"/>
      <c r="X32" s="20">
        <v>0</v>
      </c>
      <c r="Y32" s="20">
        <v>0</v>
      </c>
      <c r="Z32" s="20">
        <v>0</v>
      </c>
      <c r="AA32" s="20">
        <v>0</v>
      </c>
      <c r="AB32" s="20">
        <v>0</v>
      </c>
    </row>
    <row r="33" spans="1:28" s="12" customFormat="1" ht="21.95" customHeight="1">
      <c r="A33" s="32"/>
      <c r="B33" s="31" t="s">
        <v>106</v>
      </c>
      <c r="C33" s="30"/>
      <c r="D33" s="29">
        <v>0.3</v>
      </c>
      <c r="E33" s="29">
        <v>0.7</v>
      </c>
      <c r="F33" s="28"/>
      <c r="G33" s="27">
        <v>128.34</v>
      </c>
      <c r="H33" s="26" t="s">
        <v>73</v>
      </c>
      <c r="I33" s="24"/>
      <c r="J33" s="21">
        <f>((D33+E33+D33+E33)*G33/0.3)*2*J8</f>
        <v>853.88880000000006</v>
      </c>
      <c r="K33" s="21"/>
      <c r="L33" s="24"/>
      <c r="M33" s="23"/>
      <c r="N33" s="23"/>
      <c r="O33" s="25">
        <f>(G33/0.75)*2+(2*(G33/4))*O8</f>
        <v>589.48701000000005</v>
      </c>
      <c r="P33" s="20">
        <f t="shared" si="6"/>
        <v>1443.37581</v>
      </c>
      <c r="Q33" s="20">
        <f t="shared" si="7"/>
        <v>43.301274299999996</v>
      </c>
      <c r="R33" s="20"/>
      <c r="S33" s="20">
        <f t="shared" si="8"/>
        <v>26.9514</v>
      </c>
      <c r="T33" s="20">
        <f t="shared" si="9"/>
        <v>218.178</v>
      </c>
      <c r="U33" s="20">
        <f t="shared" si="10"/>
        <v>70.454039759999986</v>
      </c>
      <c r="V33" s="20">
        <f t="shared" si="11"/>
        <v>72.158009939999999</v>
      </c>
      <c r="W33" s="20"/>
      <c r="X33" s="20">
        <v>0</v>
      </c>
      <c r="Y33" s="20">
        <v>0</v>
      </c>
      <c r="Z33" s="20">
        <v>0</v>
      </c>
      <c r="AA33" s="20">
        <v>0</v>
      </c>
      <c r="AB33" s="20">
        <v>0</v>
      </c>
    </row>
    <row r="34" spans="1:28" s="12" customFormat="1" ht="21.95" customHeight="1">
      <c r="A34" s="32"/>
      <c r="B34" s="31" t="s">
        <v>105</v>
      </c>
      <c r="C34" s="30"/>
      <c r="D34" s="29">
        <v>0.3</v>
      </c>
      <c r="E34" s="29">
        <v>0.8</v>
      </c>
      <c r="F34" s="28"/>
      <c r="G34" s="27">
        <v>211.77</v>
      </c>
      <c r="H34" s="26" t="s">
        <v>73</v>
      </c>
      <c r="I34" s="24"/>
      <c r="J34" s="21">
        <f>((D34+E34+D34+E34)*G34/0.225)*2*J8</f>
        <v>2066.4987200000005</v>
      </c>
      <c r="K34" s="21"/>
      <c r="L34" s="24"/>
      <c r="M34" s="23"/>
      <c r="N34" s="23"/>
      <c r="O34" s="25">
        <f>(G34*4)+(6*(G34/4))+((G34*3)/0.75)*O8</f>
        <v>4428.5342400000009</v>
      </c>
      <c r="P34" s="20">
        <f t="shared" si="6"/>
        <v>6495.0329600000014</v>
      </c>
      <c r="Q34" s="20">
        <f t="shared" si="7"/>
        <v>194.85098880000004</v>
      </c>
      <c r="R34" s="20"/>
      <c r="S34" s="20">
        <f t="shared" si="8"/>
        <v>50.824800000000003</v>
      </c>
      <c r="T34" s="20">
        <f t="shared" si="9"/>
        <v>402.36300000000006</v>
      </c>
      <c r="U34" s="20">
        <f t="shared" si="10"/>
        <v>129.93105996000003</v>
      </c>
      <c r="V34" s="20">
        <f t="shared" si="11"/>
        <v>133.07351499000004</v>
      </c>
      <c r="W34" s="20"/>
      <c r="X34" s="20">
        <v>0</v>
      </c>
      <c r="Y34" s="20">
        <v>0</v>
      </c>
      <c r="Z34" s="20">
        <v>0</v>
      </c>
      <c r="AA34" s="20">
        <v>0</v>
      </c>
      <c r="AB34" s="20">
        <v>0</v>
      </c>
    </row>
    <row r="35" spans="1:28" s="12" customFormat="1" ht="21.95" customHeight="1">
      <c r="A35" s="32"/>
      <c r="B35" s="31" t="s">
        <v>104</v>
      </c>
      <c r="C35" s="30"/>
      <c r="D35" s="29">
        <v>0.2</v>
      </c>
      <c r="E35" s="29">
        <v>0.6</v>
      </c>
      <c r="F35" s="28"/>
      <c r="G35" s="27">
        <v>34.229999999999997</v>
      </c>
      <c r="H35" s="26" t="s">
        <v>73</v>
      </c>
      <c r="I35" s="24"/>
      <c r="J35" s="21">
        <f>((D35+E35+D35+E35)*G35/0.25)*J8</f>
        <v>109.316928</v>
      </c>
      <c r="K35" s="21"/>
      <c r="L35" s="24">
        <f>(G35*4)*L8</f>
        <v>121.58496</v>
      </c>
      <c r="M35" s="23"/>
      <c r="N35" s="23"/>
      <c r="O35" s="25">
        <f>(2*(G35/4))+((G35*2)/0.75)*O8</f>
        <v>368.81683999999996</v>
      </c>
      <c r="P35" s="20">
        <f t="shared" si="6"/>
        <v>599.71872799999994</v>
      </c>
      <c r="Q35" s="20">
        <f t="shared" si="7"/>
        <v>17.991561839999999</v>
      </c>
      <c r="R35" s="20"/>
      <c r="S35" s="20">
        <f t="shared" si="8"/>
        <v>4.1075999999999997</v>
      </c>
      <c r="T35" s="20">
        <f t="shared" si="9"/>
        <v>47.92199999999999</v>
      </c>
      <c r="U35" s="20">
        <f t="shared" si="10"/>
        <v>15.474972239999996</v>
      </c>
      <c r="V35" s="20">
        <f t="shared" si="11"/>
        <v>15.849243059999996</v>
      </c>
      <c r="W35" s="20"/>
      <c r="X35" s="20">
        <v>0</v>
      </c>
      <c r="Y35" s="20">
        <v>0</v>
      </c>
      <c r="Z35" s="20">
        <v>0</v>
      </c>
      <c r="AA35" s="20">
        <v>0</v>
      </c>
      <c r="AB35" s="20">
        <v>0</v>
      </c>
    </row>
    <row r="36" spans="1:28" s="12" customFormat="1" ht="21.95" customHeight="1">
      <c r="A36" s="32"/>
      <c r="B36" s="31" t="s">
        <v>103</v>
      </c>
      <c r="C36" s="30"/>
      <c r="D36" s="29">
        <v>0.2</v>
      </c>
      <c r="E36" s="29">
        <v>0.6</v>
      </c>
      <c r="F36" s="28"/>
      <c r="G36" s="27">
        <v>7.37</v>
      </c>
      <c r="H36" s="26" t="s">
        <v>73</v>
      </c>
      <c r="I36" s="24"/>
      <c r="J36" s="21">
        <f>((D36+E36+D36+E36)*G36/0.25)*J8</f>
        <v>23.536832000000004</v>
      </c>
      <c r="K36" s="21"/>
      <c r="L36" s="24">
        <f>(G36*4)+((G36*2)/0.75)*L8</f>
        <v>46.932159999999996</v>
      </c>
      <c r="M36" s="23"/>
      <c r="N36" s="23"/>
      <c r="O36" s="25">
        <f>(G36*2)/0.75*O8</f>
        <v>75.724293333333335</v>
      </c>
      <c r="P36" s="20">
        <f t="shared" si="6"/>
        <v>146.19328533333334</v>
      </c>
      <c r="Q36" s="20">
        <f t="shared" si="7"/>
        <v>4.3857985599999996</v>
      </c>
      <c r="R36" s="20"/>
      <c r="S36" s="20">
        <f t="shared" si="8"/>
        <v>0.88439999999999996</v>
      </c>
      <c r="T36" s="20">
        <f t="shared" si="9"/>
        <v>10.318</v>
      </c>
      <c r="U36" s="20">
        <f t="shared" si="10"/>
        <v>3.3318885599999994</v>
      </c>
      <c r="V36" s="20">
        <f t="shared" si="11"/>
        <v>3.4124721399999998</v>
      </c>
      <c r="W36" s="20"/>
      <c r="X36" s="20">
        <v>0</v>
      </c>
      <c r="Y36" s="20">
        <v>0</v>
      </c>
      <c r="Z36" s="20">
        <v>0</v>
      </c>
      <c r="AA36" s="20">
        <v>0</v>
      </c>
      <c r="AB36" s="20">
        <v>0</v>
      </c>
    </row>
    <row r="37" spans="1:28" s="12" customFormat="1" ht="21.95" customHeight="1">
      <c r="A37" s="32"/>
      <c r="B37" s="31" t="s">
        <v>102</v>
      </c>
      <c r="C37" s="30"/>
      <c r="D37" s="29">
        <v>0.3</v>
      </c>
      <c r="E37" s="29">
        <v>0.7</v>
      </c>
      <c r="F37" s="28"/>
      <c r="G37" s="27">
        <v>10.43</v>
      </c>
      <c r="H37" s="26" t="s">
        <v>73</v>
      </c>
      <c r="I37" s="24"/>
      <c r="J37" s="21">
        <f>((D37+E37+D37+E37)*G37/0.25)*J8</f>
        <v>41.636559999999996</v>
      </c>
      <c r="K37" s="21"/>
      <c r="L37" s="24"/>
      <c r="M37" s="23"/>
      <c r="N37" s="23"/>
      <c r="O37" s="25">
        <f>(G37*7)*O8</f>
        <v>281.30752999999999</v>
      </c>
      <c r="P37" s="20">
        <f t="shared" si="6"/>
        <v>322.94408999999996</v>
      </c>
      <c r="Q37" s="20">
        <f t="shared" si="7"/>
        <v>9.6883226999999987</v>
      </c>
      <c r="R37" s="20"/>
      <c r="S37" s="20">
        <f t="shared" si="8"/>
        <v>2.1902999999999997</v>
      </c>
      <c r="T37" s="20">
        <f t="shared" si="9"/>
        <v>17.730999999999998</v>
      </c>
      <c r="U37" s="20">
        <f t="shared" si="10"/>
        <v>5.7256945199999985</v>
      </c>
      <c r="V37" s="20">
        <f t="shared" si="11"/>
        <v>5.8641736299999989</v>
      </c>
      <c r="W37" s="20"/>
      <c r="X37" s="20">
        <v>0</v>
      </c>
      <c r="Y37" s="20">
        <v>0</v>
      </c>
      <c r="Z37" s="20">
        <v>0</v>
      </c>
      <c r="AA37" s="20">
        <v>0</v>
      </c>
      <c r="AB37" s="20">
        <v>0</v>
      </c>
    </row>
    <row r="38" spans="1:28" s="12" customFormat="1" ht="21.95" customHeight="1">
      <c r="A38" s="32"/>
      <c r="B38" s="31" t="s">
        <v>101</v>
      </c>
      <c r="C38" s="30"/>
      <c r="D38" s="29">
        <v>0.3</v>
      </c>
      <c r="E38" s="29">
        <v>0.7</v>
      </c>
      <c r="F38" s="28"/>
      <c r="G38" s="27">
        <v>205.04</v>
      </c>
      <c r="H38" s="26" t="s">
        <v>73</v>
      </c>
      <c r="I38" s="24"/>
      <c r="J38" s="21">
        <f>((D38+E38+D38+E38)*G38/0.3)*2*J8</f>
        <v>1364.1994666666667</v>
      </c>
      <c r="K38" s="21"/>
      <c r="L38" s="24"/>
      <c r="M38" s="23"/>
      <c r="N38" s="23"/>
      <c r="O38" s="25">
        <f>(G38*4)+(2*(G38/4))+((G38*2)/0.75)*O8</f>
        <v>3029.397653333333</v>
      </c>
      <c r="P38" s="20">
        <f t="shared" si="6"/>
        <v>4393.5971199999994</v>
      </c>
      <c r="Q38" s="20">
        <f t="shared" si="7"/>
        <v>131.80791359999998</v>
      </c>
      <c r="R38" s="20"/>
      <c r="S38" s="20">
        <f t="shared" si="8"/>
        <v>43.058399999999999</v>
      </c>
      <c r="T38" s="20">
        <f t="shared" si="9"/>
        <v>348.56799999999998</v>
      </c>
      <c r="U38" s="20">
        <f t="shared" si="10"/>
        <v>112.55957855999999</v>
      </c>
      <c r="V38" s="20">
        <f t="shared" si="11"/>
        <v>115.28189463999999</v>
      </c>
      <c r="W38" s="20"/>
      <c r="X38" s="20">
        <v>0</v>
      </c>
      <c r="Y38" s="20">
        <v>0</v>
      </c>
      <c r="Z38" s="20">
        <v>0</v>
      </c>
      <c r="AA38" s="20">
        <v>0</v>
      </c>
      <c r="AB38" s="20">
        <v>0</v>
      </c>
    </row>
    <row r="39" spans="1:28" s="12" customFormat="1" ht="21.95" customHeight="1">
      <c r="A39" s="32"/>
      <c r="B39" s="31" t="s">
        <v>100</v>
      </c>
      <c r="C39" s="30"/>
      <c r="D39" s="29">
        <v>0.3</v>
      </c>
      <c r="E39" s="29">
        <v>0.6</v>
      </c>
      <c r="F39" s="28"/>
      <c r="G39" s="27">
        <v>9.6</v>
      </c>
      <c r="H39" s="26" t="s">
        <v>73</v>
      </c>
      <c r="I39" s="24"/>
      <c r="J39" s="21">
        <f>((D39+E39+D39+E39)*G39/0.25)*J8</f>
        <v>34.490879999999997</v>
      </c>
      <c r="K39" s="21"/>
      <c r="L39" s="24"/>
      <c r="M39" s="23"/>
      <c r="N39" s="23"/>
      <c r="O39" s="25">
        <f>(G39*8)*O8</f>
        <v>295.91039999999998</v>
      </c>
      <c r="P39" s="20">
        <f t="shared" si="6"/>
        <v>330.40127999999999</v>
      </c>
      <c r="Q39" s="20">
        <f t="shared" si="7"/>
        <v>9.9120383999999984</v>
      </c>
      <c r="R39" s="20"/>
      <c r="S39" s="20">
        <f t="shared" si="8"/>
        <v>1.728</v>
      </c>
      <c r="T39" s="20">
        <f t="shared" si="9"/>
        <v>14.399999999999999</v>
      </c>
      <c r="U39" s="20">
        <f t="shared" si="10"/>
        <v>4.6500479999999991</v>
      </c>
      <c r="V39" s="20">
        <f t="shared" si="11"/>
        <v>4.7625119999999992</v>
      </c>
      <c r="W39" s="20"/>
      <c r="X39" s="20">
        <v>0</v>
      </c>
      <c r="Y39" s="20">
        <v>0</v>
      </c>
      <c r="Z39" s="20">
        <v>0</v>
      </c>
      <c r="AA39" s="20">
        <v>0</v>
      </c>
      <c r="AB39" s="20">
        <v>0</v>
      </c>
    </row>
    <row r="40" spans="1:28" s="12" customFormat="1" ht="21.95" customHeight="1">
      <c r="A40" s="32"/>
      <c r="B40" s="31" t="s">
        <v>99</v>
      </c>
      <c r="C40" s="30"/>
      <c r="D40" s="29">
        <v>0.4</v>
      </c>
      <c r="E40" s="29">
        <v>0.6</v>
      </c>
      <c r="F40" s="28">
        <v>4</v>
      </c>
      <c r="G40" s="27">
        <v>9</v>
      </c>
      <c r="H40" s="26" t="s">
        <v>73</v>
      </c>
      <c r="I40" s="21">
        <f>(((D40+E40+D40+E40)*F40/0.29)*G40)*4*I8</f>
        <v>220.4689655172414</v>
      </c>
      <c r="J40" s="21"/>
      <c r="K40" s="21"/>
      <c r="L40" s="24"/>
      <c r="M40" s="23"/>
      <c r="N40" s="23"/>
      <c r="O40" s="25">
        <f>(G40*12*F40)*O8</f>
        <v>1664.4960000000001</v>
      </c>
      <c r="P40" s="20">
        <f t="shared" si="6"/>
        <v>1884.9649655172416</v>
      </c>
      <c r="Q40" s="20">
        <f t="shared" si="7"/>
        <v>56.548948965517248</v>
      </c>
      <c r="R40" s="20"/>
      <c r="S40" s="20">
        <f>(D40*E40*F40)*G40</f>
        <v>8.64</v>
      </c>
      <c r="T40" s="20">
        <f>(D40+E40+E40+D40)*G40</f>
        <v>18</v>
      </c>
      <c r="U40" s="20">
        <f t="shared" si="10"/>
        <v>5.8125600000000004</v>
      </c>
      <c r="V40" s="20">
        <f t="shared" si="11"/>
        <v>5.9531400000000003</v>
      </c>
      <c r="W40" s="20"/>
      <c r="X40" s="20">
        <v>0</v>
      </c>
      <c r="Y40" s="20">
        <v>0</v>
      </c>
      <c r="Z40" s="20">
        <v>0</v>
      </c>
      <c r="AA40" s="20">
        <v>0</v>
      </c>
      <c r="AB40" s="20">
        <v>0</v>
      </c>
    </row>
    <row r="41" spans="1:28" s="12" customFormat="1" ht="21.95" customHeight="1">
      <c r="A41" s="32"/>
      <c r="B41" s="31" t="s">
        <v>98</v>
      </c>
      <c r="C41" s="30"/>
      <c r="D41" s="29">
        <v>0.4</v>
      </c>
      <c r="E41" s="29">
        <v>0.6</v>
      </c>
      <c r="F41" s="28">
        <v>4</v>
      </c>
      <c r="G41" s="27">
        <v>24</v>
      </c>
      <c r="H41" s="26" t="s">
        <v>73</v>
      </c>
      <c r="I41" s="21">
        <f>(((D41+E41+D41+E41)*F41/0.29)*G41)*4*I8</f>
        <v>587.91724137931033</v>
      </c>
      <c r="J41" s="21"/>
      <c r="K41" s="21"/>
      <c r="L41" s="24"/>
      <c r="M41" s="23"/>
      <c r="N41" s="23"/>
      <c r="O41" s="25">
        <f>(G41*14*F41)*O8</f>
        <v>5178.4320000000007</v>
      </c>
      <c r="P41" s="20">
        <f t="shared" si="6"/>
        <v>5766.349241379311</v>
      </c>
      <c r="Q41" s="20">
        <f t="shared" si="7"/>
        <v>172.99047724137932</v>
      </c>
      <c r="R41" s="20"/>
      <c r="S41" s="20">
        <f>(D41*E41*F41)*G41</f>
        <v>23.04</v>
      </c>
      <c r="T41" s="20">
        <f>(D41+E41+E41+D41)*G41</f>
        <v>48</v>
      </c>
      <c r="U41" s="20">
        <f t="shared" si="10"/>
        <v>15.500159999999999</v>
      </c>
      <c r="V41" s="20">
        <f t="shared" si="11"/>
        <v>15.87504</v>
      </c>
      <c r="W41" s="20"/>
      <c r="X41" s="20">
        <v>0</v>
      </c>
      <c r="Y41" s="20">
        <v>0</v>
      </c>
      <c r="Z41" s="20">
        <v>0</v>
      </c>
      <c r="AA41" s="20">
        <v>0</v>
      </c>
      <c r="AB41" s="20">
        <v>0</v>
      </c>
    </row>
    <row r="42" spans="1:28" s="12" customFormat="1" ht="21.95" customHeight="1">
      <c r="A42" s="32"/>
      <c r="B42" s="31" t="s">
        <v>97</v>
      </c>
      <c r="C42" s="30"/>
      <c r="D42" s="29">
        <v>0.4</v>
      </c>
      <c r="E42" s="29">
        <v>0.6</v>
      </c>
      <c r="F42" s="28">
        <v>4</v>
      </c>
      <c r="G42" s="27">
        <v>12</v>
      </c>
      <c r="H42" s="26" t="s">
        <v>73</v>
      </c>
      <c r="I42" s="21">
        <f>(((D42+E42+D42+E42)*F42/0.29)*G42)*4*I8</f>
        <v>293.95862068965516</v>
      </c>
      <c r="J42" s="21"/>
      <c r="K42" s="21"/>
      <c r="L42" s="24"/>
      <c r="M42" s="23"/>
      <c r="N42" s="23"/>
      <c r="O42" s="25">
        <f>(G42*12*F42)*O8</f>
        <v>2219.328</v>
      </c>
      <c r="P42" s="20">
        <f t="shared" si="6"/>
        <v>2513.2866206896551</v>
      </c>
      <c r="Q42" s="20">
        <f t="shared" si="7"/>
        <v>75.398598620689654</v>
      </c>
      <c r="R42" s="20"/>
      <c r="S42" s="20">
        <f>(D42*E42*F42)*G42</f>
        <v>11.52</v>
      </c>
      <c r="T42" s="20">
        <f>(D42+E42+E42+D42)*G42</f>
        <v>24</v>
      </c>
      <c r="U42" s="20">
        <f t="shared" si="10"/>
        <v>7.7500799999999996</v>
      </c>
      <c r="V42" s="20">
        <f t="shared" si="11"/>
        <v>7.9375200000000001</v>
      </c>
      <c r="W42" s="20"/>
      <c r="X42" s="20">
        <v>0</v>
      </c>
      <c r="Y42" s="20">
        <v>0</v>
      </c>
      <c r="Z42" s="20">
        <v>0</v>
      </c>
      <c r="AA42" s="20">
        <v>0</v>
      </c>
      <c r="AB42" s="20">
        <v>0</v>
      </c>
    </row>
    <row r="43" spans="1:28" s="12" customFormat="1" ht="21.95" customHeight="1">
      <c r="A43" s="32"/>
      <c r="B43" s="31" t="s">
        <v>96</v>
      </c>
      <c r="C43" s="30"/>
      <c r="D43" s="29">
        <v>0.4</v>
      </c>
      <c r="E43" s="29">
        <v>0.6</v>
      </c>
      <c r="F43" s="28">
        <v>4</v>
      </c>
      <c r="G43" s="27">
        <v>34</v>
      </c>
      <c r="H43" s="26" t="s">
        <v>73</v>
      </c>
      <c r="I43" s="21">
        <f>(((D43+E43+D43+E43)*F43/0.29)*G43)*4*I8</f>
        <v>832.88275862068974</v>
      </c>
      <c r="J43" s="21"/>
      <c r="K43" s="21"/>
      <c r="L43" s="24"/>
      <c r="M43" s="23"/>
      <c r="N43" s="23"/>
      <c r="O43" s="25">
        <f>(G43*14*F43)*O8</f>
        <v>7336.1120000000001</v>
      </c>
      <c r="P43" s="20">
        <f t="shared" si="6"/>
        <v>8168.9947586206899</v>
      </c>
      <c r="Q43" s="20">
        <f t="shared" si="7"/>
        <v>245.06984275862069</v>
      </c>
      <c r="R43" s="20"/>
      <c r="S43" s="20">
        <f>(D43*E43*F43)*G43</f>
        <v>32.64</v>
      </c>
      <c r="T43" s="20">
        <f>(D43+E43+E43+D43)*G43</f>
        <v>68</v>
      </c>
      <c r="U43" s="20">
        <f t="shared" si="10"/>
        <v>21.958559999999999</v>
      </c>
      <c r="V43" s="20">
        <f t="shared" si="11"/>
        <v>22.489640000000001</v>
      </c>
      <c r="W43" s="20"/>
      <c r="X43" s="20">
        <v>0</v>
      </c>
      <c r="Y43" s="20">
        <v>0</v>
      </c>
      <c r="Z43" s="20">
        <v>0</v>
      </c>
      <c r="AA43" s="20">
        <v>0</v>
      </c>
      <c r="AB43" s="20">
        <v>0</v>
      </c>
    </row>
    <row r="44" spans="1:28" s="12" customFormat="1" ht="21.95" customHeight="1">
      <c r="A44" s="32"/>
      <c r="B44" s="31" t="s">
        <v>95</v>
      </c>
      <c r="C44" s="30"/>
      <c r="D44" s="29">
        <v>0.4</v>
      </c>
      <c r="E44" s="29">
        <v>0.6</v>
      </c>
      <c r="F44" s="28">
        <v>4</v>
      </c>
      <c r="G44" s="27">
        <v>3</v>
      </c>
      <c r="H44" s="26" t="s">
        <v>73</v>
      </c>
      <c r="I44" s="21">
        <f>(((D44+E44+D44+E44)*F44/0.29)*G44)*4*I8</f>
        <v>73.489655172413791</v>
      </c>
      <c r="J44" s="21"/>
      <c r="K44" s="21"/>
      <c r="L44" s="24"/>
      <c r="M44" s="23"/>
      <c r="N44" s="23"/>
      <c r="O44" s="25">
        <f>(G44*14*F44)*O8</f>
        <v>647.30400000000009</v>
      </c>
      <c r="P44" s="20">
        <f t="shared" si="6"/>
        <v>720.79365517241388</v>
      </c>
      <c r="Q44" s="20">
        <f t="shared" si="7"/>
        <v>21.623809655172415</v>
      </c>
      <c r="R44" s="20"/>
      <c r="S44" s="20">
        <f>(D44*E44*F44)*G44</f>
        <v>2.88</v>
      </c>
      <c r="T44" s="20">
        <f>(D44+E44+E44+D44)*G44</f>
        <v>6</v>
      </c>
      <c r="U44" s="20">
        <f t="shared" si="10"/>
        <v>1.9375199999999999</v>
      </c>
      <c r="V44" s="20">
        <f t="shared" si="11"/>
        <v>1.98438</v>
      </c>
      <c r="W44" s="20"/>
      <c r="X44" s="20">
        <v>0</v>
      </c>
      <c r="Y44" s="20">
        <v>0</v>
      </c>
      <c r="Z44" s="20">
        <v>0</v>
      </c>
      <c r="AA44" s="20">
        <v>0</v>
      </c>
      <c r="AB44" s="20">
        <v>0</v>
      </c>
    </row>
    <row r="45" spans="1:28" s="12" customFormat="1" ht="21.95" customHeight="1">
      <c r="A45" s="32"/>
      <c r="B45" s="31" t="s">
        <v>264</v>
      </c>
      <c r="C45" s="30"/>
      <c r="D45" s="29"/>
      <c r="E45" s="29"/>
      <c r="F45" s="28"/>
      <c r="G45" s="27"/>
      <c r="H45" s="26"/>
      <c r="I45" s="24"/>
      <c r="J45" s="21"/>
      <c r="K45" s="21"/>
      <c r="L45" s="24"/>
      <c r="M45" s="23"/>
      <c r="N45" s="23"/>
      <c r="O45" s="25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1:28" s="12" customFormat="1" ht="21.95" customHeight="1">
      <c r="A46" s="32"/>
      <c r="B46" s="31" t="s">
        <v>93</v>
      </c>
      <c r="C46" s="30"/>
      <c r="D46" s="29">
        <v>0.2</v>
      </c>
      <c r="E46" s="29">
        <v>0.4</v>
      </c>
      <c r="F46" s="28"/>
      <c r="G46" s="27">
        <v>7.12</v>
      </c>
      <c r="H46" s="26" t="s">
        <v>73</v>
      </c>
      <c r="I46" s="21">
        <f>((D46+E46+D46+E46)*G46/0.15)*I8</f>
        <v>12.645120000000004</v>
      </c>
      <c r="J46" s="21"/>
      <c r="K46" s="21"/>
      <c r="L46" s="24">
        <f>(G46*4)*L8</f>
        <v>25.290240000000001</v>
      </c>
      <c r="M46" s="23"/>
      <c r="N46" s="23"/>
      <c r="O46" s="25">
        <f>(G46*2)/0.75*O8</f>
        <v>73.155626666666677</v>
      </c>
      <c r="P46" s="20">
        <f t="shared" ref="P46:P64" si="12">SUM(I46:O46)</f>
        <v>111.09098666666668</v>
      </c>
      <c r="Q46" s="20">
        <f t="shared" ref="Q46:Q64" si="13">(P46*0.03)</f>
        <v>3.3327296000000004</v>
      </c>
      <c r="R46" s="20"/>
      <c r="S46" s="20">
        <f t="shared" ref="S46:S59" si="14">D46*E46*G46</f>
        <v>0.56960000000000011</v>
      </c>
      <c r="T46" s="20">
        <f t="shared" ref="T46:T59" si="15">(D46+E46+E46)*G46</f>
        <v>7.12</v>
      </c>
      <c r="U46" s="20">
        <f t="shared" ref="U46:U64" si="16">(T46*0.03)*10.764</f>
        <v>2.2991903999999996</v>
      </c>
      <c r="V46" s="20">
        <f t="shared" ref="V46:V64" si="17">(T46+U46)*0.25</f>
        <v>2.3547975999999999</v>
      </c>
      <c r="W46" s="20">
        <f t="shared" ref="W46:W64" si="18">+D46*G46*0.1</f>
        <v>0.14240000000000003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</row>
    <row r="47" spans="1:28" s="12" customFormat="1" ht="21.95" customHeight="1">
      <c r="A47" s="32"/>
      <c r="B47" s="31" t="s">
        <v>92</v>
      </c>
      <c r="C47" s="30"/>
      <c r="D47" s="29">
        <v>0.3</v>
      </c>
      <c r="E47" s="29">
        <v>0.4</v>
      </c>
      <c r="F47" s="28"/>
      <c r="G47" s="27">
        <v>69.88</v>
      </c>
      <c r="H47" s="26" t="s">
        <v>73</v>
      </c>
      <c r="I47" s="24"/>
      <c r="J47" s="21">
        <f>((D47+E47+D47+E47)*G47/0.15)*J8</f>
        <v>325.45445333333333</v>
      </c>
      <c r="K47" s="21"/>
      <c r="L47" s="24">
        <f>(G47*4)*L8</f>
        <v>248.21375999999998</v>
      </c>
      <c r="M47" s="23"/>
      <c r="N47" s="23"/>
      <c r="O47" s="25">
        <f>(G47/0.75)*2+(2*(G47/4))*O8</f>
        <v>320.97048666666666</v>
      </c>
      <c r="P47" s="20">
        <f t="shared" si="12"/>
        <v>894.63869999999997</v>
      </c>
      <c r="Q47" s="20">
        <f t="shared" si="13"/>
        <v>26.839160999999997</v>
      </c>
      <c r="R47" s="20"/>
      <c r="S47" s="20">
        <f t="shared" si="14"/>
        <v>8.3855999999999984</v>
      </c>
      <c r="T47" s="20">
        <f t="shared" si="15"/>
        <v>76.867999999999995</v>
      </c>
      <c r="U47" s="20">
        <f t="shared" si="16"/>
        <v>24.822214559999995</v>
      </c>
      <c r="V47" s="20">
        <f t="shared" si="17"/>
        <v>25.422553639999997</v>
      </c>
      <c r="W47" s="20">
        <f t="shared" si="18"/>
        <v>2.0964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</row>
    <row r="48" spans="1:28" s="12" customFormat="1" ht="21.95" customHeight="1">
      <c r="A48" s="32"/>
      <c r="B48" s="31" t="s">
        <v>91</v>
      </c>
      <c r="C48" s="30"/>
      <c r="D48" s="29">
        <v>0.3</v>
      </c>
      <c r="E48" s="29">
        <v>0.6</v>
      </c>
      <c r="F48" s="28"/>
      <c r="G48" s="27">
        <v>185.9</v>
      </c>
      <c r="H48" s="26" t="s">
        <v>73</v>
      </c>
      <c r="I48" s="24"/>
      <c r="J48" s="21">
        <f>((D48+E48+D48+E48)*G48/0.2)*J8</f>
        <v>834.87689999999998</v>
      </c>
      <c r="K48" s="21"/>
      <c r="L48" s="24"/>
      <c r="M48" s="23"/>
      <c r="N48" s="23"/>
      <c r="O48" s="25">
        <f>(G48/0.75)*3+(3*(G48/4))+(3*G48)*O8</f>
        <v>3031.8431000000005</v>
      </c>
      <c r="P48" s="20">
        <f t="shared" si="12"/>
        <v>3866.7200000000003</v>
      </c>
      <c r="Q48" s="20">
        <f t="shared" si="13"/>
        <v>116.0016</v>
      </c>
      <c r="R48" s="20"/>
      <c r="S48" s="20">
        <f t="shared" si="14"/>
        <v>33.462000000000003</v>
      </c>
      <c r="T48" s="20">
        <f t="shared" si="15"/>
        <v>278.85000000000002</v>
      </c>
      <c r="U48" s="20">
        <f t="shared" si="16"/>
        <v>90.046242000000007</v>
      </c>
      <c r="V48" s="20">
        <f t="shared" si="17"/>
        <v>92.224060500000007</v>
      </c>
      <c r="W48" s="20">
        <f t="shared" si="18"/>
        <v>5.5770000000000008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</row>
    <row r="49" spans="1:28" s="12" customFormat="1" ht="21.95" customHeight="1">
      <c r="A49" s="32"/>
      <c r="B49" s="31" t="s">
        <v>90</v>
      </c>
      <c r="C49" s="30"/>
      <c r="D49" s="29">
        <v>0.2</v>
      </c>
      <c r="E49" s="29">
        <v>0.6</v>
      </c>
      <c r="F49" s="28"/>
      <c r="G49" s="27">
        <v>110.72</v>
      </c>
      <c r="H49" s="26" t="s">
        <v>73</v>
      </c>
      <c r="I49" s="24"/>
      <c r="J49" s="21">
        <f>((D49+E49+D49+E49)*G49/0.2)*J8</f>
        <v>441.99423999999999</v>
      </c>
      <c r="K49" s="21"/>
      <c r="L49" s="24"/>
      <c r="M49" s="23"/>
      <c r="N49" s="23"/>
      <c r="O49" s="25">
        <f>((G49/0.75)*1+1*(G49/4)+(4*G49)+3*(G49/4))*O8</f>
        <v>2701.8263466666667</v>
      </c>
      <c r="P49" s="20">
        <f t="shared" si="12"/>
        <v>3143.8205866666667</v>
      </c>
      <c r="Q49" s="20">
        <f t="shared" si="13"/>
        <v>94.314617599999991</v>
      </c>
      <c r="R49" s="20"/>
      <c r="S49" s="20">
        <f t="shared" si="14"/>
        <v>13.286399999999999</v>
      </c>
      <c r="T49" s="20">
        <f t="shared" si="15"/>
        <v>155.00799999999998</v>
      </c>
      <c r="U49" s="20">
        <f t="shared" si="16"/>
        <v>50.055183359999987</v>
      </c>
      <c r="V49" s="20">
        <f t="shared" si="17"/>
        <v>51.265795839999996</v>
      </c>
      <c r="W49" s="20">
        <f t="shared" si="18"/>
        <v>2.2144000000000004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</row>
    <row r="50" spans="1:28" s="12" customFormat="1" ht="21.95" customHeight="1">
      <c r="A50" s="32"/>
      <c r="B50" s="31" t="s">
        <v>89</v>
      </c>
      <c r="C50" s="30"/>
      <c r="D50" s="29">
        <v>0.3</v>
      </c>
      <c r="E50" s="29">
        <v>0.6</v>
      </c>
      <c r="F50" s="28"/>
      <c r="G50" s="27">
        <v>23</v>
      </c>
      <c r="H50" s="26" t="s">
        <v>73</v>
      </c>
      <c r="I50" s="24"/>
      <c r="J50" s="21">
        <f>((D50+E50+D50+E50)*G50/0.125)*2*J8</f>
        <v>330.5376</v>
      </c>
      <c r="K50" s="21"/>
      <c r="L50" s="24"/>
      <c r="M50" s="23"/>
      <c r="N50" s="23"/>
      <c r="O50" s="25">
        <f>((G50/0.75)*2+2*(G50/4)+(6*G50)+3*(G50/4)+3*(G50/0.75))*O8</f>
        <v>1233.2810833333335</v>
      </c>
      <c r="P50" s="20">
        <f t="shared" si="12"/>
        <v>1563.8186833333334</v>
      </c>
      <c r="Q50" s="20">
        <f t="shared" si="13"/>
        <v>46.9145605</v>
      </c>
      <c r="R50" s="20"/>
      <c r="S50" s="20">
        <f t="shared" si="14"/>
        <v>4.1399999999999997</v>
      </c>
      <c r="T50" s="20">
        <f t="shared" si="15"/>
        <v>34.5</v>
      </c>
      <c r="U50" s="20">
        <f t="shared" si="16"/>
        <v>11.140739999999999</v>
      </c>
      <c r="V50" s="20">
        <f t="shared" si="17"/>
        <v>11.410185</v>
      </c>
      <c r="W50" s="20">
        <f t="shared" si="18"/>
        <v>0.69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</row>
    <row r="51" spans="1:28" s="12" customFormat="1" ht="21.95" customHeight="1">
      <c r="A51" s="32"/>
      <c r="B51" s="31" t="s">
        <v>88</v>
      </c>
      <c r="C51" s="30"/>
      <c r="D51" s="29">
        <v>0.3</v>
      </c>
      <c r="E51" s="29">
        <v>0.6</v>
      </c>
      <c r="F51" s="28"/>
      <c r="G51" s="27">
        <v>19.38</v>
      </c>
      <c r="H51" s="26" t="s">
        <v>73</v>
      </c>
      <c r="I51" s="24"/>
      <c r="J51" s="21">
        <f>((D51+E51+D51+E51)*G51/0.2)*J8</f>
        <v>87.035579999999982</v>
      </c>
      <c r="K51" s="21"/>
      <c r="L51" s="24"/>
      <c r="M51" s="23"/>
      <c r="N51" s="23"/>
      <c r="O51" s="25">
        <f>(((4/G51)*1)*(G51*4)+(3*(G51/4)))*O8</f>
        <v>117.65135500000001</v>
      </c>
      <c r="P51" s="20">
        <f t="shared" si="12"/>
        <v>204.68693500000001</v>
      </c>
      <c r="Q51" s="20">
        <f t="shared" si="13"/>
        <v>6.14060805</v>
      </c>
      <c r="R51" s="20"/>
      <c r="S51" s="20">
        <f t="shared" si="14"/>
        <v>3.4883999999999995</v>
      </c>
      <c r="T51" s="20">
        <f t="shared" si="15"/>
        <v>29.07</v>
      </c>
      <c r="U51" s="20">
        <f t="shared" si="16"/>
        <v>9.3872843999999986</v>
      </c>
      <c r="V51" s="20">
        <f t="shared" si="17"/>
        <v>9.6143210999999997</v>
      </c>
      <c r="W51" s="20">
        <f t="shared" si="18"/>
        <v>0.58139999999999992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</row>
    <row r="52" spans="1:28" s="12" customFormat="1" ht="21.95" customHeight="1">
      <c r="A52" s="32"/>
      <c r="B52" s="31" t="s">
        <v>87</v>
      </c>
      <c r="C52" s="30"/>
      <c r="D52" s="29">
        <v>0.2</v>
      </c>
      <c r="E52" s="29">
        <v>0.6</v>
      </c>
      <c r="F52" s="28"/>
      <c r="G52" s="27">
        <v>22.44</v>
      </c>
      <c r="H52" s="26" t="s">
        <v>73</v>
      </c>
      <c r="I52" s="24"/>
      <c r="J52" s="21">
        <f>((D52+E52+D52+E52)*G52/0.2)*J8</f>
        <v>89.580480000000009</v>
      </c>
      <c r="K52" s="21"/>
      <c r="L52" s="24"/>
      <c r="M52" s="23"/>
      <c r="N52" s="23"/>
      <c r="O52" s="25">
        <f>((1*(G52/4))*(G52*4)+(3*(G52/4)))*O8</f>
        <v>2005.0380108000006</v>
      </c>
      <c r="P52" s="20">
        <f t="shared" si="12"/>
        <v>2094.6184908000005</v>
      </c>
      <c r="Q52" s="20">
        <f t="shared" si="13"/>
        <v>62.838554724000012</v>
      </c>
      <c r="R52" s="20"/>
      <c r="S52" s="20">
        <f t="shared" si="14"/>
        <v>2.6928000000000001</v>
      </c>
      <c r="T52" s="20">
        <f t="shared" si="15"/>
        <v>31.416</v>
      </c>
      <c r="U52" s="20">
        <f t="shared" si="16"/>
        <v>10.14485472</v>
      </c>
      <c r="V52" s="20">
        <f t="shared" si="17"/>
        <v>10.39021368</v>
      </c>
      <c r="W52" s="20">
        <f t="shared" si="18"/>
        <v>0.44880000000000009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</row>
    <row r="53" spans="1:28" s="12" customFormat="1" ht="21.95" customHeight="1">
      <c r="A53" s="32"/>
      <c r="B53" s="31" t="s">
        <v>86</v>
      </c>
      <c r="C53" s="30"/>
      <c r="D53" s="29">
        <v>0.2</v>
      </c>
      <c r="E53" s="29">
        <v>0.6</v>
      </c>
      <c r="F53" s="28"/>
      <c r="G53" s="27">
        <v>16.39</v>
      </c>
      <c r="H53" s="26" t="s">
        <v>73</v>
      </c>
      <c r="I53" s="24"/>
      <c r="J53" s="21">
        <f>((D53+E53+D53+E53)*G53/0.2)*2*J8</f>
        <v>130.85776000000001</v>
      </c>
      <c r="K53" s="21"/>
      <c r="L53" s="24"/>
      <c r="M53" s="23"/>
      <c r="N53" s="23"/>
      <c r="O53" s="25">
        <f>(6*G53)*O8</f>
        <v>378.90402000000006</v>
      </c>
      <c r="P53" s="20">
        <f t="shared" si="12"/>
        <v>509.76178000000004</v>
      </c>
      <c r="Q53" s="20">
        <f t="shared" si="13"/>
        <v>15.2928534</v>
      </c>
      <c r="R53" s="20"/>
      <c r="S53" s="20">
        <f t="shared" si="14"/>
        <v>1.9668000000000001</v>
      </c>
      <c r="T53" s="20">
        <f t="shared" si="15"/>
        <v>22.945999999999998</v>
      </c>
      <c r="U53" s="20">
        <f t="shared" si="16"/>
        <v>7.4097223199999984</v>
      </c>
      <c r="V53" s="20">
        <f t="shared" si="17"/>
        <v>7.5889305799999995</v>
      </c>
      <c r="W53" s="20">
        <f t="shared" si="18"/>
        <v>0.32780000000000009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</row>
    <row r="54" spans="1:28" s="12" customFormat="1" ht="21.95" customHeight="1">
      <c r="A54" s="32"/>
      <c r="B54" s="31" t="s">
        <v>85</v>
      </c>
      <c r="C54" s="30"/>
      <c r="D54" s="29">
        <v>0.4</v>
      </c>
      <c r="E54" s="29">
        <v>0.6</v>
      </c>
      <c r="F54" s="28"/>
      <c r="G54" s="27">
        <v>58.76</v>
      </c>
      <c r="H54" s="26" t="s">
        <v>73</v>
      </c>
      <c r="I54" s="24"/>
      <c r="J54" s="21">
        <f>((D54+E54+D54+E54)*G54/0.15)*2*J8</f>
        <v>781.89973333333342</v>
      </c>
      <c r="K54" s="21"/>
      <c r="L54" s="24"/>
      <c r="M54" s="23"/>
      <c r="N54" s="23"/>
      <c r="O54" s="25">
        <f>(4*G54)+(6*G54/4)+(3*G54/0.75)*O8</f>
        <v>1228.7891199999999</v>
      </c>
      <c r="P54" s="20">
        <f t="shared" si="12"/>
        <v>2010.6888533333333</v>
      </c>
      <c r="Q54" s="20">
        <f t="shared" si="13"/>
        <v>60.320665599999998</v>
      </c>
      <c r="R54" s="20"/>
      <c r="S54" s="20">
        <f t="shared" si="14"/>
        <v>14.102399999999999</v>
      </c>
      <c r="T54" s="20">
        <f t="shared" si="15"/>
        <v>94.016000000000005</v>
      </c>
      <c r="U54" s="20">
        <f t="shared" si="16"/>
        <v>30.359646719999997</v>
      </c>
      <c r="V54" s="20">
        <f t="shared" si="17"/>
        <v>31.093911680000001</v>
      </c>
      <c r="W54" s="20">
        <f t="shared" si="18"/>
        <v>2.3504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</row>
    <row r="55" spans="1:28" s="12" customFormat="1" ht="21.95" customHeight="1">
      <c r="A55" s="32"/>
      <c r="B55" s="31" t="s">
        <v>84</v>
      </c>
      <c r="C55" s="30"/>
      <c r="D55" s="29">
        <v>0.4</v>
      </c>
      <c r="E55" s="29">
        <v>0.6</v>
      </c>
      <c r="F55" s="28"/>
      <c r="G55" s="27">
        <v>47.14</v>
      </c>
      <c r="H55" s="26" t="s">
        <v>73</v>
      </c>
      <c r="I55" s="24"/>
      <c r="J55" s="21">
        <f>((D55+E55+D55+E55)*G55/0.15)*2*J8</f>
        <v>627.27626666666674</v>
      </c>
      <c r="K55" s="21"/>
      <c r="L55" s="24"/>
      <c r="M55" s="23"/>
      <c r="N55" s="23"/>
      <c r="O55" s="25">
        <f>(4*G55)+(6*G55/4)*O8</f>
        <v>461.00563000000005</v>
      </c>
      <c r="P55" s="20">
        <f t="shared" si="12"/>
        <v>1088.2818966666669</v>
      </c>
      <c r="Q55" s="20">
        <f t="shared" si="13"/>
        <v>32.648456900000006</v>
      </c>
      <c r="R55" s="20"/>
      <c r="S55" s="20">
        <f t="shared" si="14"/>
        <v>11.313599999999999</v>
      </c>
      <c r="T55" s="20">
        <f t="shared" si="15"/>
        <v>75.424000000000007</v>
      </c>
      <c r="U55" s="20">
        <f t="shared" si="16"/>
        <v>24.355918080000002</v>
      </c>
      <c r="V55" s="20">
        <f t="shared" si="17"/>
        <v>24.944979520000004</v>
      </c>
      <c r="W55" s="20">
        <f t="shared" si="18"/>
        <v>1.8856000000000002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</row>
    <row r="56" spans="1:28" s="12" customFormat="1" ht="21.95" customHeight="1">
      <c r="A56" s="32"/>
      <c r="B56" s="31" t="s">
        <v>83</v>
      </c>
      <c r="C56" s="30"/>
      <c r="D56" s="29">
        <v>0.4</v>
      </c>
      <c r="E56" s="29">
        <v>0.6</v>
      </c>
      <c r="F56" s="28"/>
      <c r="G56" s="27">
        <v>32.4</v>
      </c>
      <c r="H56" s="26" t="s">
        <v>73</v>
      </c>
      <c r="I56" s="24"/>
      <c r="J56" s="21">
        <f>((D56+E56+D56+E56)*G56/0.15)*2*J8</f>
        <v>431.13600000000002</v>
      </c>
      <c r="K56" s="21"/>
      <c r="L56" s="24"/>
      <c r="M56" s="23"/>
      <c r="N56" s="23"/>
      <c r="O56" s="25">
        <f>(20*G56)*O8</f>
        <v>2496.7440000000001</v>
      </c>
      <c r="P56" s="20">
        <f t="shared" si="12"/>
        <v>2927.88</v>
      </c>
      <c r="Q56" s="20">
        <f t="shared" si="13"/>
        <v>87.836399999999998</v>
      </c>
      <c r="R56" s="20"/>
      <c r="S56" s="20">
        <f t="shared" si="14"/>
        <v>7.7759999999999998</v>
      </c>
      <c r="T56" s="20">
        <f t="shared" si="15"/>
        <v>51.84</v>
      </c>
      <c r="U56" s="20">
        <f t="shared" si="16"/>
        <v>16.7401728</v>
      </c>
      <c r="V56" s="20">
        <f t="shared" si="17"/>
        <v>17.1450432</v>
      </c>
      <c r="W56" s="20">
        <f t="shared" si="18"/>
        <v>1.2960000000000003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</row>
    <row r="57" spans="1:28" s="12" customFormat="1" ht="21.95" customHeight="1">
      <c r="A57" s="32"/>
      <c r="B57" s="31" t="s">
        <v>82</v>
      </c>
      <c r="C57" s="30"/>
      <c r="D57" s="29">
        <v>0.2</v>
      </c>
      <c r="E57" s="29">
        <v>0.6</v>
      </c>
      <c r="F57" s="28"/>
      <c r="G57" s="27">
        <v>66</v>
      </c>
      <c r="H57" s="26" t="s">
        <v>73</v>
      </c>
      <c r="I57" s="24"/>
      <c r="J57" s="21">
        <f>((D57+E57+D57+E57)*G57/0.25)*2*J8</f>
        <v>421.55520000000001</v>
      </c>
      <c r="K57" s="21"/>
      <c r="L57" s="24"/>
      <c r="M57" s="23"/>
      <c r="N57" s="23"/>
      <c r="O57" s="25">
        <f>(4*G57)+(G57/4)+(G57/0.75)*O8</f>
        <v>619.56400000000008</v>
      </c>
      <c r="P57" s="20">
        <f t="shared" si="12"/>
        <v>1041.1192000000001</v>
      </c>
      <c r="Q57" s="20">
        <f t="shared" si="13"/>
        <v>31.233576000000003</v>
      </c>
      <c r="R57" s="20"/>
      <c r="S57" s="20">
        <f t="shared" si="14"/>
        <v>7.92</v>
      </c>
      <c r="T57" s="20">
        <f t="shared" si="15"/>
        <v>92.399999999999991</v>
      </c>
      <c r="U57" s="20">
        <f t="shared" si="16"/>
        <v>29.837807999999995</v>
      </c>
      <c r="V57" s="20">
        <f t="shared" si="17"/>
        <v>30.559451999999997</v>
      </c>
      <c r="W57" s="20">
        <f t="shared" si="18"/>
        <v>1.3200000000000003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</row>
    <row r="58" spans="1:28" s="12" customFormat="1" ht="21.95" customHeight="1">
      <c r="A58" s="32"/>
      <c r="B58" s="31" t="s">
        <v>81</v>
      </c>
      <c r="C58" s="30"/>
      <c r="D58" s="29">
        <v>0.2</v>
      </c>
      <c r="E58" s="29">
        <v>0.6</v>
      </c>
      <c r="F58" s="28"/>
      <c r="G58" s="27">
        <v>12.28</v>
      </c>
      <c r="H58" s="26" t="s">
        <v>73</v>
      </c>
      <c r="I58" s="24"/>
      <c r="J58" s="21">
        <f>((D58+E58+D58+E58)*G58/0.25)*J8</f>
        <v>39.217407999999999</v>
      </c>
      <c r="K58" s="21"/>
      <c r="L58" s="24"/>
      <c r="M58" s="23"/>
      <c r="N58" s="23"/>
      <c r="O58" s="25">
        <f>(4*G58)+(2*G58/4)*O8</f>
        <v>72.777419999999992</v>
      </c>
      <c r="P58" s="20">
        <f t="shared" si="12"/>
        <v>111.99482799999998</v>
      </c>
      <c r="Q58" s="20">
        <f t="shared" si="13"/>
        <v>3.3598448399999996</v>
      </c>
      <c r="R58" s="20"/>
      <c r="S58" s="20">
        <f t="shared" si="14"/>
        <v>1.4735999999999998</v>
      </c>
      <c r="T58" s="20">
        <f t="shared" si="15"/>
        <v>17.191999999999997</v>
      </c>
      <c r="U58" s="20">
        <f t="shared" si="16"/>
        <v>5.5516406399999987</v>
      </c>
      <c r="V58" s="20">
        <f t="shared" si="17"/>
        <v>5.6859101599999988</v>
      </c>
      <c r="W58" s="20">
        <f t="shared" si="18"/>
        <v>0.24560000000000001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</row>
    <row r="59" spans="1:28" s="12" customFormat="1" ht="21.95" customHeight="1">
      <c r="A59" s="32"/>
      <c r="B59" s="31" t="s">
        <v>80</v>
      </c>
      <c r="C59" s="30"/>
      <c r="D59" s="29">
        <v>0.2</v>
      </c>
      <c r="E59" s="29">
        <v>0.6</v>
      </c>
      <c r="F59" s="28"/>
      <c r="G59" s="27">
        <v>40.31</v>
      </c>
      <c r="H59" s="26" t="s">
        <v>73</v>
      </c>
      <c r="I59" s="24"/>
      <c r="J59" s="21">
        <f>((D59+E59+D59+E59)*G59/0.25)*2*J8</f>
        <v>257.46803200000005</v>
      </c>
      <c r="K59" s="21"/>
      <c r="L59" s="24"/>
      <c r="M59" s="23"/>
      <c r="N59" s="23"/>
      <c r="O59" s="25">
        <f>(4*G59)+(2*G59/4)+(2*G59/0.75)*O8</f>
        <v>595.56681333333336</v>
      </c>
      <c r="P59" s="20">
        <f t="shared" si="12"/>
        <v>853.03484533333335</v>
      </c>
      <c r="Q59" s="20">
        <f t="shared" si="13"/>
        <v>25.591045359999999</v>
      </c>
      <c r="R59" s="20"/>
      <c r="S59" s="20">
        <f t="shared" si="14"/>
        <v>4.8372000000000002</v>
      </c>
      <c r="T59" s="20">
        <f t="shared" si="15"/>
        <v>56.433999999999997</v>
      </c>
      <c r="U59" s="20">
        <f t="shared" si="16"/>
        <v>18.223667279999997</v>
      </c>
      <c r="V59" s="20">
        <f t="shared" si="17"/>
        <v>18.66441682</v>
      </c>
      <c r="W59" s="20">
        <f t="shared" si="18"/>
        <v>0.80620000000000014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</row>
    <row r="60" spans="1:28" s="12" customFormat="1" ht="21.95" customHeight="1">
      <c r="A60" s="32"/>
      <c r="B60" s="31" t="s">
        <v>77</v>
      </c>
      <c r="C60" s="30"/>
      <c r="D60" s="29">
        <v>0.4</v>
      </c>
      <c r="E60" s="29">
        <v>0.6</v>
      </c>
      <c r="F60" s="28">
        <v>4</v>
      </c>
      <c r="G60" s="27">
        <v>9</v>
      </c>
      <c r="H60" s="26" t="s">
        <v>73</v>
      </c>
      <c r="I60" s="21">
        <f>(((D60+E60+D60+E60)*F60/0.29)*G60)*2*I8</f>
        <v>110.2344827586207</v>
      </c>
      <c r="J60" s="21"/>
      <c r="K60" s="21"/>
      <c r="L60" s="24"/>
      <c r="M60" s="23"/>
      <c r="N60" s="23"/>
      <c r="O60" s="25">
        <f>(G60*8*F60)*O8</f>
        <v>1109.664</v>
      </c>
      <c r="P60" s="20">
        <f t="shared" si="12"/>
        <v>1219.8984827586207</v>
      </c>
      <c r="Q60" s="20">
        <f t="shared" si="13"/>
        <v>36.596954482758619</v>
      </c>
      <c r="R60" s="20"/>
      <c r="S60" s="20">
        <f>(D60*E60*F60)*G60</f>
        <v>8.64</v>
      </c>
      <c r="T60" s="20">
        <f>(D60+E60+E60+D60)*G60</f>
        <v>18</v>
      </c>
      <c r="U60" s="20">
        <f t="shared" si="16"/>
        <v>5.8125600000000004</v>
      </c>
      <c r="V60" s="20">
        <f t="shared" si="17"/>
        <v>5.9531400000000003</v>
      </c>
      <c r="W60" s="20">
        <f t="shared" si="18"/>
        <v>0.36000000000000004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</row>
    <row r="61" spans="1:28" s="12" customFormat="1" ht="21.95" customHeight="1">
      <c r="A61" s="32"/>
      <c r="B61" s="31" t="s">
        <v>76</v>
      </c>
      <c r="C61" s="30"/>
      <c r="D61" s="29">
        <v>0.4</v>
      </c>
      <c r="E61" s="29">
        <v>0.6</v>
      </c>
      <c r="F61" s="28">
        <v>4</v>
      </c>
      <c r="G61" s="27">
        <v>24</v>
      </c>
      <c r="H61" s="26" t="s">
        <v>73</v>
      </c>
      <c r="I61" s="21">
        <f>(((D61+E61+D61+E61)*F61/0.29)*G61)*2*I8</f>
        <v>293.95862068965516</v>
      </c>
      <c r="J61" s="21"/>
      <c r="K61" s="21"/>
      <c r="L61" s="24"/>
      <c r="M61" s="23"/>
      <c r="N61" s="23"/>
      <c r="O61" s="25">
        <f>(G61*8*F61)*O8</f>
        <v>2959.1040000000003</v>
      </c>
      <c r="P61" s="20">
        <f t="shared" si="12"/>
        <v>3253.0626206896554</v>
      </c>
      <c r="Q61" s="20">
        <f t="shared" si="13"/>
        <v>97.591878620689656</v>
      </c>
      <c r="R61" s="20"/>
      <c r="S61" s="20">
        <f>(D61*E61*F61)*G61</f>
        <v>23.04</v>
      </c>
      <c r="T61" s="20">
        <f>(D61+E61+E61+D61)*G61</f>
        <v>48</v>
      </c>
      <c r="U61" s="20">
        <f t="shared" si="16"/>
        <v>15.500159999999999</v>
      </c>
      <c r="V61" s="20">
        <f t="shared" si="17"/>
        <v>15.87504</v>
      </c>
      <c r="W61" s="20">
        <f t="shared" si="18"/>
        <v>0.96000000000000019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</row>
    <row r="62" spans="1:28" s="12" customFormat="1" ht="21.95" customHeight="1">
      <c r="A62" s="32"/>
      <c r="B62" s="31" t="s">
        <v>75</v>
      </c>
      <c r="C62" s="30"/>
      <c r="D62" s="29">
        <v>0.4</v>
      </c>
      <c r="E62" s="29">
        <v>0.6</v>
      </c>
      <c r="F62" s="28">
        <v>4</v>
      </c>
      <c r="G62" s="27">
        <v>34</v>
      </c>
      <c r="H62" s="26" t="s">
        <v>73</v>
      </c>
      <c r="I62" s="21">
        <f>(((D62+E62+D62+E62)*F62/0.29)*G62)*2*I8</f>
        <v>416.44137931034487</v>
      </c>
      <c r="J62" s="21"/>
      <c r="K62" s="21"/>
      <c r="L62" s="24"/>
      <c r="M62" s="23"/>
      <c r="N62" s="23"/>
      <c r="O62" s="25">
        <f>(G62*8*F62)*O8</f>
        <v>4192.0640000000003</v>
      </c>
      <c r="P62" s="20">
        <f t="shared" si="12"/>
        <v>4608.5053793103452</v>
      </c>
      <c r="Q62" s="20">
        <f t="shared" si="13"/>
        <v>138.25516137931035</v>
      </c>
      <c r="R62" s="20"/>
      <c r="S62" s="20">
        <f>(D62*E62*F62)*G62</f>
        <v>32.64</v>
      </c>
      <c r="T62" s="20">
        <f>(D62+E62+E62+D62)*G62</f>
        <v>68</v>
      </c>
      <c r="U62" s="20">
        <f t="shared" si="16"/>
        <v>21.958559999999999</v>
      </c>
      <c r="V62" s="20">
        <f t="shared" si="17"/>
        <v>22.489640000000001</v>
      </c>
      <c r="W62" s="20">
        <f t="shared" si="18"/>
        <v>1.3600000000000003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</row>
    <row r="63" spans="1:28" s="12" customFormat="1" ht="21.95" customHeight="1">
      <c r="A63" s="32"/>
      <c r="B63" s="31" t="s">
        <v>74</v>
      </c>
      <c r="C63" s="30"/>
      <c r="D63" s="29">
        <v>0.4</v>
      </c>
      <c r="E63" s="29">
        <v>0.6</v>
      </c>
      <c r="F63" s="28">
        <v>4</v>
      </c>
      <c r="G63" s="27">
        <v>3</v>
      </c>
      <c r="H63" s="26" t="s">
        <v>73</v>
      </c>
      <c r="I63" s="21">
        <f>(((D63+E63+D63+E63)*F63/0.29)*G63)*2*I8</f>
        <v>36.744827586206895</v>
      </c>
      <c r="J63" s="21"/>
      <c r="K63" s="21"/>
      <c r="L63" s="24"/>
      <c r="M63" s="23"/>
      <c r="N63" s="23"/>
      <c r="O63" s="25">
        <f>(G63*8*F63)*O8</f>
        <v>369.88800000000003</v>
      </c>
      <c r="P63" s="20">
        <f t="shared" si="12"/>
        <v>406.63282758620693</v>
      </c>
      <c r="Q63" s="20">
        <f t="shared" si="13"/>
        <v>12.198984827586207</v>
      </c>
      <c r="R63" s="20"/>
      <c r="S63" s="20">
        <f>(D63*E63*F63)*G63</f>
        <v>2.88</v>
      </c>
      <c r="T63" s="20">
        <f>(D63+E63+E63+D63)*G63</f>
        <v>6</v>
      </c>
      <c r="U63" s="20">
        <f t="shared" si="16"/>
        <v>1.9375199999999999</v>
      </c>
      <c r="V63" s="20">
        <f t="shared" si="17"/>
        <v>1.98438</v>
      </c>
      <c r="W63" s="20">
        <f t="shared" si="18"/>
        <v>0.12000000000000002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</row>
    <row r="64" spans="1:28" s="12" customFormat="1" ht="21.95" customHeight="1">
      <c r="A64" s="32"/>
      <c r="B64" s="31" t="s">
        <v>267</v>
      </c>
      <c r="C64" s="30"/>
      <c r="D64" s="29"/>
      <c r="E64" s="29"/>
      <c r="F64" s="28">
        <v>0.05</v>
      </c>
      <c r="G64" s="27">
        <f>25.5*85.3</f>
        <v>2175.15</v>
      </c>
      <c r="H64" s="26" t="s">
        <v>72</v>
      </c>
      <c r="I64" s="24" t="s">
        <v>94</v>
      </c>
      <c r="J64" s="23"/>
      <c r="K64" s="21"/>
      <c r="L64" s="24"/>
      <c r="M64" s="23"/>
      <c r="N64" s="23"/>
      <c r="O64" s="25"/>
      <c r="P64" s="20">
        <f t="shared" si="12"/>
        <v>0</v>
      </c>
      <c r="Q64" s="20">
        <f t="shared" si="13"/>
        <v>0</v>
      </c>
      <c r="R64" s="20"/>
      <c r="S64" s="20">
        <f>+F64*G64</f>
        <v>108.75750000000001</v>
      </c>
      <c r="T64" s="20">
        <f>G64</f>
        <v>2175.15</v>
      </c>
      <c r="U64" s="20">
        <f t="shared" si="16"/>
        <v>702.39943800000003</v>
      </c>
      <c r="V64" s="20">
        <f t="shared" si="17"/>
        <v>719.3873595</v>
      </c>
      <c r="W64" s="20">
        <f t="shared" si="18"/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</row>
    <row r="65" spans="1:28" s="12" customFormat="1" ht="21.95" customHeight="1">
      <c r="A65" s="32"/>
      <c r="B65" s="31" t="s">
        <v>71</v>
      </c>
      <c r="C65" s="30"/>
      <c r="D65" s="29"/>
      <c r="E65" s="29"/>
      <c r="F65" s="28"/>
      <c r="G65" s="27"/>
      <c r="H65" s="26"/>
      <c r="I65" s="24"/>
      <c r="J65" s="23"/>
      <c r="K65" s="21"/>
      <c r="L65" s="24"/>
      <c r="M65" s="23"/>
      <c r="N65" s="23"/>
      <c r="O65" s="22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</row>
    <row r="66" spans="1:28" s="12" customFormat="1" ht="21.95" customHeight="1">
      <c r="A66" s="32"/>
      <c r="B66" s="31" t="s">
        <v>25</v>
      </c>
      <c r="C66" s="30"/>
      <c r="D66" s="29"/>
      <c r="E66" s="29"/>
      <c r="F66" s="28"/>
      <c r="G66" s="27"/>
      <c r="H66" s="26"/>
      <c r="I66" s="24"/>
      <c r="J66" s="23"/>
      <c r="K66" s="21"/>
      <c r="L66" s="24"/>
      <c r="M66" s="23"/>
      <c r="N66" s="23"/>
      <c r="O66" s="22"/>
      <c r="P66" s="20">
        <f t="shared" ref="P66:P74" si="19">SUM(I66:O66)</f>
        <v>0</v>
      </c>
      <c r="Q66" s="20">
        <f t="shared" ref="Q66:Q74" si="20">(P66*0.03)</f>
        <v>0</v>
      </c>
      <c r="R66" s="20">
        <f t="shared" ref="R66:R72" si="21">D66*G66*0.05</f>
        <v>0</v>
      </c>
      <c r="S66" s="20">
        <f t="shared" ref="S66:S73" si="22">D66*E66*G66</f>
        <v>0</v>
      </c>
      <c r="T66" s="20">
        <f t="shared" ref="T66:T74" si="23">(D66+E66+E66)*G66</f>
        <v>0</v>
      </c>
      <c r="U66" s="20">
        <f t="shared" ref="U66:U73" si="24">T66*30%</f>
        <v>0</v>
      </c>
      <c r="V66" s="20">
        <f t="shared" ref="V66:V74" si="25">(T66+U66)*0.25</f>
        <v>0</v>
      </c>
      <c r="W66" s="20">
        <f t="shared" ref="W66:W73" si="26">+D66*G66*0.1</f>
        <v>0</v>
      </c>
      <c r="X66" s="20"/>
      <c r="Y66" s="20"/>
      <c r="Z66" s="20"/>
      <c r="AA66" s="20"/>
      <c r="AB66" s="20"/>
    </row>
    <row r="67" spans="1:28" s="12" customFormat="1" ht="21.95" customHeight="1">
      <c r="A67" s="32"/>
      <c r="B67" s="31" t="s">
        <v>70</v>
      </c>
      <c r="C67" s="30"/>
      <c r="D67" s="29"/>
      <c r="E67" s="29"/>
      <c r="F67" s="28"/>
      <c r="G67" s="27">
        <v>33087.910000000003</v>
      </c>
      <c r="H67" s="26" t="s">
        <v>65</v>
      </c>
      <c r="I67" s="24"/>
      <c r="J67" s="23"/>
      <c r="K67" s="21"/>
      <c r="L67" s="24"/>
      <c r="M67" s="23"/>
      <c r="N67" s="23"/>
      <c r="O67" s="22"/>
      <c r="P67" s="20">
        <f t="shared" si="19"/>
        <v>0</v>
      </c>
      <c r="Q67" s="20">
        <f t="shared" si="20"/>
        <v>0</v>
      </c>
      <c r="R67" s="20">
        <f t="shared" si="21"/>
        <v>0</v>
      </c>
      <c r="S67" s="20">
        <f t="shared" si="22"/>
        <v>0</v>
      </c>
      <c r="T67" s="20">
        <f t="shared" si="23"/>
        <v>0</v>
      </c>
      <c r="U67" s="20">
        <f t="shared" si="24"/>
        <v>0</v>
      </c>
      <c r="V67" s="20">
        <f t="shared" si="25"/>
        <v>0</v>
      </c>
      <c r="W67" s="20">
        <f t="shared" si="26"/>
        <v>0</v>
      </c>
      <c r="X67" s="20"/>
      <c r="Y67" s="20"/>
      <c r="Z67" s="20"/>
      <c r="AA67" s="20"/>
      <c r="AB67" s="20"/>
    </row>
    <row r="68" spans="1:28" s="12" customFormat="1" ht="21.95" customHeight="1">
      <c r="A68" s="32"/>
      <c r="B68" s="31" t="s">
        <v>69</v>
      </c>
      <c r="C68" s="30"/>
      <c r="D68" s="29"/>
      <c r="E68" s="29"/>
      <c r="F68" s="28"/>
      <c r="G68" s="27">
        <v>3043.26</v>
      </c>
      <c r="H68" s="26" t="s">
        <v>65</v>
      </c>
      <c r="I68" s="24"/>
      <c r="J68" s="23"/>
      <c r="K68" s="21"/>
      <c r="L68" s="24"/>
      <c r="M68" s="23"/>
      <c r="N68" s="23"/>
      <c r="O68" s="22"/>
      <c r="P68" s="20">
        <f t="shared" si="19"/>
        <v>0</v>
      </c>
      <c r="Q68" s="20">
        <f t="shared" si="20"/>
        <v>0</v>
      </c>
      <c r="R68" s="20">
        <f t="shared" si="21"/>
        <v>0</v>
      </c>
      <c r="S68" s="20">
        <f t="shared" si="22"/>
        <v>0</v>
      </c>
      <c r="T68" s="20">
        <f t="shared" si="23"/>
        <v>0</v>
      </c>
      <c r="U68" s="20">
        <f t="shared" si="24"/>
        <v>0</v>
      </c>
      <c r="V68" s="20">
        <f t="shared" si="25"/>
        <v>0</v>
      </c>
      <c r="W68" s="20">
        <f t="shared" si="26"/>
        <v>0</v>
      </c>
      <c r="X68" s="20"/>
      <c r="Y68" s="20"/>
      <c r="Z68" s="20"/>
      <c r="AA68" s="20"/>
      <c r="AB68" s="20"/>
    </row>
    <row r="69" spans="1:28" s="12" customFormat="1" ht="21.95" customHeight="1">
      <c r="A69" s="32"/>
      <c r="B69" s="31" t="s">
        <v>68</v>
      </c>
      <c r="C69" s="30"/>
      <c r="D69" s="29"/>
      <c r="E69" s="29"/>
      <c r="F69" s="28"/>
      <c r="G69" s="27">
        <v>15142.1</v>
      </c>
      <c r="H69" s="26" t="s">
        <v>65</v>
      </c>
      <c r="I69" s="24"/>
      <c r="J69" s="23"/>
      <c r="K69" s="21"/>
      <c r="L69" s="24"/>
      <c r="M69" s="23"/>
      <c r="N69" s="23"/>
      <c r="O69" s="22"/>
      <c r="P69" s="20">
        <f t="shared" si="19"/>
        <v>0</v>
      </c>
      <c r="Q69" s="20">
        <f t="shared" si="20"/>
        <v>0</v>
      </c>
      <c r="R69" s="20">
        <f t="shared" si="21"/>
        <v>0</v>
      </c>
      <c r="S69" s="20">
        <f t="shared" si="22"/>
        <v>0</v>
      </c>
      <c r="T69" s="20">
        <f t="shared" si="23"/>
        <v>0</v>
      </c>
      <c r="U69" s="20">
        <f t="shared" si="24"/>
        <v>0</v>
      </c>
      <c r="V69" s="20">
        <f t="shared" si="25"/>
        <v>0</v>
      </c>
      <c r="W69" s="20">
        <f t="shared" si="26"/>
        <v>0</v>
      </c>
      <c r="X69" s="20"/>
      <c r="Y69" s="20"/>
      <c r="Z69" s="20"/>
      <c r="AA69" s="20"/>
      <c r="AB69" s="20"/>
    </row>
    <row r="70" spans="1:28" s="12" customFormat="1" ht="21.95" customHeight="1">
      <c r="A70" s="32"/>
      <c r="B70" s="31" t="s">
        <v>26</v>
      </c>
      <c r="C70" s="30"/>
      <c r="D70" s="29"/>
      <c r="E70" s="29"/>
      <c r="F70" s="28"/>
      <c r="G70" s="27"/>
      <c r="H70" s="26"/>
      <c r="I70" s="24"/>
      <c r="J70" s="23"/>
      <c r="K70" s="21"/>
      <c r="L70" s="24"/>
      <c r="M70" s="23"/>
      <c r="N70" s="23"/>
      <c r="O70" s="22"/>
      <c r="P70" s="20">
        <f t="shared" si="19"/>
        <v>0</v>
      </c>
      <c r="Q70" s="20">
        <f t="shared" si="20"/>
        <v>0</v>
      </c>
      <c r="R70" s="20">
        <f t="shared" si="21"/>
        <v>0</v>
      </c>
      <c r="S70" s="20">
        <f t="shared" si="22"/>
        <v>0</v>
      </c>
      <c r="T70" s="20">
        <f t="shared" si="23"/>
        <v>0</v>
      </c>
      <c r="U70" s="20">
        <f t="shared" si="24"/>
        <v>0</v>
      </c>
      <c r="V70" s="20">
        <f t="shared" si="25"/>
        <v>0</v>
      </c>
      <c r="W70" s="20">
        <f t="shared" si="26"/>
        <v>0</v>
      </c>
      <c r="X70" s="20"/>
      <c r="Y70" s="20"/>
      <c r="Z70" s="20"/>
      <c r="AA70" s="20"/>
      <c r="AB70" s="20"/>
    </row>
    <row r="71" spans="1:28" s="12" customFormat="1" ht="21.95" customHeight="1">
      <c r="A71" s="32"/>
      <c r="B71" s="35" t="s">
        <v>67</v>
      </c>
      <c r="C71" s="34"/>
      <c r="D71" s="33"/>
      <c r="E71" s="33"/>
      <c r="F71" s="28"/>
      <c r="G71" s="27">
        <v>5273.73</v>
      </c>
      <c r="H71" s="26" t="s">
        <v>65</v>
      </c>
      <c r="I71" s="24"/>
      <c r="J71" s="23"/>
      <c r="K71" s="21"/>
      <c r="L71" s="24"/>
      <c r="M71" s="23"/>
      <c r="N71" s="23"/>
      <c r="O71" s="22"/>
      <c r="P71" s="20">
        <f t="shared" si="19"/>
        <v>0</v>
      </c>
      <c r="Q71" s="20">
        <f t="shared" si="20"/>
        <v>0</v>
      </c>
      <c r="R71" s="20">
        <f t="shared" si="21"/>
        <v>0</v>
      </c>
      <c r="S71" s="20">
        <f t="shared" si="22"/>
        <v>0</v>
      </c>
      <c r="T71" s="20">
        <f t="shared" si="23"/>
        <v>0</v>
      </c>
      <c r="U71" s="20">
        <f t="shared" si="24"/>
        <v>0</v>
      </c>
      <c r="V71" s="20">
        <f t="shared" si="25"/>
        <v>0</v>
      </c>
      <c r="W71" s="20">
        <f t="shared" si="26"/>
        <v>0</v>
      </c>
      <c r="X71" s="20"/>
      <c r="Y71" s="20"/>
      <c r="Z71" s="20"/>
      <c r="AA71" s="20"/>
      <c r="AB71" s="20"/>
    </row>
    <row r="72" spans="1:28" s="12" customFormat="1" ht="21.95" customHeight="1">
      <c r="A72" s="32"/>
      <c r="B72" s="35" t="s">
        <v>66</v>
      </c>
      <c r="C72" s="34"/>
      <c r="D72" s="33"/>
      <c r="E72" s="33"/>
      <c r="F72" s="28"/>
      <c r="G72" s="27">
        <v>1897.45</v>
      </c>
      <c r="H72" s="26" t="s">
        <v>65</v>
      </c>
      <c r="I72" s="24"/>
      <c r="J72" s="23"/>
      <c r="K72" s="21"/>
      <c r="L72" s="24"/>
      <c r="M72" s="23"/>
      <c r="N72" s="23"/>
      <c r="O72" s="22"/>
      <c r="P72" s="20">
        <f t="shared" si="19"/>
        <v>0</v>
      </c>
      <c r="Q72" s="20">
        <f t="shared" si="20"/>
        <v>0</v>
      </c>
      <c r="R72" s="20">
        <f t="shared" si="21"/>
        <v>0</v>
      </c>
      <c r="S72" s="20">
        <f t="shared" si="22"/>
        <v>0</v>
      </c>
      <c r="T72" s="20">
        <f t="shared" si="23"/>
        <v>0</v>
      </c>
      <c r="U72" s="20">
        <f t="shared" si="24"/>
        <v>0</v>
      </c>
      <c r="V72" s="20">
        <f t="shared" si="25"/>
        <v>0</v>
      </c>
      <c r="W72" s="20">
        <f t="shared" si="26"/>
        <v>0</v>
      </c>
      <c r="X72" s="20"/>
      <c r="Y72" s="20"/>
      <c r="Z72" s="20"/>
      <c r="AA72" s="20"/>
      <c r="AB72" s="20"/>
    </row>
    <row r="73" spans="1:28" s="12" customFormat="1" ht="21.95" customHeight="1">
      <c r="A73" s="32"/>
      <c r="B73" s="1642" t="s">
        <v>64</v>
      </c>
      <c r="C73" s="1643"/>
      <c r="D73" s="1643"/>
      <c r="E73" s="1643"/>
      <c r="F73" s="1644"/>
      <c r="G73" s="27"/>
      <c r="H73" s="26"/>
      <c r="I73" s="24"/>
      <c r="J73" s="23"/>
      <c r="K73" s="21"/>
      <c r="L73" s="24"/>
      <c r="M73" s="23"/>
      <c r="N73" s="23"/>
      <c r="O73" s="22"/>
      <c r="P73" s="20">
        <f t="shared" si="19"/>
        <v>0</v>
      </c>
      <c r="Q73" s="20">
        <f t="shared" si="20"/>
        <v>0</v>
      </c>
      <c r="R73" s="20"/>
      <c r="S73" s="20">
        <f t="shared" si="22"/>
        <v>0</v>
      </c>
      <c r="T73" s="20">
        <f t="shared" si="23"/>
        <v>0</v>
      </c>
      <c r="U73" s="20">
        <f t="shared" si="24"/>
        <v>0</v>
      </c>
      <c r="V73" s="20">
        <f t="shared" si="25"/>
        <v>0</v>
      </c>
      <c r="W73" s="20">
        <f t="shared" si="26"/>
        <v>0</v>
      </c>
      <c r="X73" s="20"/>
      <c r="Y73" s="20"/>
      <c r="Z73" s="20"/>
      <c r="AA73" s="20"/>
      <c r="AB73" s="20"/>
    </row>
    <row r="74" spans="1:28" s="12" customFormat="1" ht="21.95" customHeight="1">
      <c r="A74" s="32"/>
      <c r="B74" s="31" t="s">
        <v>268</v>
      </c>
      <c r="C74" s="30"/>
      <c r="D74" s="29">
        <v>6</v>
      </c>
      <c r="E74" s="29">
        <v>78.05</v>
      </c>
      <c r="F74" s="28">
        <v>0.3</v>
      </c>
      <c r="G74" s="27">
        <v>1</v>
      </c>
      <c r="H74" s="26" t="s">
        <v>63</v>
      </c>
      <c r="I74" s="24">
        <f>(8.2*7)+(2.35*8.2/0.25)*I8</f>
        <v>74.511759999999995</v>
      </c>
      <c r="J74" s="23">
        <f>(11*8.2/0.25)*J8</f>
        <v>180.03919999999997</v>
      </c>
      <c r="K74" s="21"/>
      <c r="L74" s="24">
        <f>(4.55*8.2/0.25)*L8</f>
        <v>132.52511999999999</v>
      </c>
      <c r="M74" s="23"/>
      <c r="N74" s="23"/>
      <c r="O74" s="22"/>
      <c r="P74" s="20">
        <f t="shared" si="19"/>
        <v>387.07607999999993</v>
      </c>
      <c r="Q74" s="20">
        <f t="shared" si="20"/>
        <v>11.612282399999998</v>
      </c>
      <c r="R74" s="20"/>
      <c r="S74" s="20">
        <f>(D74*E74*F74)*G74</f>
        <v>140.48999999999998</v>
      </c>
      <c r="T74" s="20">
        <f t="shared" si="23"/>
        <v>162.1</v>
      </c>
      <c r="U74" s="20">
        <f>(T74*0.03)*10.764</f>
        <v>52.345331999999992</v>
      </c>
      <c r="V74" s="20">
        <f t="shared" si="25"/>
        <v>53.611332999999995</v>
      </c>
      <c r="W74" s="20"/>
      <c r="X74" s="20"/>
      <c r="Y74" s="20"/>
      <c r="Z74" s="20"/>
      <c r="AA74" s="20"/>
      <c r="AB74" s="20"/>
    </row>
    <row r="75" spans="1:28" s="12" customFormat="1" ht="21.95" customHeight="1">
      <c r="A75" s="32"/>
      <c r="B75" s="31"/>
      <c r="C75" s="30"/>
      <c r="D75" s="29"/>
      <c r="E75" s="29"/>
      <c r="F75" s="28"/>
      <c r="G75" s="27"/>
      <c r="H75" s="26"/>
      <c r="I75" s="24"/>
      <c r="J75" s="23"/>
      <c r="K75" s="21"/>
      <c r="L75" s="24"/>
      <c r="M75" s="23"/>
      <c r="N75" s="23"/>
      <c r="O75" s="22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</row>
    <row r="76" spans="1:28" s="12" customFormat="1" ht="21.95" customHeight="1">
      <c r="A76" s="32"/>
      <c r="B76" s="31"/>
      <c r="C76" s="30"/>
      <c r="D76" s="29"/>
      <c r="E76" s="29"/>
      <c r="F76" s="28"/>
      <c r="G76" s="27"/>
      <c r="H76" s="26"/>
      <c r="I76" s="24"/>
      <c r="J76" s="23"/>
      <c r="K76" s="21"/>
      <c r="L76" s="24"/>
      <c r="M76" s="23"/>
      <c r="N76" s="23"/>
      <c r="O76" s="22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</row>
    <row r="77" spans="1:28" s="12" customFormat="1" ht="21.95" customHeight="1">
      <c r="A77" s="32"/>
      <c r="B77" s="31"/>
      <c r="C77" s="30"/>
      <c r="D77" s="29"/>
      <c r="E77" s="29"/>
      <c r="F77" s="28"/>
      <c r="G77" s="27"/>
      <c r="H77" s="26"/>
      <c r="I77" s="24"/>
      <c r="J77" s="23"/>
      <c r="K77" s="21"/>
      <c r="L77" s="24"/>
      <c r="M77" s="23"/>
      <c r="N77" s="23"/>
      <c r="O77" s="22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</row>
    <row r="78" spans="1:28" s="12" customFormat="1" ht="21.95" customHeight="1">
      <c r="A78" s="19"/>
      <c r="B78" s="18" t="s">
        <v>62</v>
      </c>
      <c r="C78" s="18"/>
      <c r="D78" s="17"/>
      <c r="E78" s="17"/>
      <c r="F78" s="17"/>
      <c r="G78" s="16"/>
      <c r="H78" s="16"/>
      <c r="I78" s="14">
        <f>SUM(I11:I77)</f>
        <v>3579.1092701477837</v>
      </c>
      <c r="J78" s="15">
        <f>SUM(J11:J77)</f>
        <v>10516.874100000001</v>
      </c>
      <c r="K78" s="15"/>
      <c r="L78" s="15">
        <f t="shared" ref="L78:AB78" si="27">SUM(L11:L77)</f>
        <v>2582.7572399999999</v>
      </c>
      <c r="M78" s="15">
        <f t="shared" si="27"/>
        <v>111.24111000000001</v>
      </c>
      <c r="N78" s="15">
        <f t="shared" si="27"/>
        <v>0</v>
      </c>
      <c r="O78" s="15">
        <f t="shared" si="27"/>
        <v>58937.417264966665</v>
      </c>
      <c r="P78" s="14">
        <f t="shared" si="27"/>
        <v>75727.398985114458</v>
      </c>
      <c r="Q78" s="14">
        <f t="shared" si="27"/>
        <v>2271.821969553434</v>
      </c>
      <c r="R78" s="14">
        <f t="shared" si="27"/>
        <v>18.382000000000001</v>
      </c>
      <c r="S78" s="14">
        <f t="shared" si="27"/>
        <v>954.12209999999993</v>
      </c>
      <c r="T78" s="14">
        <f t="shared" si="27"/>
        <v>5706.603000000001</v>
      </c>
      <c r="U78" s="14">
        <f t="shared" si="27"/>
        <v>1842.7762407600001</v>
      </c>
      <c r="V78" s="14">
        <f t="shared" si="27"/>
        <v>1855.6114617900002</v>
      </c>
      <c r="W78" s="14">
        <f t="shared" si="27"/>
        <v>41.164000000000001</v>
      </c>
      <c r="X78" s="14">
        <f t="shared" si="27"/>
        <v>253.001</v>
      </c>
      <c r="Y78" s="14">
        <f t="shared" si="27"/>
        <v>0</v>
      </c>
      <c r="Z78" s="14">
        <f t="shared" si="27"/>
        <v>97</v>
      </c>
      <c r="AA78" s="14">
        <f t="shared" si="27"/>
        <v>0</v>
      </c>
      <c r="AB78" s="13">
        <f t="shared" si="27"/>
        <v>0</v>
      </c>
    </row>
    <row r="79" spans="1:28">
      <c r="N79" s="10"/>
      <c r="O79" s="10"/>
    </row>
    <row r="81" spans="1:28" ht="30.75">
      <c r="A81" s="60"/>
      <c r="B81" s="59"/>
      <c r="C81" s="59"/>
      <c r="D81" s="59"/>
      <c r="E81" s="59"/>
      <c r="F81" s="59"/>
      <c r="G81" s="59"/>
      <c r="H81" s="59"/>
      <c r="I81" s="58"/>
      <c r="J81" s="57"/>
      <c r="K81" s="57"/>
      <c r="L81" s="56"/>
      <c r="M81" s="54"/>
      <c r="N81" s="55"/>
      <c r="O81" s="55"/>
      <c r="P81" s="54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</row>
    <row r="82" spans="1:28">
      <c r="A82" s="132" t="s">
        <v>178</v>
      </c>
      <c r="B82" s="133" t="s">
        <v>177</v>
      </c>
      <c r="C82" s="134"/>
      <c r="D82" s="135"/>
      <c r="E82" s="135"/>
      <c r="F82" s="136"/>
      <c r="G82" s="137" t="s">
        <v>176</v>
      </c>
      <c r="H82" s="137"/>
      <c r="I82" s="138" t="s">
        <v>175</v>
      </c>
      <c r="J82" s="139"/>
      <c r="K82" s="291"/>
      <c r="L82" s="1660" t="s">
        <v>174</v>
      </c>
      <c r="M82" s="1660"/>
      <c r="N82" s="1660"/>
      <c r="O82" s="1661"/>
      <c r="P82" s="140" t="s">
        <v>173</v>
      </c>
      <c r="Q82" s="141" t="s">
        <v>172</v>
      </c>
      <c r="R82" s="1662" t="s">
        <v>171</v>
      </c>
      <c r="S82" s="1663"/>
      <c r="T82" s="1664" t="s">
        <v>170</v>
      </c>
      <c r="U82" s="1665"/>
      <c r="V82" s="141" t="s">
        <v>169</v>
      </c>
      <c r="W82" s="140" t="s">
        <v>168</v>
      </c>
      <c r="X82" s="142" t="s">
        <v>167</v>
      </c>
      <c r="Y82" s="142"/>
      <c r="Z82" s="143" t="s">
        <v>166</v>
      </c>
      <c r="AA82" s="140" t="s">
        <v>165</v>
      </c>
      <c r="AB82" s="143" t="s">
        <v>164</v>
      </c>
    </row>
    <row r="83" spans="1:28">
      <c r="A83" s="144"/>
      <c r="B83" s="145"/>
      <c r="C83" s="146"/>
      <c r="D83" s="146"/>
      <c r="E83" s="146"/>
      <c r="F83" s="147"/>
      <c r="G83" s="144" t="s">
        <v>163</v>
      </c>
      <c r="H83" s="144" t="s">
        <v>162</v>
      </c>
      <c r="I83" s="148"/>
      <c r="J83" s="149"/>
      <c r="K83" s="292"/>
      <c r="L83" s="148"/>
      <c r="M83" s="150"/>
      <c r="N83" s="150"/>
      <c r="O83" s="151"/>
      <c r="P83" s="152" t="s">
        <v>161</v>
      </c>
      <c r="Q83" s="153" t="s">
        <v>160</v>
      </c>
      <c r="R83" s="154" t="s">
        <v>159</v>
      </c>
      <c r="S83" s="154" t="s">
        <v>158</v>
      </c>
      <c r="T83" s="1666" t="s">
        <v>157</v>
      </c>
      <c r="U83" s="1667"/>
      <c r="V83" s="155"/>
      <c r="W83" s="152"/>
      <c r="X83" s="152" t="s">
        <v>156</v>
      </c>
      <c r="Y83" s="152" t="s">
        <v>155</v>
      </c>
      <c r="Z83" s="156" t="s">
        <v>154</v>
      </c>
      <c r="AA83" s="157" t="s">
        <v>153</v>
      </c>
      <c r="AB83" s="158"/>
    </row>
    <row r="84" spans="1:28">
      <c r="A84" s="144"/>
      <c r="B84" s="1668" t="s">
        <v>262</v>
      </c>
      <c r="C84" s="1669"/>
      <c r="D84" s="146"/>
      <c r="E84" s="146"/>
      <c r="F84" s="147"/>
      <c r="G84" s="144"/>
      <c r="H84" s="144"/>
      <c r="I84" s="159" t="s">
        <v>152</v>
      </c>
      <c r="J84" s="160" t="s">
        <v>151</v>
      </c>
      <c r="K84" s="162" t="s">
        <v>321</v>
      </c>
      <c r="L84" s="159" t="s">
        <v>150</v>
      </c>
      <c r="M84" s="161" t="s">
        <v>149</v>
      </c>
      <c r="N84" s="160" t="s">
        <v>148</v>
      </c>
      <c r="O84" s="162" t="s">
        <v>147</v>
      </c>
      <c r="P84" s="152"/>
      <c r="Q84" s="153"/>
      <c r="R84" s="163" t="s">
        <v>146</v>
      </c>
      <c r="S84" s="164" t="s">
        <v>145</v>
      </c>
      <c r="T84" s="165"/>
      <c r="U84" s="166"/>
      <c r="V84" s="155"/>
      <c r="W84" s="152"/>
      <c r="X84" s="152"/>
      <c r="Y84" s="152"/>
      <c r="Z84" s="157" t="s">
        <v>144</v>
      </c>
      <c r="AA84" s="158"/>
      <c r="AB84" s="158"/>
    </row>
    <row r="85" spans="1:28">
      <c r="A85" s="144"/>
      <c r="B85" s="145"/>
      <c r="C85" s="146"/>
      <c r="D85" s="146"/>
      <c r="E85" s="146"/>
      <c r="F85" s="147"/>
      <c r="G85" s="144"/>
      <c r="H85" s="144"/>
      <c r="I85" s="159" t="s">
        <v>143</v>
      </c>
      <c r="J85" s="160" t="s">
        <v>142</v>
      </c>
      <c r="K85" s="162" t="s">
        <v>322</v>
      </c>
      <c r="L85" s="159" t="s">
        <v>141</v>
      </c>
      <c r="M85" s="161" t="s">
        <v>140</v>
      </c>
      <c r="N85" s="160" t="s">
        <v>139</v>
      </c>
      <c r="O85" s="162" t="s">
        <v>138</v>
      </c>
      <c r="P85" s="152"/>
      <c r="Q85" s="152"/>
      <c r="R85" s="154"/>
      <c r="S85" s="154" t="s">
        <v>137</v>
      </c>
      <c r="T85" s="165"/>
      <c r="U85" s="166"/>
      <c r="V85" s="152"/>
      <c r="W85" s="152"/>
      <c r="X85" s="152"/>
      <c r="Y85" s="152"/>
      <c r="Z85" s="156"/>
      <c r="AA85" s="156"/>
      <c r="AB85" s="158"/>
    </row>
    <row r="86" spans="1:28">
      <c r="A86" s="144"/>
      <c r="B86" s="145"/>
      <c r="C86" s="146"/>
      <c r="D86" s="146" t="s">
        <v>136</v>
      </c>
      <c r="E86" s="146" t="s">
        <v>135</v>
      </c>
      <c r="F86" s="147" t="s">
        <v>134</v>
      </c>
      <c r="G86" s="144"/>
      <c r="H86" s="144"/>
      <c r="I86" s="167">
        <v>0.222</v>
      </c>
      <c r="J86" s="168">
        <v>0.499</v>
      </c>
      <c r="K86" s="170">
        <v>2.226</v>
      </c>
      <c r="L86" s="167">
        <v>0.88800000000000001</v>
      </c>
      <c r="M86" s="169">
        <v>1.5780000000000001</v>
      </c>
      <c r="N86" s="168">
        <v>2.4660000000000002</v>
      </c>
      <c r="O86" s="170">
        <v>3.8530000000000002</v>
      </c>
      <c r="P86" s="152"/>
      <c r="Q86" s="152"/>
      <c r="R86" s="154"/>
      <c r="S86" s="154"/>
      <c r="T86" s="171"/>
      <c r="U86" s="166"/>
      <c r="V86" s="152"/>
      <c r="W86" s="152"/>
      <c r="X86" s="152"/>
      <c r="Y86" s="152"/>
      <c r="Z86" s="158"/>
      <c r="AA86" s="158"/>
      <c r="AB86" s="158"/>
    </row>
    <row r="87" spans="1:28">
      <c r="A87" s="172"/>
      <c r="B87" s="173"/>
      <c r="C87" s="174"/>
      <c r="D87" s="174" t="s">
        <v>133</v>
      </c>
      <c r="E87" s="174" t="s">
        <v>133</v>
      </c>
      <c r="F87" s="175" t="s">
        <v>133</v>
      </c>
      <c r="G87" s="172"/>
      <c r="H87" s="172"/>
      <c r="I87" s="176" t="s">
        <v>131</v>
      </c>
      <c r="J87" s="177" t="s">
        <v>131</v>
      </c>
      <c r="K87" s="179" t="s">
        <v>131</v>
      </c>
      <c r="L87" s="176" t="s">
        <v>131</v>
      </c>
      <c r="M87" s="178" t="s">
        <v>131</v>
      </c>
      <c r="N87" s="177" t="s">
        <v>131</v>
      </c>
      <c r="O87" s="179" t="s">
        <v>131</v>
      </c>
      <c r="P87" s="180" t="s">
        <v>131</v>
      </c>
      <c r="Q87" s="180" t="s">
        <v>129</v>
      </c>
      <c r="R87" s="181" t="s">
        <v>130</v>
      </c>
      <c r="S87" s="181" t="s">
        <v>130</v>
      </c>
      <c r="T87" s="180" t="s">
        <v>128</v>
      </c>
      <c r="U87" s="180" t="s">
        <v>132</v>
      </c>
      <c r="V87" s="180" t="s">
        <v>131</v>
      </c>
      <c r="W87" s="181" t="s">
        <v>130</v>
      </c>
      <c r="X87" s="181" t="s">
        <v>130</v>
      </c>
      <c r="Y87" s="181" t="s">
        <v>130</v>
      </c>
      <c r="Z87" s="180" t="s">
        <v>129</v>
      </c>
      <c r="AA87" s="180" t="s">
        <v>128</v>
      </c>
      <c r="AB87" s="180" t="s">
        <v>128</v>
      </c>
    </row>
    <row r="88" spans="1:28">
      <c r="A88" s="51"/>
      <c r="B88" s="1652" t="s">
        <v>296</v>
      </c>
      <c r="C88" s="1653"/>
      <c r="D88" s="1653"/>
      <c r="E88" s="1653"/>
      <c r="F88" s="50"/>
      <c r="G88" s="49"/>
      <c r="H88" s="49"/>
      <c r="I88" s="47"/>
      <c r="J88" s="295"/>
      <c r="K88" s="296"/>
      <c r="L88" s="45"/>
      <c r="M88" s="45"/>
      <c r="N88" s="45"/>
      <c r="O88" s="46"/>
      <c r="P88" s="43"/>
      <c r="Q88" s="43"/>
      <c r="R88" s="44"/>
      <c r="S88" s="44"/>
      <c r="T88" s="43"/>
      <c r="U88" s="43"/>
      <c r="V88" s="43"/>
      <c r="W88" s="44"/>
      <c r="X88" s="44"/>
      <c r="Y88" s="44"/>
      <c r="Z88" s="43"/>
      <c r="AA88" s="43"/>
      <c r="AB88" s="43"/>
    </row>
    <row r="89" spans="1:28">
      <c r="A89" s="37"/>
      <c r="B89" s="40" t="s">
        <v>127</v>
      </c>
      <c r="C89" s="39"/>
      <c r="D89" s="29">
        <v>1.25</v>
      </c>
      <c r="E89" s="29">
        <v>1.25</v>
      </c>
      <c r="F89" s="28">
        <v>0.4</v>
      </c>
      <c r="G89" s="26">
        <v>104</v>
      </c>
      <c r="H89" s="26" t="s">
        <v>115</v>
      </c>
      <c r="I89" s="21"/>
      <c r="J89" s="36"/>
      <c r="K89" s="25"/>
      <c r="L89" s="21">
        <f>((F89+D89+F89)*8+(F89+E89+F89)*8)*G89*L86+((D89*2+E89*2)*2*G89)*L86</f>
        <v>3952.6655999999998</v>
      </c>
      <c r="M89" s="21"/>
      <c r="N89" s="38"/>
      <c r="O89" s="22"/>
      <c r="P89" s="20">
        <f t="shared" ref="P89:P98" si="28">SUM(I89:O89)</f>
        <v>3952.6655999999998</v>
      </c>
      <c r="Q89" s="20">
        <f>(P89*0.03)</f>
        <v>118.57996799999999</v>
      </c>
      <c r="R89" s="20">
        <f t="shared" ref="R89:R98" si="29">D89*E89*0.05*G89</f>
        <v>8.125</v>
      </c>
      <c r="S89" s="20">
        <f t="shared" ref="S89:S98" si="30">D89*E89*F89*G89</f>
        <v>65</v>
      </c>
      <c r="T89" s="20">
        <f t="shared" ref="T89:T98" si="31">((D89*F89)*2+(E89*F89)*2)*G89</f>
        <v>208</v>
      </c>
      <c r="U89" s="20">
        <f>T89*30%</f>
        <v>62.4</v>
      </c>
      <c r="V89" s="20">
        <f>(T89+U89)*0.25</f>
        <v>67.599999999999994</v>
      </c>
      <c r="W89" s="20">
        <f t="shared" ref="W89:W98" si="32">(D89*E89*0.05)*G89</f>
        <v>8.125</v>
      </c>
      <c r="X89" s="20">
        <f t="shared" ref="X89:X98" si="33">((D89*E89)*2)*G89</f>
        <v>325</v>
      </c>
      <c r="Y89" s="20">
        <v>0</v>
      </c>
      <c r="Z89" s="20">
        <f t="shared" ref="Z89:Z98" si="34">G89*1</f>
        <v>104</v>
      </c>
      <c r="AA89" s="20">
        <v>0</v>
      </c>
      <c r="AB89" s="20">
        <v>0</v>
      </c>
    </row>
    <row r="90" spans="1:28">
      <c r="A90" s="37"/>
      <c r="B90" s="40" t="s">
        <v>298</v>
      </c>
      <c r="C90" s="39"/>
      <c r="D90" s="29">
        <v>1</v>
      </c>
      <c r="E90" s="29">
        <v>3</v>
      </c>
      <c r="F90" s="28">
        <v>0.6</v>
      </c>
      <c r="G90" s="26">
        <v>2</v>
      </c>
      <c r="H90" s="26" t="s">
        <v>115</v>
      </c>
      <c r="I90" s="21"/>
      <c r="J90" s="36"/>
      <c r="K90" s="25"/>
      <c r="L90" s="21">
        <f>((D90*2+E90*2)*2*G90)*L86</f>
        <v>28.416</v>
      </c>
      <c r="M90" s="21"/>
      <c r="N90" s="38">
        <f>((D90+E90+F90)*5+(D90+E90+F90)*11)*N86+((F90*2+G90*2)*N86)</f>
        <v>194.32080000000002</v>
      </c>
      <c r="O90" s="22"/>
      <c r="P90" s="20">
        <f t="shared" si="28"/>
        <v>222.73680000000002</v>
      </c>
      <c r="Q90" s="20">
        <f t="shared" ref="Q90:Q98" si="35">(P90*0.03)</f>
        <v>6.6821039999999998</v>
      </c>
      <c r="R90" s="20">
        <f t="shared" si="29"/>
        <v>0.30000000000000004</v>
      </c>
      <c r="S90" s="20">
        <f t="shared" si="30"/>
        <v>3.5999999999999996</v>
      </c>
      <c r="T90" s="20">
        <f t="shared" si="31"/>
        <v>9.6</v>
      </c>
      <c r="U90" s="20">
        <f t="shared" ref="U90:U98" si="36">T90*30%</f>
        <v>2.88</v>
      </c>
      <c r="V90" s="20">
        <f>(T90+U90)*0.25</f>
        <v>3.12</v>
      </c>
      <c r="W90" s="20">
        <f t="shared" si="32"/>
        <v>0.30000000000000004</v>
      </c>
      <c r="X90" s="20">
        <f t="shared" si="33"/>
        <v>12</v>
      </c>
      <c r="Y90" s="20"/>
      <c r="Z90" s="20">
        <f t="shared" si="34"/>
        <v>2</v>
      </c>
      <c r="AA90" s="20">
        <v>0</v>
      </c>
      <c r="AB90" s="20">
        <v>0</v>
      </c>
    </row>
    <row r="91" spans="1:28">
      <c r="A91" s="37"/>
      <c r="B91" s="40" t="s">
        <v>299</v>
      </c>
      <c r="C91" s="39"/>
      <c r="D91" s="29">
        <v>1.7</v>
      </c>
      <c r="E91" s="29">
        <v>1.7</v>
      </c>
      <c r="F91" s="28">
        <v>0.45</v>
      </c>
      <c r="G91" s="26">
        <v>12</v>
      </c>
      <c r="H91" s="26" t="s">
        <v>115</v>
      </c>
      <c r="I91" s="21"/>
      <c r="J91" s="36"/>
      <c r="K91" s="25"/>
      <c r="L91" s="21">
        <f>((D91*2+E91*2)*2*G91)*L86</f>
        <v>144.92159999999998</v>
      </c>
      <c r="M91" s="41">
        <f>((F91+E91+F91)*8+(F91+D91+F91)*8)*G91*$M$8</f>
        <v>787.73760000000016</v>
      </c>
      <c r="N91" s="23"/>
      <c r="O91" s="22"/>
      <c r="P91" s="20">
        <f t="shared" si="28"/>
        <v>932.65920000000017</v>
      </c>
      <c r="Q91" s="20">
        <f t="shared" si="35"/>
        <v>27.979776000000005</v>
      </c>
      <c r="R91" s="20">
        <f t="shared" si="29"/>
        <v>1.734</v>
      </c>
      <c r="S91" s="20">
        <f t="shared" si="30"/>
        <v>15.606</v>
      </c>
      <c r="T91" s="20">
        <f t="shared" si="31"/>
        <v>36.72</v>
      </c>
      <c r="U91" s="20">
        <f t="shared" si="36"/>
        <v>11.016</v>
      </c>
      <c r="V91" s="20">
        <f t="shared" ref="V91:V98" si="37">(T91+U91)*0.25</f>
        <v>11.933999999999999</v>
      </c>
      <c r="W91" s="20">
        <f t="shared" si="32"/>
        <v>1.734</v>
      </c>
      <c r="X91" s="20">
        <f t="shared" si="33"/>
        <v>69.359999999999985</v>
      </c>
      <c r="Y91" s="20"/>
      <c r="Z91" s="20">
        <f t="shared" si="34"/>
        <v>12</v>
      </c>
      <c r="AA91" s="20">
        <v>0</v>
      </c>
      <c r="AB91" s="20">
        <v>0</v>
      </c>
    </row>
    <row r="92" spans="1:28">
      <c r="A92" s="37"/>
      <c r="B92" s="40" t="s">
        <v>126</v>
      </c>
      <c r="C92" s="39"/>
      <c r="D92" s="29">
        <v>1.9</v>
      </c>
      <c r="E92" s="29">
        <v>1.9</v>
      </c>
      <c r="F92" s="28">
        <v>0.5</v>
      </c>
      <c r="G92" s="26">
        <v>22</v>
      </c>
      <c r="H92" s="26" t="s">
        <v>115</v>
      </c>
      <c r="I92" s="21"/>
      <c r="J92" s="36"/>
      <c r="K92" s="25"/>
      <c r="L92" s="21">
        <f>((D92*2+E92*2)*2*G92)*L86</f>
        <v>296.94720000000001</v>
      </c>
      <c r="M92" s="41">
        <f>((F92+E92+F92)*10+(F92+D92+F92)*10)*G92*M86</f>
        <v>2013.528</v>
      </c>
      <c r="N92" s="23"/>
      <c r="O92" s="22"/>
      <c r="P92" s="20">
        <f t="shared" si="28"/>
        <v>2310.4751999999999</v>
      </c>
      <c r="Q92" s="20">
        <f t="shared" si="35"/>
        <v>69.314255999999986</v>
      </c>
      <c r="R92" s="20">
        <f t="shared" si="29"/>
        <v>3.9710000000000001</v>
      </c>
      <c r="S92" s="20">
        <f t="shared" si="30"/>
        <v>39.71</v>
      </c>
      <c r="T92" s="20">
        <f t="shared" si="31"/>
        <v>83.6</v>
      </c>
      <c r="U92" s="20">
        <f t="shared" si="36"/>
        <v>25.08</v>
      </c>
      <c r="V92" s="20">
        <f t="shared" si="37"/>
        <v>27.169999999999998</v>
      </c>
      <c r="W92" s="20">
        <f t="shared" si="32"/>
        <v>3.9710000000000001</v>
      </c>
      <c r="X92" s="20">
        <f t="shared" si="33"/>
        <v>158.84</v>
      </c>
      <c r="Y92" s="20"/>
      <c r="Z92" s="20">
        <f t="shared" si="34"/>
        <v>22</v>
      </c>
      <c r="AA92" s="20">
        <v>0</v>
      </c>
      <c r="AB92" s="20">
        <v>0</v>
      </c>
    </row>
    <row r="93" spans="1:28">
      <c r="A93" s="37"/>
      <c r="B93" s="40" t="s">
        <v>125</v>
      </c>
      <c r="C93" s="39"/>
      <c r="D93" s="29">
        <v>2.5</v>
      </c>
      <c r="E93" s="29">
        <v>2.5</v>
      </c>
      <c r="F93" s="28">
        <v>0.6</v>
      </c>
      <c r="G93" s="26">
        <v>40</v>
      </c>
      <c r="H93" s="26" t="s">
        <v>115</v>
      </c>
      <c r="I93" s="21"/>
      <c r="J93" s="36"/>
      <c r="K93" s="25"/>
      <c r="L93" s="21">
        <f>((D93*2+E93*2)*2*G93)*L86</f>
        <v>710.4</v>
      </c>
      <c r="M93" s="21"/>
      <c r="N93" s="21">
        <f>((D93+E93+F93)*13+(D93+E93+F93)*13)*G93*N86</f>
        <v>14361.984</v>
      </c>
      <c r="O93" s="22"/>
      <c r="P93" s="20">
        <f t="shared" si="28"/>
        <v>15072.384</v>
      </c>
      <c r="Q93" s="20">
        <f t="shared" si="35"/>
        <v>452.17151999999999</v>
      </c>
      <c r="R93" s="20">
        <f t="shared" si="29"/>
        <v>12.5</v>
      </c>
      <c r="S93" s="20">
        <f t="shared" si="30"/>
        <v>150</v>
      </c>
      <c r="T93" s="20">
        <f t="shared" si="31"/>
        <v>240</v>
      </c>
      <c r="U93" s="20">
        <f t="shared" si="36"/>
        <v>72</v>
      </c>
      <c r="V93" s="20">
        <f t="shared" si="37"/>
        <v>78</v>
      </c>
      <c r="W93" s="20">
        <f t="shared" si="32"/>
        <v>12.5</v>
      </c>
      <c r="X93" s="20">
        <f t="shared" si="33"/>
        <v>500</v>
      </c>
      <c r="Y93" s="20"/>
      <c r="Z93" s="20">
        <f t="shared" si="34"/>
        <v>40</v>
      </c>
      <c r="AA93" s="20">
        <v>0</v>
      </c>
      <c r="AB93" s="20">
        <v>0</v>
      </c>
    </row>
    <row r="94" spans="1:28">
      <c r="A94" s="37"/>
      <c r="B94" s="40" t="s">
        <v>300</v>
      </c>
      <c r="C94" s="39"/>
      <c r="D94" s="29">
        <v>2</v>
      </c>
      <c r="E94" s="29">
        <v>3</v>
      </c>
      <c r="F94" s="28">
        <v>0.6</v>
      </c>
      <c r="G94" s="26">
        <v>2</v>
      </c>
      <c r="H94" s="26" t="s">
        <v>115</v>
      </c>
      <c r="I94" s="21"/>
      <c r="J94" s="36"/>
      <c r="K94" s="25"/>
      <c r="L94" s="21">
        <f>((D94*2+E94*2)*2*G94)*L86</f>
        <v>35.520000000000003</v>
      </c>
      <c r="M94" s="21"/>
      <c r="N94" s="21">
        <f>(D94+E94+F94)*13*G94*N86</f>
        <v>359.0496</v>
      </c>
      <c r="O94" s="21">
        <f>(D94+E94+F94)*13*G94*O86</f>
        <v>560.99680000000001</v>
      </c>
      <c r="P94" s="20">
        <f t="shared" si="28"/>
        <v>955.56639999999993</v>
      </c>
      <c r="Q94" s="20">
        <f t="shared" si="35"/>
        <v>28.666991999999997</v>
      </c>
      <c r="R94" s="20">
        <f t="shared" si="29"/>
        <v>0.60000000000000009</v>
      </c>
      <c r="S94" s="20">
        <f t="shared" si="30"/>
        <v>7.1999999999999993</v>
      </c>
      <c r="T94" s="20">
        <f t="shared" si="31"/>
        <v>12</v>
      </c>
      <c r="U94" s="20">
        <f t="shared" si="36"/>
        <v>3.5999999999999996</v>
      </c>
      <c r="V94" s="20">
        <f t="shared" si="37"/>
        <v>3.9</v>
      </c>
      <c r="W94" s="20">
        <f t="shared" si="32"/>
        <v>0.60000000000000009</v>
      </c>
      <c r="X94" s="20">
        <f t="shared" si="33"/>
        <v>24</v>
      </c>
      <c r="Y94" s="20"/>
      <c r="Z94" s="20">
        <f t="shared" si="34"/>
        <v>2</v>
      </c>
      <c r="AA94" s="20">
        <v>0</v>
      </c>
      <c r="AB94" s="20">
        <v>0</v>
      </c>
    </row>
    <row r="95" spans="1:28">
      <c r="A95" s="37"/>
      <c r="B95" s="40" t="s">
        <v>124</v>
      </c>
      <c r="C95" s="39"/>
      <c r="D95" s="29">
        <v>2.8</v>
      </c>
      <c r="E95" s="29">
        <v>2.8</v>
      </c>
      <c r="F95" s="28">
        <v>0.8</v>
      </c>
      <c r="G95" s="26">
        <v>56</v>
      </c>
      <c r="H95" s="26" t="s">
        <v>115</v>
      </c>
      <c r="I95" s="21"/>
      <c r="J95" s="36"/>
      <c r="K95" s="25"/>
      <c r="L95" s="21">
        <f>((D95*2+E95*2)*2*G95)*L86</f>
        <v>1113.9071999999999</v>
      </c>
      <c r="M95" s="21"/>
      <c r="N95" s="21">
        <f>((D95+E95+F95)*14+(D95+E95+F95)*14)*G95*N86</f>
        <v>24746.803199999998</v>
      </c>
      <c r="O95" s="22"/>
      <c r="P95" s="20">
        <f t="shared" si="28"/>
        <v>25860.7104</v>
      </c>
      <c r="Q95" s="20">
        <f t="shared" si="35"/>
        <v>775.82131199999992</v>
      </c>
      <c r="R95" s="20">
        <f t="shared" si="29"/>
        <v>21.951999999999998</v>
      </c>
      <c r="S95" s="20">
        <f t="shared" si="30"/>
        <v>351.23199999999997</v>
      </c>
      <c r="T95" s="20">
        <f t="shared" si="31"/>
        <v>501.75999999999993</v>
      </c>
      <c r="U95" s="20">
        <f t="shared" si="36"/>
        <v>150.52799999999996</v>
      </c>
      <c r="V95" s="20">
        <f t="shared" si="37"/>
        <v>163.07199999999997</v>
      </c>
      <c r="W95" s="20">
        <f t="shared" si="32"/>
        <v>21.951999999999998</v>
      </c>
      <c r="X95" s="20">
        <f t="shared" si="33"/>
        <v>878.07999999999993</v>
      </c>
      <c r="Y95" s="20"/>
      <c r="Z95" s="20">
        <f t="shared" si="34"/>
        <v>56</v>
      </c>
      <c r="AA95" s="20">
        <v>0</v>
      </c>
      <c r="AB95" s="20">
        <v>0</v>
      </c>
    </row>
    <row r="96" spans="1:28">
      <c r="A96" s="37"/>
      <c r="B96" s="40" t="s">
        <v>123</v>
      </c>
      <c r="C96" s="39"/>
      <c r="D96" s="29">
        <v>3.8</v>
      </c>
      <c r="E96" s="29">
        <v>2.5</v>
      </c>
      <c r="F96" s="28">
        <v>0.7</v>
      </c>
      <c r="G96" s="26">
        <v>2</v>
      </c>
      <c r="H96" s="26" t="s">
        <v>115</v>
      </c>
      <c r="I96" s="21"/>
      <c r="J96" s="36"/>
      <c r="K96" s="25"/>
      <c r="L96" s="21">
        <f>((D96*2+E96*2)*2*G96)*L86</f>
        <v>44.755200000000002</v>
      </c>
      <c r="M96" s="21"/>
      <c r="N96" s="21">
        <f>((D96+E96+F96)*14+(D96+E96+F96)*16)*G96*N86</f>
        <v>1035.72</v>
      </c>
      <c r="O96" s="22"/>
      <c r="P96" s="20">
        <f t="shared" si="28"/>
        <v>1080.4752000000001</v>
      </c>
      <c r="Q96" s="20">
        <f t="shared" si="35"/>
        <v>32.414256000000002</v>
      </c>
      <c r="R96" s="20">
        <f t="shared" si="29"/>
        <v>0.95000000000000007</v>
      </c>
      <c r="S96" s="20">
        <f t="shared" si="30"/>
        <v>13.299999999999999</v>
      </c>
      <c r="T96" s="20">
        <f t="shared" si="31"/>
        <v>17.64</v>
      </c>
      <c r="U96" s="20">
        <f t="shared" si="36"/>
        <v>5.2919999999999998</v>
      </c>
      <c r="V96" s="20">
        <f t="shared" si="37"/>
        <v>5.7330000000000005</v>
      </c>
      <c r="W96" s="20">
        <f t="shared" si="32"/>
        <v>0.95000000000000007</v>
      </c>
      <c r="X96" s="20">
        <f t="shared" si="33"/>
        <v>38</v>
      </c>
      <c r="Y96" s="20"/>
      <c r="Z96" s="20">
        <f t="shared" si="34"/>
        <v>2</v>
      </c>
      <c r="AA96" s="20">
        <v>0</v>
      </c>
      <c r="AB96" s="20">
        <v>0</v>
      </c>
    </row>
    <row r="97" spans="1:28">
      <c r="A97" s="37"/>
      <c r="B97" s="40" t="s">
        <v>301</v>
      </c>
      <c r="C97" s="39"/>
      <c r="D97" s="29">
        <v>3.2</v>
      </c>
      <c r="E97" s="29">
        <v>3.8</v>
      </c>
      <c r="F97" s="28">
        <v>0.7</v>
      </c>
      <c r="G97" s="26">
        <v>1</v>
      </c>
      <c r="H97" s="26" t="s">
        <v>115</v>
      </c>
      <c r="I97" s="21"/>
      <c r="J97" s="36"/>
      <c r="K97" s="25"/>
      <c r="L97" s="21">
        <f>((D97*2+E97*2)*2*G97)*L86</f>
        <v>24.864000000000001</v>
      </c>
      <c r="M97" s="21"/>
      <c r="N97" s="23"/>
      <c r="O97" s="21">
        <f>((D97+E97+F97)*25+(D97+E97+F97)*35)*G97*O86</f>
        <v>1780.086</v>
      </c>
      <c r="P97" s="20">
        <f t="shared" si="28"/>
        <v>1804.95</v>
      </c>
      <c r="Q97" s="20">
        <f t="shared" si="35"/>
        <v>54.148499999999999</v>
      </c>
      <c r="R97" s="20">
        <f t="shared" si="29"/>
        <v>0.6080000000000001</v>
      </c>
      <c r="S97" s="20">
        <f t="shared" si="30"/>
        <v>8.5119999999999987</v>
      </c>
      <c r="T97" s="20">
        <f t="shared" si="31"/>
        <v>9.7999999999999989</v>
      </c>
      <c r="U97" s="20">
        <f t="shared" si="36"/>
        <v>2.9399999999999995</v>
      </c>
      <c r="V97" s="20">
        <f t="shared" si="37"/>
        <v>3.1849999999999996</v>
      </c>
      <c r="W97" s="20">
        <f t="shared" si="32"/>
        <v>0.6080000000000001</v>
      </c>
      <c r="X97" s="20">
        <f t="shared" si="33"/>
        <v>24.32</v>
      </c>
      <c r="Y97" s="20"/>
      <c r="Z97" s="20">
        <f t="shared" si="34"/>
        <v>1</v>
      </c>
      <c r="AA97" s="20">
        <v>0</v>
      </c>
      <c r="AB97" s="20">
        <v>0</v>
      </c>
    </row>
    <row r="98" spans="1:28">
      <c r="A98" s="37"/>
      <c r="B98" s="40" t="s">
        <v>302</v>
      </c>
      <c r="C98" s="39"/>
      <c r="D98" s="29">
        <v>3.3</v>
      </c>
      <c r="E98" s="29">
        <v>4.75</v>
      </c>
      <c r="F98" s="28">
        <v>0.7</v>
      </c>
      <c r="G98" s="26">
        <v>1</v>
      </c>
      <c r="H98" s="26" t="s">
        <v>115</v>
      </c>
      <c r="I98" s="21"/>
      <c r="J98" s="36"/>
      <c r="K98" s="25"/>
      <c r="L98" s="21">
        <f>((D98*2+E98*2)*2*G98)*L86</f>
        <v>28.593600000000002</v>
      </c>
      <c r="M98" s="21"/>
      <c r="N98" s="23"/>
      <c r="O98" s="21">
        <f>((D98+E98+F98)*40+(D98+E98+F98)*40)*G98*O86</f>
        <v>2697.1000000000004</v>
      </c>
      <c r="P98" s="20">
        <f t="shared" si="28"/>
        <v>2725.6936000000005</v>
      </c>
      <c r="Q98" s="20">
        <f t="shared" si="35"/>
        <v>81.770808000000017</v>
      </c>
      <c r="R98" s="20">
        <f t="shared" si="29"/>
        <v>0.78374999999999995</v>
      </c>
      <c r="S98" s="20">
        <f t="shared" si="30"/>
        <v>10.972499999999998</v>
      </c>
      <c r="T98" s="20">
        <f t="shared" si="31"/>
        <v>11.27</v>
      </c>
      <c r="U98" s="20">
        <f t="shared" si="36"/>
        <v>3.3809999999999998</v>
      </c>
      <c r="V98" s="20">
        <f t="shared" si="37"/>
        <v>3.66275</v>
      </c>
      <c r="W98" s="20">
        <f t="shared" si="32"/>
        <v>0.78374999999999995</v>
      </c>
      <c r="X98" s="20">
        <f t="shared" si="33"/>
        <v>31.349999999999998</v>
      </c>
      <c r="Y98" s="20"/>
      <c r="Z98" s="20">
        <f t="shared" si="34"/>
        <v>1</v>
      </c>
      <c r="AA98" s="20">
        <v>0</v>
      </c>
      <c r="AB98" s="20">
        <v>0</v>
      </c>
    </row>
    <row r="99" spans="1:28">
      <c r="A99" s="37"/>
      <c r="B99" s="40" t="s">
        <v>266</v>
      </c>
      <c r="C99" s="39"/>
      <c r="D99" s="29"/>
      <c r="E99" s="29"/>
      <c r="F99" s="28"/>
      <c r="G99" s="26"/>
      <c r="H99" s="26"/>
      <c r="I99" s="21"/>
      <c r="J99" s="36"/>
      <c r="K99" s="25"/>
      <c r="L99" s="21"/>
      <c r="M99" s="21"/>
      <c r="N99" s="23"/>
      <c r="O99" s="131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</row>
    <row r="100" spans="1:28">
      <c r="A100" s="37"/>
      <c r="B100" s="31" t="s">
        <v>303</v>
      </c>
      <c r="C100" s="30"/>
      <c r="D100" s="29">
        <v>0.4</v>
      </c>
      <c r="E100" s="29">
        <v>0.8</v>
      </c>
      <c r="F100" s="28"/>
      <c r="G100" s="27">
        <v>482.45</v>
      </c>
      <c r="H100" s="26" t="s">
        <v>73</v>
      </c>
      <c r="I100" s="23"/>
      <c r="J100" s="36">
        <f>((D100+E100+D100+E100)*G100/0.1)*2*J86</f>
        <v>11555.642400000001</v>
      </c>
      <c r="K100" s="25"/>
      <c r="L100" s="21">
        <f>(G100*2)*L86</f>
        <v>856.83119999999997</v>
      </c>
      <c r="M100" s="23"/>
      <c r="N100" s="23"/>
      <c r="O100" s="23">
        <f>(G100*12+1)*O86</f>
        <v>22310.411199999999</v>
      </c>
      <c r="P100" s="20">
        <f t="shared" ref="P100:P116" si="38">SUM(I100:O100)</f>
        <v>34722.8848</v>
      </c>
      <c r="Q100" s="20">
        <f t="shared" ref="Q100:Q112" si="39">(P100*0.03)</f>
        <v>1041.6865439999999</v>
      </c>
      <c r="R100" s="20"/>
      <c r="S100" s="20">
        <f t="shared" ref="S100:S116" si="40">D100*E100*G100</f>
        <v>154.38400000000001</v>
      </c>
      <c r="T100" s="20">
        <f t="shared" ref="T100:T106" si="41">(D100+E100+E100)*G100</f>
        <v>964.9</v>
      </c>
      <c r="U100" s="20">
        <f t="shared" ref="U100:U112" si="42">T100*30%</f>
        <v>289.46999999999997</v>
      </c>
      <c r="V100" s="20">
        <f t="shared" ref="V100:V112" si="43">(T100+U100)*0.25</f>
        <v>313.59249999999997</v>
      </c>
      <c r="W100" s="20"/>
      <c r="X100" s="20">
        <v>0</v>
      </c>
      <c r="Y100" s="20">
        <v>0</v>
      </c>
      <c r="Z100" s="20">
        <v>0</v>
      </c>
      <c r="AA100" s="20">
        <v>0</v>
      </c>
      <c r="AB100" s="20">
        <v>0</v>
      </c>
    </row>
    <row r="101" spans="1:28">
      <c r="A101" s="37"/>
      <c r="B101" s="31" t="s">
        <v>304</v>
      </c>
      <c r="C101" s="30"/>
      <c r="D101" s="29">
        <v>0.2</v>
      </c>
      <c r="E101" s="29">
        <v>0.5</v>
      </c>
      <c r="F101" s="28"/>
      <c r="G101" s="27">
        <v>9.5</v>
      </c>
      <c r="H101" s="26" t="s">
        <v>73</v>
      </c>
      <c r="I101" s="23"/>
      <c r="J101" s="36">
        <f>((D101+E101+D101+E101)*G101/0.2)*J86</f>
        <v>33.183499999999995</v>
      </c>
      <c r="K101" s="25"/>
      <c r="L101" s="21"/>
      <c r="M101" s="23"/>
      <c r="N101" s="23">
        <f>(G101*4)*N86</f>
        <v>93.708000000000013</v>
      </c>
      <c r="O101" s="22"/>
      <c r="P101" s="20">
        <f t="shared" si="38"/>
        <v>126.89150000000001</v>
      </c>
      <c r="Q101" s="20">
        <f t="shared" si="39"/>
        <v>3.8067450000000003</v>
      </c>
      <c r="R101" s="20"/>
      <c r="S101" s="20">
        <f t="shared" si="40"/>
        <v>0.95000000000000007</v>
      </c>
      <c r="T101" s="20">
        <f t="shared" si="41"/>
        <v>11.4</v>
      </c>
      <c r="U101" s="20">
        <f t="shared" si="42"/>
        <v>3.42</v>
      </c>
      <c r="V101" s="20">
        <f t="shared" si="43"/>
        <v>3.7050000000000001</v>
      </c>
      <c r="W101" s="20"/>
      <c r="X101" s="20">
        <v>0</v>
      </c>
      <c r="Y101" s="20">
        <v>0</v>
      </c>
      <c r="Z101" s="20">
        <v>0</v>
      </c>
      <c r="AA101" s="20">
        <v>0</v>
      </c>
      <c r="AB101" s="20">
        <v>0</v>
      </c>
    </row>
    <row r="102" spans="1:28">
      <c r="A102" s="37"/>
      <c r="B102" s="31" t="s">
        <v>305</v>
      </c>
      <c r="C102" s="30"/>
      <c r="D102" s="29">
        <v>0.3</v>
      </c>
      <c r="E102" s="29">
        <v>0.6</v>
      </c>
      <c r="F102" s="28"/>
      <c r="G102" s="27">
        <v>18</v>
      </c>
      <c r="H102" s="26" t="s">
        <v>73</v>
      </c>
      <c r="I102" s="23"/>
      <c r="J102" s="36">
        <f>((D102+E102+D102+E102)*G102/0.1)*J86</f>
        <v>161.67599999999996</v>
      </c>
      <c r="K102" s="25"/>
      <c r="L102" s="21"/>
      <c r="M102" s="23"/>
      <c r="N102" s="23"/>
      <c r="O102" s="23">
        <f>(G102*8)*O86</f>
        <v>554.83199999999999</v>
      </c>
      <c r="P102" s="20">
        <f t="shared" si="38"/>
        <v>716.50799999999992</v>
      </c>
      <c r="Q102" s="20">
        <f t="shared" si="39"/>
        <v>21.495239999999995</v>
      </c>
      <c r="R102" s="20"/>
      <c r="S102" s="20">
        <f t="shared" si="40"/>
        <v>3.2399999999999998</v>
      </c>
      <c r="T102" s="20">
        <f t="shared" si="41"/>
        <v>27</v>
      </c>
      <c r="U102" s="20">
        <f t="shared" si="42"/>
        <v>8.1</v>
      </c>
      <c r="V102" s="20">
        <f t="shared" si="43"/>
        <v>8.7750000000000004</v>
      </c>
      <c r="W102" s="20"/>
      <c r="X102" s="20">
        <v>0</v>
      </c>
      <c r="Y102" s="20">
        <v>0</v>
      </c>
      <c r="Z102" s="20">
        <v>0</v>
      </c>
      <c r="AA102" s="20">
        <v>0</v>
      </c>
      <c r="AB102" s="20">
        <v>0</v>
      </c>
    </row>
    <row r="103" spans="1:28">
      <c r="A103" s="37"/>
      <c r="B103" s="31" t="s">
        <v>306</v>
      </c>
      <c r="C103" s="30"/>
      <c r="D103" s="29">
        <v>0.2</v>
      </c>
      <c r="E103" s="29">
        <v>0.5</v>
      </c>
      <c r="F103" s="28"/>
      <c r="G103" s="27">
        <v>46.75</v>
      </c>
      <c r="H103" s="26" t="s">
        <v>73</v>
      </c>
      <c r="I103" s="23"/>
      <c r="J103" s="36">
        <f>((D103+E103+D103+E103)*G103/0.2)*J86</f>
        <v>163.29775000000001</v>
      </c>
      <c r="K103" s="25"/>
      <c r="L103" s="21"/>
      <c r="M103" s="23"/>
      <c r="N103" s="23">
        <f>(G103*6)*N86</f>
        <v>691.71300000000008</v>
      </c>
      <c r="O103" s="22"/>
      <c r="P103" s="20">
        <f t="shared" si="38"/>
        <v>855.01075000000014</v>
      </c>
      <c r="Q103" s="20">
        <f t="shared" si="39"/>
        <v>25.650322500000005</v>
      </c>
      <c r="R103" s="20"/>
      <c r="S103" s="20">
        <f t="shared" si="40"/>
        <v>4.6749999999999998</v>
      </c>
      <c r="T103" s="20">
        <f t="shared" si="41"/>
        <v>56.1</v>
      </c>
      <c r="U103" s="20">
        <f t="shared" si="42"/>
        <v>16.829999999999998</v>
      </c>
      <c r="V103" s="20">
        <f t="shared" si="43"/>
        <v>18.232500000000002</v>
      </c>
      <c r="W103" s="20"/>
      <c r="X103" s="20">
        <v>0</v>
      </c>
      <c r="Y103" s="20">
        <v>0</v>
      </c>
      <c r="Z103" s="20">
        <v>0</v>
      </c>
      <c r="AA103" s="20">
        <v>0</v>
      </c>
      <c r="AB103" s="20">
        <v>0</v>
      </c>
    </row>
    <row r="104" spans="1:28">
      <c r="A104" s="37"/>
      <c r="B104" s="31" t="s">
        <v>307</v>
      </c>
      <c r="C104" s="30"/>
      <c r="D104" s="29">
        <v>0.3</v>
      </c>
      <c r="E104" s="29">
        <v>0.6</v>
      </c>
      <c r="F104" s="28"/>
      <c r="G104" s="27">
        <v>133</v>
      </c>
      <c r="H104" s="26" t="s">
        <v>73</v>
      </c>
      <c r="I104" s="23"/>
      <c r="J104" s="36">
        <f>((D104+E104+D104+E104)*G104/0.2)*J86</f>
        <v>597.30299999999988</v>
      </c>
      <c r="K104" s="25"/>
      <c r="L104" s="21"/>
      <c r="M104" s="23"/>
      <c r="N104" s="23"/>
      <c r="O104" s="22">
        <f>(G104*6)*O86</f>
        <v>3074.694</v>
      </c>
      <c r="P104" s="20">
        <f t="shared" si="38"/>
        <v>3671.9969999999998</v>
      </c>
      <c r="Q104" s="20">
        <f t="shared" si="39"/>
        <v>110.15991</v>
      </c>
      <c r="R104" s="20"/>
      <c r="S104" s="20">
        <f t="shared" si="40"/>
        <v>23.939999999999998</v>
      </c>
      <c r="T104" s="20">
        <f t="shared" si="41"/>
        <v>199.5</v>
      </c>
      <c r="U104" s="20">
        <f t="shared" si="42"/>
        <v>59.849999999999994</v>
      </c>
      <c r="V104" s="20">
        <f t="shared" si="43"/>
        <v>64.837500000000006</v>
      </c>
      <c r="W104" s="20"/>
      <c r="X104" s="20">
        <v>0</v>
      </c>
      <c r="Y104" s="20">
        <v>0</v>
      </c>
      <c r="Z104" s="20">
        <v>0</v>
      </c>
      <c r="AA104" s="20">
        <v>0</v>
      </c>
      <c r="AB104" s="20">
        <v>0</v>
      </c>
    </row>
    <row r="105" spans="1:28">
      <c r="A105" s="37"/>
      <c r="B105" s="31" t="s">
        <v>308</v>
      </c>
      <c r="C105" s="30"/>
      <c r="D105" s="29">
        <v>0.2</v>
      </c>
      <c r="E105" s="29">
        <v>0.4</v>
      </c>
      <c r="F105" s="28"/>
      <c r="G105" s="27">
        <v>19</v>
      </c>
      <c r="H105" s="26" t="s">
        <v>73</v>
      </c>
      <c r="I105" s="23"/>
      <c r="J105" s="36">
        <f>((D105+E105+D105+E105)*G105/0.2)*J86</f>
        <v>56.88600000000001</v>
      </c>
      <c r="K105" s="25"/>
      <c r="L105" s="21"/>
      <c r="M105" s="23">
        <f>(G105*4)*M86</f>
        <v>119.92800000000001</v>
      </c>
      <c r="N105" s="23"/>
      <c r="O105" s="22"/>
      <c r="P105" s="20">
        <f t="shared" si="38"/>
        <v>176.81400000000002</v>
      </c>
      <c r="Q105" s="20">
        <f t="shared" si="39"/>
        <v>5.3044200000000004</v>
      </c>
      <c r="R105" s="20"/>
      <c r="S105" s="20">
        <f t="shared" si="40"/>
        <v>1.5200000000000002</v>
      </c>
      <c r="T105" s="20">
        <f t="shared" si="41"/>
        <v>19</v>
      </c>
      <c r="U105" s="20">
        <f t="shared" si="42"/>
        <v>5.7</v>
      </c>
      <c r="V105" s="20">
        <f t="shared" si="43"/>
        <v>6.1749999999999998</v>
      </c>
      <c r="W105" s="20"/>
      <c r="X105" s="20">
        <v>0</v>
      </c>
      <c r="Y105" s="20">
        <v>0</v>
      </c>
      <c r="Z105" s="20">
        <v>0</v>
      </c>
      <c r="AA105" s="20">
        <v>0</v>
      </c>
      <c r="AB105" s="20">
        <v>0</v>
      </c>
    </row>
    <row r="106" spans="1:28">
      <c r="A106" s="37"/>
      <c r="B106" s="31" t="s">
        <v>309</v>
      </c>
      <c r="C106" s="30"/>
      <c r="D106" s="29">
        <v>0.45</v>
      </c>
      <c r="E106" s="29">
        <v>0.9</v>
      </c>
      <c r="F106" s="28"/>
      <c r="G106" s="27">
        <v>170.35</v>
      </c>
      <c r="H106" s="26" t="s">
        <v>73</v>
      </c>
      <c r="I106" s="23"/>
      <c r="J106" s="36">
        <f>((D106+E106+D106+E106)*G106/0.2)*2*J86</f>
        <v>2295.1255499999997</v>
      </c>
      <c r="K106" s="25"/>
      <c r="L106" s="21">
        <f>(G106*2)*L86</f>
        <v>302.54160000000002</v>
      </c>
      <c r="M106" s="23"/>
      <c r="N106" s="23"/>
      <c r="O106" s="22">
        <f>(G106*10)*O86</f>
        <v>6563.5855000000001</v>
      </c>
      <c r="P106" s="20">
        <f t="shared" si="38"/>
        <v>9161.2526500000004</v>
      </c>
      <c r="Q106" s="20">
        <f t="shared" si="39"/>
        <v>274.8375795</v>
      </c>
      <c r="R106" s="20"/>
      <c r="S106" s="20">
        <f t="shared" si="40"/>
        <v>68.991749999999996</v>
      </c>
      <c r="T106" s="20">
        <f t="shared" si="41"/>
        <v>383.28749999999997</v>
      </c>
      <c r="U106" s="20">
        <f t="shared" si="42"/>
        <v>114.98624999999998</v>
      </c>
      <c r="V106" s="20">
        <f t="shared" si="43"/>
        <v>124.56843749999999</v>
      </c>
      <c r="W106" s="20"/>
      <c r="X106" s="20">
        <v>0</v>
      </c>
      <c r="Y106" s="20">
        <v>0</v>
      </c>
      <c r="Z106" s="20">
        <v>0</v>
      </c>
      <c r="AA106" s="20">
        <v>0</v>
      </c>
      <c r="AB106" s="20">
        <v>0</v>
      </c>
    </row>
    <row r="107" spans="1:28">
      <c r="A107" s="37"/>
      <c r="B107" s="31" t="s">
        <v>310</v>
      </c>
      <c r="C107" s="30"/>
      <c r="D107" s="29">
        <v>0.3</v>
      </c>
      <c r="E107" s="29">
        <v>0.3</v>
      </c>
      <c r="F107" s="28"/>
      <c r="G107" s="27">
        <v>52</v>
      </c>
      <c r="H107" s="26" t="s">
        <v>73</v>
      </c>
      <c r="I107" s="23"/>
      <c r="J107" s="36">
        <f>((D107+E107+D107+E107)*G107/0.19)*J86</f>
        <v>163.88210526315791</v>
      </c>
      <c r="K107" s="25"/>
      <c r="L107" s="21">
        <f>(G107*8)*L86</f>
        <v>369.40800000000002</v>
      </c>
      <c r="M107" s="23"/>
      <c r="N107" s="23"/>
      <c r="O107" s="22"/>
      <c r="P107" s="20">
        <f t="shared" si="38"/>
        <v>533.2901052631579</v>
      </c>
      <c r="Q107" s="20">
        <f t="shared" si="39"/>
        <v>15.998703157894736</v>
      </c>
      <c r="R107" s="20"/>
      <c r="S107" s="20">
        <f t="shared" si="40"/>
        <v>4.68</v>
      </c>
      <c r="T107" s="20">
        <f t="shared" ref="T107:T118" si="44">(D107+E107+E107+D107)*G107</f>
        <v>62.4</v>
      </c>
      <c r="U107" s="20">
        <f t="shared" si="42"/>
        <v>18.72</v>
      </c>
      <c r="V107" s="20">
        <f t="shared" si="43"/>
        <v>20.28</v>
      </c>
      <c r="W107" s="20"/>
      <c r="X107" s="20">
        <v>0</v>
      </c>
      <c r="Y107" s="20">
        <v>0</v>
      </c>
      <c r="Z107" s="20">
        <v>0</v>
      </c>
      <c r="AA107" s="20">
        <v>0</v>
      </c>
      <c r="AB107" s="20">
        <v>0</v>
      </c>
    </row>
    <row r="108" spans="1:28">
      <c r="A108" s="37"/>
      <c r="B108" s="31" t="s">
        <v>311</v>
      </c>
      <c r="C108" s="30"/>
      <c r="D108" s="29">
        <v>0.45</v>
      </c>
      <c r="E108" s="29">
        <v>0.45</v>
      </c>
      <c r="F108" s="28"/>
      <c r="G108" s="27">
        <v>34</v>
      </c>
      <c r="H108" s="26" t="s">
        <v>73</v>
      </c>
      <c r="I108" s="23"/>
      <c r="J108" s="36">
        <f>((D108+E108+D108+E108)*G108/0.19)*J86</f>
        <v>160.73052631578946</v>
      </c>
      <c r="K108" s="25"/>
      <c r="L108" s="21"/>
      <c r="M108" s="23">
        <f>(G108*6)*M86</f>
        <v>321.91200000000003</v>
      </c>
      <c r="N108" s="23"/>
      <c r="O108" s="22"/>
      <c r="P108" s="20">
        <f t="shared" si="38"/>
        <v>482.6425263157895</v>
      </c>
      <c r="Q108" s="20">
        <f t="shared" si="39"/>
        <v>14.479275789473684</v>
      </c>
      <c r="R108" s="20"/>
      <c r="S108" s="20">
        <f t="shared" si="40"/>
        <v>6.8850000000000007</v>
      </c>
      <c r="T108" s="20">
        <f t="shared" si="44"/>
        <v>61.2</v>
      </c>
      <c r="U108" s="20">
        <f t="shared" si="42"/>
        <v>18.36</v>
      </c>
      <c r="V108" s="20">
        <f t="shared" si="43"/>
        <v>19.89</v>
      </c>
      <c r="W108" s="20"/>
      <c r="X108" s="20">
        <v>0</v>
      </c>
      <c r="Y108" s="20">
        <v>0</v>
      </c>
      <c r="Z108" s="20">
        <v>0</v>
      </c>
      <c r="AA108" s="20">
        <v>0</v>
      </c>
      <c r="AB108" s="20">
        <v>0</v>
      </c>
    </row>
    <row r="109" spans="1:28">
      <c r="A109" s="37"/>
      <c r="B109" s="31" t="s">
        <v>99</v>
      </c>
      <c r="C109" s="30"/>
      <c r="D109" s="29">
        <v>0.6</v>
      </c>
      <c r="E109" s="29">
        <v>0.6</v>
      </c>
      <c r="F109" s="28"/>
      <c r="G109" s="27">
        <v>32.4</v>
      </c>
      <c r="H109" s="26" t="s">
        <v>73</v>
      </c>
      <c r="I109" s="23"/>
      <c r="J109" s="36">
        <f>((D109+E109+D109+E109)*G109/0.2)*J86</f>
        <v>194.01119999999997</v>
      </c>
      <c r="K109" s="25"/>
      <c r="L109" s="21"/>
      <c r="M109" s="23">
        <f>(G109*8)*M86</f>
        <v>409.01760000000002</v>
      </c>
      <c r="N109" s="23"/>
      <c r="O109" s="22"/>
      <c r="P109" s="20">
        <f t="shared" si="38"/>
        <v>603.02880000000005</v>
      </c>
      <c r="Q109" s="20">
        <f t="shared" si="39"/>
        <v>18.090864</v>
      </c>
      <c r="R109" s="20"/>
      <c r="S109" s="20">
        <f t="shared" si="40"/>
        <v>11.664</v>
      </c>
      <c r="T109" s="20">
        <f t="shared" si="44"/>
        <v>77.759999999999991</v>
      </c>
      <c r="U109" s="20">
        <f t="shared" si="42"/>
        <v>23.327999999999996</v>
      </c>
      <c r="V109" s="20">
        <f t="shared" si="43"/>
        <v>25.271999999999998</v>
      </c>
      <c r="W109" s="20"/>
      <c r="X109" s="20">
        <v>0</v>
      </c>
      <c r="Y109" s="20">
        <v>0</v>
      </c>
      <c r="Z109" s="20">
        <v>0</v>
      </c>
      <c r="AA109" s="20">
        <v>0</v>
      </c>
      <c r="AB109" s="20">
        <v>0</v>
      </c>
    </row>
    <row r="110" spans="1:28">
      <c r="A110" s="37"/>
      <c r="B110" s="31" t="s">
        <v>98</v>
      </c>
      <c r="C110" s="30"/>
      <c r="D110" s="29">
        <v>0.5</v>
      </c>
      <c r="E110" s="29">
        <v>0.5</v>
      </c>
      <c r="F110" s="28"/>
      <c r="G110" s="27">
        <v>44</v>
      </c>
      <c r="H110" s="26" t="s">
        <v>73</v>
      </c>
      <c r="I110" s="23"/>
      <c r="J110" s="36">
        <f>((D110+E110+D110+E110)*G110/0.3)*J86</f>
        <v>146.37333333333336</v>
      </c>
      <c r="K110" s="25"/>
      <c r="L110" s="21"/>
      <c r="M110" s="23"/>
      <c r="N110" s="23">
        <f>(G110*10)*N86</f>
        <v>1085.0400000000002</v>
      </c>
      <c r="O110" s="22"/>
      <c r="P110" s="20">
        <f t="shared" si="38"/>
        <v>1231.4133333333336</v>
      </c>
      <c r="Q110" s="20">
        <f t="shared" si="39"/>
        <v>36.942400000000006</v>
      </c>
      <c r="R110" s="20"/>
      <c r="S110" s="20">
        <f t="shared" si="40"/>
        <v>11</v>
      </c>
      <c r="T110" s="20">
        <f t="shared" si="44"/>
        <v>88</v>
      </c>
      <c r="U110" s="20">
        <f t="shared" si="42"/>
        <v>26.4</v>
      </c>
      <c r="V110" s="20">
        <f t="shared" si="43"/>
        <v>28.6</v>
      </c>
      <c r="W110" s="20"/>
      <c r="X110" s="20">
        <v>0</v>
      </c>
      <c r="Y110" s="20">
        <v>0</v>
      </c>
      <c r="Z110" s="20">
        <v>0</v>
      </c>
      <c r="AA110" s="20">
        <v>0</v>
      </c>
      <c r="AB110" s="20">
        <v>0</v>
      </c>
    </row>
    <row r="111" spans="1:28">
      <c r="A111" s="37"/>
      <c r="B111" s="31" t="s">
        <v>96</v>
      </c>
      <c r="C111" s="30"/>
      <c r="D111" s="29">
        <v>0.55000000000000004</v>
      </c>
      <c r="E111" s="29">
        <v>0.55000000000000004</v>
      </c>
      <c r="F111" s="28"/>
      <c r="G111" s="27">
        <v>102.6</v>
      </c>
      <c r="H111" s="26" t="s">
        <v>73</v>
      </c>
      <c r="I111" s="23"/>
      <c r="J111" s="36">
        <f>((D111+E111+D111+E111)*G111/0.3)*J86</f>
        <v>375.44759999999997</v>
      </c>
      <c r="K111" s="25"/>
      <c r="L111" s="21"/>
      <c r="M111" s="23"/>
      <c r="N111" s="23">
        <f>(G111*12)*N86</f>
        <v>3036.1391999999996</v>
      </c>
      <c r="O111" s="22"/>
      <c r="P111" s="20">
        <f t="shared" si="38"/>
        <v>3411.5867999999996</v>
      </c>
      <c r="Q111" s="20">
        <f t="shared" si="39"/>
        <v>102.34760399999999</v>
      </c>
      <c r="R111" s="20"/>
      <c r="S111" s="20">
        <f t="shared" si="40"/>
        <v>31.036500000000004</v>
      </c>
      <c r="T111" s="20">
        <f t="shared" si="44"/>
        <v>225.72</v>
      </c>
      <c r="U111" s="20">
        <f t="shared" si="42"/>
        <v>67.715999999999994</v>
      </c>
      <c r="V111" s="20">
        <f t="shared" si="43"/>
        <v>73.358999999999995</v>
      </c>
      <c r="W111" s="20"/>
      <c r="X111" s="20">
        <v>0</v>
      </c>
      <c r="Y111" s="20">
        <v>0</v>
      </c>
      <c r="Z111" s="20">
        <v>0</v>
      </c>
      <c r="AA111" s="20">
        <v>0</v>
      </c>
      <c r="AB111" s="20">
        <v>0</v>
      </c>
    </row>
    <row r="112" spans="1:28">
      <c r="A112" s="37"/>
      <c r="B112" s="31" t="s">
        <v>312</v>
      </c>
      <c r="C112" s="30"/>
      <c r="D112" s="29">
        <v>0.2</v>
      </c>
      <c r="E112" s="29">
        <v>0.5</v>
      </c>
      <c r="F112" s="28"/>
      <c r="G112" s="27">
        <v>14.4</v>
      </c>
      <c r="H112" s="26" t="s">
        <v>73</v>
      </c>
      <c r="I112" s="23"/>
      <c r="J112" s="36">
        <f>((D112+E112+D112+E112)*G112/0.2)*J86</f>
        <v>50.299199999999999</v>
      </c>
      <c r="K112" s="25"/>
      <c r="L112" s="21"/>
      <c r="M112" s="23">
        <f>(G112*8)*M86</f>
        <v>181.78560000000002</v>
      </c>
      <c r="N112" s="23"/>
      <c r="O112" s="22"/>
      <c r="P112" s="20">
        <f t="shared" si="38"/>
        <v>232.08480000000003</v>
      </c>
      <c r="Q112" s="20">
        <f t="shared" si="39"/>
        <v>6.9625440000000003</v>
      </c>
      <c r="R112" s="20"/>
      <c r="S112" s="20">
        <f t="shared" si="40"/>
        <v>1.4400000000000002</v>
      </c>
      <c r="T112" s="20">
        <f t="shared" si="44"/>
        <v>20.16</v>
      </c>
      <c r="U112" s="20">
        <f t="shared" si="42"/>
        <v>6.048</v>
      </c>
      <c r="V112" s="20">
        <f t="shared" si="43"/>
        <v>6.5519999999999996</v>
      </c>
      <c r="W112" s="20"/>
      <c r="X112" s="20">
        <v>0</v>
      </c>
      <c r="Y112" s="20">
        <v>0</v>
      </c>
      <c r="Z112" s="20">
        <v>0</v>
      </c>
      <c r="AA112" s="20">
        <v>0</v>
      </c>
      <c r="AB112" s="20">
        <v>0</v>
      </c>
    </row>
    <row r="113" spans="1:30">
      <c r="A113" s="32"/>
      <c r="B113" s="31" t="s">
        <v>289</v>
      </c>
      <c r="C113" s="30"/>
      <c r="D113" s="29">
        <v>0.25</v>
      </c>
      <c r="E113" s="29">
        <v>0.5</v>
      </c>
      <c r="F113" s="28"/>
      <c r="G113" s="27">
        <f>3*2</f>
        <v>6</v>
      </c>
      <c r="H113" s="26" t="s">
        <v>73</v>
      </c>
      <c r="I113" s="21"/>
      <c r="J113" s="131"/>
      <c r="K113" s="25"/>
      <c r="L113" s="21"/>
      <c r="M113" s="23"/>
      <c r="N113" s="23"/>
      <c r="O113" s="25">
        <f>(6*G113)*O86</f>
        <v>138.708</v>
      </c>
      <c r="P113" s="20">
        <f t="shared" si="38"/>
        <v>138.708</v>
      </c>
      <c r="Q113" s="20">
        <f t="shared" ref="Q113:Q120" si="45">(P113*0.03)</f>
        <v>4.1612399999999994</v>
      </c>
      <c r="R113" s="20"/>
      <c r="S113" s="20">
        <f t="shared" si="40"/>
        <v>0.75</v>
      </c>
      <c r="T113" s="20">
        <f t="shared" si="44"/>
        <v>9</v>
      </c>
      <c r="U113" s="20">
        <f>T113*30%</f>
        <v>2.6999999999999997</v>
      </c>
      <c r="V113" s="20">
        <f t="shared" ref="V113:V120" si="46">(T113+U113)*0.25</f>
        <v>2.9249999999999998</v>
      </c>
      <c r="W113" s="20"/>
      <c r="X113" s="20"/>
      <c r="Y113" s="20"/>
      <c r="Z113" s="20"/>
      <c r="AA113" s="20"/>
      <c r="AB113" s="20"/>
    </row>
    <row r="114" spans="1:30">
      <c r="A114" s="32"/>
      <c r="B114" s="31" t="s">
        <v>290</v>
      </c>
      <c r="C114" s="30"/>
      <c r="D114" s="29">
        <v>0.25</v>
      </c>
      <c r="E114" s="29">
        <v>0.5</v>
      </c>
      <c r="F114" s="28"/>
      <c r="G114" s="27">
        <f>3.8*2</f>
        <v>7.6</v>
      </c>
      <c r="H114" s="26" t="s">
        <v>73</v>
      </c>
      <c r="I114" s="21"/>
      <c r="J114" s="131"/>
      <c r="K114" s="25"/>
      <c r="L114" s="21"/>
      <c r="M114" s="23"/>
      <c r="N114" s="23"/>
      <c r="O114" s="25">
        <f>(6*G114)*O86</f>
        <v>175.6968</v>
      </c>
      <c r="P114" s="20">
        <f t="shared" si="38"/>
        <v>175.6968</v>
      </c>
      <c r="Q114" s="20">
        <f t="shared" si="45"/>
        <v>5.2709039999999998</v>
      </c>
      <c r="R114" s="20"/>
      <c r="S114" s="20">
        <f t="shared" si="40"/>
        <v>0.95</v>
      </c>
      <c r="T114" s="20">
        <f t="shared" si="44"/>
        <v>11.399999999999999</v>
      </c>
      <c r="U114" s="20">
        <f>T114*30%</f>
        <v>3.4199999999999995</v>
      </c>
      <c r="V114" s="20">
        <f t="shared" si="46"/>
        <v>3.7049999999999996</v>
      </c>
      <c r="W114" s="20"/>
      <c r="X114" s="20"/>
      <c r="Y114" s="20"/>
      <c r="Z114" s="20"/>
      <c r="AA114" s="20"/>
      <c r="AB114" s="20"/>
    </row>
    <row r="115" spans="1:30">
      <c r="A115" s="32"/>
      <c r="B115" s="31" t="s">
        <v>291</v>
      </c>
      <c r="C115" s="30"/>
      <c r="D115" s="29">
        <v>0.25</v>
      </c>
      <c r="E115" s="29">
        <v>0.5</v>
      </c>
      <c r="F115" s="28"/>
      <c r="G115" s="27">
        <f>2.7*2</f>
        <v>5.4</v>
      </c>
      <c r="H115" s="26" t="s">
        <v>73</v>
      </c>
      <c r="I115" s="21"/>
      <c r="J115" s="131"/>
      <c r="K115" s="25"/>
      <c r="L115" s="21"/>
      <c r="M115" s="23"/>
      <c r="N115" s="23"/>
      <c r="O115" s="25">
        <f>(6*G115)*O86</f>
        <v>124.83720000000002</v>
      </c>
      <c r="P115" s="20">
        <f t="shared" si="38"/>
        <v>124.83720000000002</v>
      </c>
      <c r="Q115" s="20">
        <f t="shared" si="45"/>
        <v>3.7451160000000008</v>
      </c>
      <c r="R115" s="20"/>
      <c r="S115" s="20">
        <f t="shared" si="40"/>
        <v>0.67500000000000004</v>
      </c>
      <c r="T115" s="20">
        <f t="shared" si="44"/>
        <v>8.1000000000000014</v>
      </c>
      <c r="U115" s="20">
        <f>T115*30%</f>
        <v>2.4300000000000002</v>
      </c>
      <c r="V115" s="20">
        <f t="shared" si="46"/>
        <v>2.6325000000000003</v>
      </c>
      <c r="W115" s="20"/>
      <c r="X115" s="20"/>
      <c r="Y115" s="20"/>
      <c r="Z115" s="20"/>
      <c r="AA115" s="20"/>
      <c r="AB115" s="20"/>
    </row>
    <row r="116" spans="1:30">
      <c r="A116" s="32"/>
      <c r="B116" s="31" t="s">
        <v>292</v>
      </c>
      <c r="C116" s="30"/>
      <c r="D116" s="29">
        <v>0.25</v>
      </c>
      <c r="E116" s="29">
        <v>0.5</v>
      </c>
      <c r="F116" s="28"/>
      <c r="G116" s="27">
        <f>2.7*2</f>
        <v>5.4</v>
      </c>
      <c r="H116" s="26" t="s">
        <v>73</v>
      </c>
      <c r="I116" s="21"/>
      <c r="J116" s="131"/>
      <c r="K116" s="25"/>
      <c r="L116" s="21"/>
      <c r="M116" s="23"/>
      <c r="N116" s="23"/>
      <c r="O116" s="25">
        <f>(6*G116)*O86</f>
        <v>124.83720000000002</v>
      </c>
      <c r="P116" s="20">
        <f t="shared" si="38"/>
        <v>124.83720000000002</v>
      </c>
      <c r="Q116" s="20">
        <f t="shared" si="45"/>
        <v>3.7451160000000008</v>
      </c>
      <c r="R116" s="20"/>
      <c r="S116" s="20">
        <f t="shared" si="40"/>
        <v>0.67500000000000004</v>
      </c>
      <c r="T116" s="20">
        <f t="shared" si="44"/>
        <v>8.1000000000000014</v>
      </c>
      <c r="U116" s="20">
        <f>T116*30%</f>
        <v>2.4300000000000002</v>
      </c>
      <c r="V116" s="20">
        <f t="shared" si="46"/>
        <v>2.6325000000000003</v>
      </c>
      <c r="W116" s="20"/>
      <c r="X116" s="20"/>
      <c r="Y116" s="20"/>
      <c r="Z116" s="20"/>
      <c r="AA116" s="20"/>
      <c r="AB116" s="20"/>
    </row>
    <row r="117" spans="1:30">
      <c r="A117" s="32"/>
      <c r="B117" s="31" t="s">
        <v>294</v>
      </c>
      <c r="C117" s="30"/>
      <c r="D117" s="29">
        <v>0.25</v>
      </c>
      <c r="E117" s="29">
        <v>0.2</v>
      </c>
      <c r="F117" s="28">
        <v>1.7</v>
      </c>
      <c r="G117" s="27">
        <f>(9.9+9.9+10+10)+(46.31*2)+(28.75*2)</f>
        <v>189.92000000000002</v>
      </c>
      <c r="H117" s="26" t="s">
        <v>73</v>
      </c>
      <c r="I117" s="24"/>
      <c r="J117" s="36"/>
      <c r="K117" s="25"/>
      <c r="L117" s="21">
        <f>((G117/0.15)*2)*2*L86</f>
        <v>4497.3056000000006</v>
      </c>
      <c r="M117" s="23"/>
      <c r="N117" s="21">
        <f>((F117*0.3)*G117/0.2)*2+(1.8*G117/0.2)*2*N86</f>
        <v>9398.7609600000014</v>
      </c>
      <c r="O117" s="25"/>
      <c r="P117" s="20">
        <f>SUM(E117:O117)</f>
        <v>14087.886560000003</v>
      </c>
      <c r="Q117" s="20">
        <f t="shared" si="45"/>
        <v>422.63659680000006</v>
      </c>
      <c r="R117" s="20"/>
      <c r="S117" s="20">
        <f>(D117*F117)*G117+(E117*1.8)*G117</f>
        <v>149.08720000000002</v>
      </c>
      <c r="T117" s="20">
        <f t="shared" si="44"/>
        <v>170.92800000000003</v>
      </c>
      <c r="U117" s="20">
        <f>(T117*0.03)*10.764</f>
        <v>55.196069760000007</v>
      </c>
      <c r="V117" s="20">
        <f t="shared" si="46"/>
        <v>56.531017440000007</v>
      </c>
      <c r="W117" s="20"/>
      <c r="X117" s="20"/>
      <c r="Y117" s="20"/>
      <c r="Z117" s="20"/>
      <c r="AA117" s="20"/>
      <c r="AB117" s="20"/>
    </row>
    <row r="118" spans="1:30">
      <c r="A118" s="32"/>
      <c r="B118" s="31" t="s">
        <v>295</v>
      </c>
      <c r="C118" s="30"/>
      <c r="D118" s="29">
        <v>1</v>
      </c>
      <c r="E118" s="29">
        <v>1</v>
      </c>
      <c r="F118" s="28">
        <v>0.46</v>
      </c>
      <c r="G118" s="27">
        <v>41</v>
      </c>
      <c r="H118" s="26" t="s">
        <v>115</v>
      </c>
      <c r="I118" s="24"/>
      <c r="J118" s="36"/>
      <c r="K118" s="25"/>
      <c r="L118" s="21">
        <f>((F118+D118+F118+D118)*4+(F118+D118+F118+D118)*4)*G118*$L$8+((D118*2+E118*2)*2*G118)*L86</f>
        <v>1141.75488</v>
      </c>
      <c r="M118" s="23"/>
      <c r="N118" s="21"/>
      <c r="O118" s="25"/>
      <c r="P118" s="20">
        <f>SUM(E118:O118)</f>
        <v>1184.21488</v>
      </c>
      <c r="Q118" s="20">
        <f t="shared" si="45"/>
        <v>35.526446399999998</v>
      </c>
      <c r="R118" s="20">
        <f>D118*E118*0.05*G118</f>
        <v>2.0500000000000003</v>
      </c>
      <c r="S118" s="20">
        <f>(D118*F118)*G118+(E118*1.8)*G118</f>
        <v>92.66</v>
      </c>
      <c r="T118" s="20">
        <f t="shared" si="44"/>
        <v>164</v>
      </c>
      <c r="U118" s="20">
        <f>(T118*0.03)*10.764</f>
        <v>52.958879999999994</v>
      </c>
      <c r="V118" s="20">
        <f t="shared" si="46"/>
        <v>54.239719999999998</v>
      </c>
      <c r="W118" s="20">
        <f>(D118*E118*0.05)*G118</f>
        <v>2.0500000000000003</v>
      </c>
      <c r="X118" s="20"/>
      <c r="Y118" s="20"/>
      <c r="Z118" s="20"/>
      <c r="AA118" s="20"/>
      <c r="AB118" s="20"/>
    </row>
    <row r="119" spans="1:30">
      <c r="A119" s="32"/>
      <c r="B119" s="284" t="s">
        <v>272</v>
      </c>
      <c r="C119" s="21" t="s">
        <v>94</v>
      </c>
      <c r="D119" s="29"/>
      <c r="E119" s="29"/>
      <c r="F119" s="28">
        <v>0.05</v>
      </c>
      <c r="G119" s="27">
        <f>'Architecture '!T209</f>
        <v>36</v>
      </c>
      <c r="H119" s="26" t="s">
        <v>72</v>
      </c>
      <c r="I119" s="24"/>
      <c r="J119" s="36"/>
      <c r="K119" s="25"/>
      <c r="L119" s="21"/>
      <c r="M119" s="23"/>
      <c r="N119" s="23"/>
      <c r="O119" s="25"/>
      <c r="P119" s="20">
        <f>SUM(I119:O119)</f>
        <v>0</v>
      </c>
      <c r="Q119" s="20">
        <f t="shared" si="45"/>
        <v>0</v>
      </c>
      <c r="R119" s="20"/>
      <c r="S119" s="20">
        <f>+F119*G119</f>
        <v>1.8</v>
      </c>
      <c r="T119" s="20">
        <f>G119</f>
        <v>36</v>
      </c>
      <c r="U119" s="20">
        <f>(T119*0.03)*10.764</f>
        <v>11.625120000000001</v>
      </c>
      <c r="V119" s="20">
        <f t="shared" si="46"/>
        <v>11.906280000000001</v>
      </c>
      <c r="W119" s="20">
        <f>+D119*G119*0.1</f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f>G119</f>
        <v>36</v>
      </c>
    </row>
    <row r="120" spans="1:30">
      <c r="A120" s="283"/>
      <c r="B120" s="284" t="s">
        <v>324</v>
      </c>
      <c r="C120" s="30" t="s">
        <v>323</v>
      </c>
      <c r="D120" s="29"/>
      <c r="E120" s="29"/>
      <c r="F120" s="28">
        <v>0.25</v>
      </c>
      <c r="G120" s="285" t="e">
        <f>'Architecture '!#REF!</f>
        <v>#REF!</v>
      </c>
      <c r="H120" s="26" t="s">
        <v>72</v>
      </c>
      <c r="I120" s="287"/>
      <c r="J120" s="21">
        <f>(40*55.2)*J86</f>
        <v>1101.7919999999999</v>
      </c>
      <c r="K120" s="25">
        <f>((0.6*(5.6/0.5))*36+(0.6*(4.3/0.5)*18))*K86</f>
        <v>745.26479999999992</v>
      </c>
      <c r="L120" s="21"/>
      <c r="M120" s="23">
        <f>(0.6*40/0.5)*9*M86</f>
        <v>681.69600000000003</v>
      </c>
      <c r="N120" s="21"/>
      <c r="O120" s="25">
        <f>(0.6*(6/0.5))*162*O86</f>
        <v>4494.1391999999996</v>
      </c>
      <c r="P120" s="20">
        <f>SUM(I120:O120)</f>
        <v>7022.8919999999998</v>
      </c>
      <c r="Q120" s="20">
        <f t="shared" si="45"/>
        <v>210.68675999999999</v>
      </c>
      <c r="R120" s="288"/>
      <c r="S120" s="20" t="e">
        <f>+F120*G120</f>
        <v>#REF!</v>
      </c>
      <c r="T120" s="20" t="e">
        <f>G120</f>
        <v>#REF!</v>
      </c>
      <c r="U120" s="20" t="e">
        <f>(T120*0.03)*10.764</f>
        <v>#REF!</v>
      </c>
      <c r="V120" s="20" t="e">
        <f t="shared" si="46"/>
        <v>#REF!</v>
      </c>
      <c r="W120" s="288"/>
      <c r="X120" s="288"/>
      <c r="Y120" s="288"/>
      <c r="Z120" s="288"/>
      <c r="AA120" s="288"/>
      <c r="AB120" s="20" t="e">
        <f>G120</f>
        <v>#REF!</v>
      </c>
    </row>
    <row r="121" spans="1:30">
      <c r="A121" s="32"/>
      <c r="B121" s="31" t="s">
        <v>264</v>
      </c>
      <c r="C121" s="30"/>
      <c r="D121" s="29"/>
      <c r="E121" s="29"/>
      <c r="F121" s="28"/>
      <c r="G121" s="27"/>
      <c r="H121" s="26"/>
      <c r="I121" s="24"/>
      <c r="J121" s="131"/>
      <c r="K121" s="25"/>
      <c r="L121" s="21"/>
      <c r="M121" s="23"/>
      <c r="N121" s="23"/>
      <c r="O121" s="25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D121" s="298"/>
    </row>
    <row r="122" spans="1:30">
      <c r="A122" s="32"/>
      <c r="B122" s="31" t="s">
        <v>93</v>
      </c>
      <c r="C122" s="30"/>
      <c r="D122" s="29">
        <v>0.2</v>
      </c>
      <c r="E122" s="29">
        <v>0.4</v>
      </c>
      <c r="F122" s="28"/>
      <c r="G122" s="27">
        <v>7.12</v>
      </c>
      <c r="H122" s="26" t="s">
        <v>73</v>
      </c>
      <c r="I122" s="21">
        <f>((D122+E122+D122+E122)*G122/0.15)*I86</f>
        <v>12.645120000000004</v>
      </c>
      <c r="J122" s="131"/>
      <c r="K122" s="25"/>
      <c r="L122" s="21">
        <f>(G122*4)*L86</f>
        <v>25.290240000000001</v>
      </c>
      <c r="M122" s="23"/>
      <c r="N122" s="23"/>
      <c r="O122" s="25">
        <f>(G122*2)/0.75*O86</f>
        <v>73.155626666666677</v>
      </c>
      <c r="P122" s="20">
        <f t="shared" ref="P122:P146" si="47">SUM(I122:O122)</f>
        <v>111.09098666666668</v>
      </c>
      <c r="Q122" s="20">
        <f t="shared" ref="Q122:Q157" si="48">(P122*0.03)</f>
        <v>3.3327296000000004</v>
      </c>
      <c r="R122" s="20"/>
      <c r="S122" s="20">
        <f t="shared" ref="S122:S137" si="49">D122*E122*G122</f>
        <v>0.56960000000000011</v>
      </c>
      <c r="T122" s="20">
        <f t="shared" ref="T122:T137" si="50">(D122+E122+E122)*G122</f>
        <v>7.12</v>
      </c>
      <c r="U122" s="20">
        <f t="shared" ref="U122:U152" si="51">(T122*0.03)*10.764</f>
        <v>2.2991903999999996</v>
      </c>
      <c r="V122" s="20">
        <f t="shared" ref="V122:V156" si="52">(T122+U122)*0.25</f>
        <v>2.3547975999999999</v>
      </c>
      <c r="W122" s="20"/>
      <c r="X122" s="20">
        <v>0</v>
      </c>
      <c r="Y122" s="20">
        <v>0</v>
      </c>
      <c r="Z122" s="20">
        <v>0</v>
      </c>
      <c r="AA122" s="20">
        <v>0</v>
      </c>
      <c r="AB122" s="20">
        <v>0</v>
      </c>
    </row>
    <row r="123" spans="1:30">
      <c r="A123" s="32"/>
      <c r="B123" s="31" t="s">
        <v>92</v>
      </c>
      <c r="C123" s="30"/>
      <c r="D123" s="29">
        <v>0.3</v>
      </c>
      <c r="E123" s="29">
        <v>0.4</v>
      </c>
      <c r="F123" s="28"/>
      <c r="G123" s="27">
        <v>69.88</v>
      </c>
      <c r="H123" s="26" t="s">
        <v>73</v>
      </c>
      <c r="I123" s="24"/>
      <c r="J123" s="131">
        <f>((D123+E123+D123+E123)*G123/0.15)*J86</f>
        <v>325.45445333333333</v>
      </c>
      <c r="K123" s="25"/>
      <c r="L123" s="21">
        <f>(G123*4)*L86</f>
        <v>248.21375999999998</v>
      </c>
      <c r="M123" s="23"/>
      <c r="N123" s="23"/>
      <c r="O123" s="25">
        <f>(G123/0.75)*2+(2*(G123/4))*O86</f>
        <v>320.97048666666666</v>
      </c>
      <c r="P123" s="20">
        <f t="shared" si="47"/>
        <v>894.63869999999997</v>
      </c>
      <c r="Q123" s="20">
        <f t="shared" si="48"/>
        <v>26.839160999999997</v>
      </c>
      <c r="R123" s="20"/>
      <c r="S123" s="20">
        <f t="shared" si="49"/>
        <v>8.3855999999999984</v>
      </c>
      <c r="T123" s="20">
        <f t="shared" si="50"/>
        <v>76.867999999999995</v>
      </c>
      <c r="U123" s="20">
        <f t="shared" si="51"/>
        <v>24.822214559999995</v>
      </c>
      <c r="V123" s="20">
        <f t="shared" si="52"/>
        <v>25.422553639999997</v>
      </c>
      <c r="W123" s="20"/>
      <c r="X123" s="20">
        <v>0</v>
      </c>
      <c r="Y123" s="20">
        <v>0</v>
      </c>
      <c r="Z123" s="20">
        <v>0</v>
      </c>
      <c r="AA123" s="20">
        <v>0</v>
      </c>
      <c r="AB123" s="20">
        <v>0</v>
      </c>
    </row>
    <row r="124" spans="1:30">
      <c r="A124" s="32"/>
      <c r="B124" s="31" t="s">
        <v>91</v>
      </c>
      <c r="C124" s="30"/>
      <c r="D124" s="29">
        <v>0.3</v>
      </c>
      <c r="E124" s="29">
        <v>0.6</v>
      </c>
      <c r="F124" s="28"/>
      <c r="G124" s="27">
        <v>185.9</v>
      </c>
      <c r="H124" s="26" t="s">
        <v>73</v>
      </c>
      <c r="I124" s="24"/>
      <c r="J124" s="131">
        <f>((D124+E124+D124+E124)*G124/0.2)*J86</f>
        <v>834.87689999999998</v>
      </c>
      <c r="K124" s="25"/>
      <c r="L124" s="21"/>
      <c r="M124" s="23"/>
      <c r="N124" s="23"/>
      <c r="O124" s="25">
        <f>(G124/0.75)*3+(3*(G124/4))+(3*G124)*O86</f>
        <v>3031.8431000000005</v>
      </c>
      <c r="P124" s="20">
        <f t="shared" si="47"/>
        <v>3866.7200000000003</v>
      </c>
      <c r="Q124" s="20">
        <f t="shared" si="48"/>
        <v>116.0016</v>
      </c>
      <c r="R124" s="20"/>
      <c r="S124" s="20">
        <f t="shared" si="49"/>
        <v>33.462000000000003</v>
      </c>
      <c r="T124" s="20">
        <f t="shared" si="50"/>
        <v>278.85000000000002</v>
      </c>
      <c r="U124" s="20">
        <f t="shared" si="51"/>
        <v>90.046242000000007</v>
      </c>
      <c r="V124" s="20">
        <f t="shared" si="52"/>
        <v>92.224060500000007</v>
      </c>
      <c r="W124" s="20"/>
      <c r="X124" s="20">
        <v>0</v>
      </c>
      <c r="Y124" s="20">
        <v>0</v>
      </c>
      <c r="Z124" s="20">
        <v>0</v>
      </c>
      <c r="AA124" s="20">
        <v>0</v>
      </c>
      <c r="AB124" s="20">
        <v>0</v>
      </c>
    </row>
    <row r="125" spans="1:30">
      <c r="A125" s="32"/>
      <c r="B125" s="31" t="s">
        <v>90</v>
      </c>
      <c r="C125" s="30"/>
      <c r="D125" s="29">
        <v>0.2</v>
      </c>
      <c r="E125" s="29">
        <v>0.6</v>
      </c>
      <c r="F125" s="28"/>
      <c r="G125" s="27">
        <v>110.72</v>
      </c>
      <c r="H125" s="26" t="s">
        <v>73</v>
      </c>
      <c r="I125" s="24"/>
      <c r="J125" s="131">
        <f>((D125+E125+D125+E125)*G125/0.2)*J86</f>
        <v>441.99423999999999</v>
      </c>
      <c r="K125" s="25"/>
      <c r="L125" s="21"/>
      <c r="M125" s="23"/>
      <c r="N125" s="23"/>
      <c r="O125" s="25">
        <f>((G125/0.75)*1+1*(G125/4)+(4*G125)+3*(G125/4))*O86</f>
        <v>2701.8263466666667</v>
      </c>
      <c r="P125" s="20">
        <f t="shared" si="47"/>
        <v>3143.8205866666667</v>
      </c>
      <c r="Q125" s="20">
        <f t="shared" si="48"/>
        <v>94.314617599999991</v>
      </c>
      <c r="R125" s="20"/>
      <c r="S125" s="20">
        <f t="shared" si="49"/>
        <v>13.286399999999999</v>
      </c>
      <c r="T125" s="20">
        <f t="shared" si="50"/>
        <v>155.00799999999998</v>
      </c>
      <c r="U125" s="20">
        <f t="shared" si="51"/>
        <v>50.055183359999987</v>
      </c>
      <c r="V125" s="20">
        <f t="shared" si="52"/>
        <v>51.265795839999996</v>
      </c>
      <c r="W125" s="20"/>
      <c r="X125" s="20">
        <v>0</v>
      </c>
      <c r="Y125" s="20">
        <v>0</v>
      </c>
      <c r="Z125" s="20">
        <v>0</v>
      </c>
      <c r="AA125" s="20">
        <v>0</v>
      </c>
      <c r="AB125" s="20">
        <v>0</v>
      </c>
    </row>
    <row r="126" spans="1:30">
      <c r="A126" s="32"/>
      <c r="B126" s="31" t="s">
        <v>89</v>
      </c>
      <c r="C126" s="30"/>
      <c r="D126" s="29">
        <v>0.3</v>
      </c>
      <c r="E126" s="29">
        <v>0.6</v>
      </c>
      <c r="F126" s="28"/>
      <c r="G126" s="27">
        <v>23</v>
      </c>
      <c r="H126" s="26" t="s">
        <v>73</v>
      </c>
      <c r="I126" s="24"/>
      <c r="J126" s="131">
        <f>((D126+E126+D126+E126)*G126/0.125)*2*J86</f>
        <v>330.5376</v>
      </c>
      <c r="K126" s="25"/>
      <c r="L126" s="21"/>
      <c r="M126" s="23"/>
      <c r="N126" s="23"/>
      <c r="O126" s="25">
        <f>((G126/0.75)*2+2*(G126/4)+(6*G126)+3*(G126/4)+3*(G126/0.75))*O86</f>
        <v>1233.2810833333335</v>
      </c>
      <c r="P126" s="20">
        <f t="shared" si="47"/>
        <v>1563.8186833333334</v>
      </c>
      <c r="Q126" s="20">
        <f t="shared" si="48"/>
        <v>46.9145605</v>
      </c>
      <c r="R126" s="20"/>
      <c r="S126" s="20">
        <f t="shared" si="49"/>
        <v>4.1399999999999997</v>
      </c>
      <c r="T126" s="20">
        <f t="shared" si="50"/>
        <v>34.5</v>
      </c>
      <c r="U126" s="20">
        <f t="shared" si="51"/>
        <v>11.140739999999999</v>
      </c>
      <c r="V126" s="20">
        <f t="shared" si="52"/>
        <v>11.410185</v>
      </c>
      <c r="W126" s="20"/>
      <c r="X126" s="20">
        <v>0</v>
      </c>
      <c r="Y126" s="20">
        <v>0</v>
      </c>
      <c r="Z126" s="20">
        <v>0</v>
      </c>
      <c r="AA126" s="20">
        <v>0</v>
      </c>
      <c r="AB126" s="20">
        <v>0</v>
      </c>
    </row>
    <row r="127" spans="1:30">
      <c r="A127" s="32"/>
      <c r="B127" s="31" t="s">
        <v>88</v>
      </c>
      <c r="C127" s="30"/>
      <c r="D127" s="29">
        <v>0.3</v>
      </c>
      <c r="E127" s="29">
        <v>0.6</v>
      </c>
      <c r="F127" s="28"/>
      <c r="G127" s="27">
        <v>19.38</v>
      </c>
      <c r="H127" s="26" t="s">
        <v>73</v>
      </c>
      <c r="I127" s="24"/>
      <c r="J127" s="131">
        <f>((D127+E127+D127+E127)*G127/0.2)*J86</f>
        <v>87.035579999999982</v>
      </c>
      <c r="K127" s="25"/>
      <c r="L127" s="21"/>
      <c r="M127" s="23"/>
      <c r="N127" s="23"/>
      <c r="O127" s="25">
        <f>(((4/G127)*1)*(G127*4)+(3*(G127/4)))*O86</f>
        <v>117.65135500000001</v>
      </c>
      <c r="P127" s="20">
        <f t="shared" si="47"/>
        <v>204.68693500000001</v>
      </c>
      <c r="Q127" s="20">
        <f t="shared" si="48"/>
        <v>6.14060805</v>
      </c>
      <c r="R127" s="20"/>
      <c r="S127" s="20">
        <f t="shared" si="49"/>
        <v>3.4883999999999995</v>
      </c>
      <c r="T127" s="20">
        <f t="shared" si="50"/>
        <v>29.07</v>
      </c>
      <c r="U127" s="20">
        <f t="shared" si="51"/>
        <v>9.3872843999999986</v>
      </c>
      <c r="V127" s="20">
        <f t="shared" si="52"/>
        <v>9.6143210999999997</v>
      </c>
      <c r="W127" s="20"/>
      <c r="X127" s="20">
        <v>0</v>
      </c>
      <c r="Y127" s="20">
        <v>0</v>
      </c>
      <c r="Z127" s="20">
        <v>0</v>
      </c>
      <c r="AA127" s="20">
        <v>0</v>
      </c>
      <c r="AB127" s="20">
        <v>0</v>
      </c>
    </row>
    <row r="128" spans="1:30">
      <c r="A128" s="32"/>
      <c r="B128" s="31" t="s">
        <v>87</v>
      </c>
      <c r="C128" s="30"/>
      <c r="D128" s="29">
        <v>0.2</v>
      </c>
      <c r="E128" s="29">
        <v>0.6</v>
      </c>
      <c r="F128" s="28"/>
      <c r="G128" s="27">
        <v>22.44</v>
      </c>
      <c r="H128" s="26" t="s">
        <v>73</v>
      </c>
      <c r="I128" s="24"/>
      <c r="J128" s="131">
        <f>((D128+E128+D128+E128)*G128/0.2)*J86</f>
        <v>89.580480000000009</v>
      </c>
      <c r="K128" s="25"/>
      <c r="L128" s="21"/>
      <c r="M128" s="23"/>
      <c r="N128" s="23"/>
      <c r="O128" s="25">
        <f>((1*(G128/4))*(G128*4)+(3*(G128/4)))*O86</f>
        <v>2005.0380108000006</v>
      </c>
      <c r="P128" s="20">
        <f t="shared" si="47"/>
        <v>2094.6184908000005</v>
      </c>
      <c r="Q128" s="20">
        <f t="shared" si="48"/>
        <v>62.838554724000012</v>
      </c>
      <c r="R128" s="20"/>
      <c r="S128" s="20">
        <f t="shared" si="49"/>
        <v>2.6928000000000001</v>
      </c>
      <c r="T128" s="20">
        <f t="shared" si="50"/>
        <v>31.416</v>
      </c>
      <c r="U128" s="20">
        <f t="shared" si="51"/>
        <v>10.14485472</v>
      </c>
      <c r="V128" s="20">
        <f t="shared" si="52"/>
        <v>10.39021368</v>
      </c>
      <c r="W128" s="20"/>
      <c r="X128" s="20">
        <v>0</v>
      </c>
      <c r="Y128" s="20">
        <v>0</v>
      </c>
      <c r="Z128" s="20">
        <v>0</v>
      </c>
      <c r="AA128" s="20">
        <v>0</v>
      </c>
      <c r="AB128" s="20">
        <v>0</v>
      </c>
    </row>
    <row r="129" spans="1:28">
      <c r="A129" s="32"/>
      <c r="B129" s="31" t="s">
        <v>86</v>
      </c>
      <c r="C129" s="30"/>
      <c r="D129" s="29">
        <v>0.2</v>
      </c>
      <c r="E129" s="29">
        <v>0.6</v>
      </c>
      <c r="F129" s="28"/>
      <c r="G129" s="27">
        <v>16.39</v>
      </c>
      <c r="H129" s="26" t="s">
        <v>73</v>
      </c>
      <c r="I129" s="24"/>
      <c r="J129" s="131">
        <f>((D129+E129+D129+E129)*G129/0.2)*2*J86</f>
        <v>130.85776000000001</v>
      </c>
      <c r="K129" s="25"/>
      <c r="L129" s="21"/>
      <c r="M129" s="23"/>
      <c r="N129" s="23"/>
      <c r="O129" s="25">
        <f>(6*G129)*O86</f>
        <v>378.90402000000006</v>
      </c>
      <c r="P129" s="20">
        <f t="shared" si="47"/>
        <v>509.76178000000004</v>
      </c>
      <c r="Q129" s="20">
        <f t="shared" si="48"/>
        <v>15.2928534</v>
      </c>
      <c r="R129" s="20"/>
      <c r="S129" s="20">
        <f t="shared" si="49"/>
        <v>1.9668000000000001</v>
      </c>
      <c r="T129" s="20">
        <f t="shared" si="50"/>
        <v>22.945999999999998</v>
      </c>
      <c r="U129" s="20">
        <f t="shared" si="51"/>
        <v>7.4097223199999984</v>
      </c>
      <c r="V129" s="20">
        <f t="shared" si="52"/>
        <v>7.5889305799999995</v>
      </c>
      <c r="W129" s="20"/>
      <c r="X129" s="20">
        <v>0</v>
      </c>
      <c r="Y129" s="20">
        <v>0</v>
      </c>
      <c r="Z129" s="20">
        <v>0</v>
      </c>
      <c r="AA129" s="20">
        <v>0</v>
      </c>
      <c r="AB129" s="20">
        <v>0</v>
      </c>
    </row>
    <row r="130" spans="1:28">
      <c r="A130" s="32"/>
      <c r="B130" s="31" t="s">
        <v>85</v>
      </c>
      <c r="C130" s="30"/>
      <c r="D130" s="29">
        <v>0.4</v>
      </c>
      <c r="E130" s="29">
        <v>0.6</v>
      </c>
      <c r="F130" s="28"/>
      <c r="G130" s="27">
        <v>58.76</v>
      </c>
      <c r="H130" s="26" t="s">
        <v>73</v>
      </c>
      <c r="I130" s="24"/>
      <c r="J130" s="131">
        <f>((D130+E130+D130+E130)*G130/0.15)*2*J86</f>
        <v>781.89973333333342</v>
      </c>
      <c r="K130" s="25"/>
      <c r="L130" s="21"/>
      <c r="M130" s="23"/>
      <c r="N130" s="23"/>
      <c r="O130" s="25">
        <f>(4*G130)+(6*G130/4)+(3*G130/0.75)*O86</f>
        <v>1228.7891199999999</v>
      </c>
      <c r="P130" s="20">
        <f t="shared" si="47"/>
        <v>2010.6888533333333</v>
      </c>
      <c r="Q130" s="20">
        <f t="shared" si="48"/>
        <v>60.320665599999998</v>
      </c>
      <c r="R130" s="20"/>
      <c r="S130" s="20">
        <f t="shared" si="49"/>
        <v>14.102399999999999</v>
      </c>
      <c r="T130" s="20">
        <f t="shared" si="50"/>
        <v>94.016000000000005</v>
      </c>
      <c r="U130" s="20">
        <f t="shared" si="51"/>
        <v>30.359646719999997</v>
      </c>
      <c r="V130" s="20">
        <f t="shared" si="52"/>
        <v>31.093911680000001</v>
      </c>
      <c r="W130" s="20"/>
      <c r="X130" s="20">
        <v>0</v>
      </c>
      <c r="Y130" s="20">
        <v>0</v>
      </c>
      <c r="Z130" s="20">
        <v>0</v>
      </c>
      <c r="AA130" s="20">
        <v>0</v>
      </c>
      <c r="AB130" s="20">
        <v>0</v>
      </c>
    </row>
    <row r="131" spans="1:28">
      <c r="A131" s="32"/>
      <c r="B131" s="31" t="s">
        <v>84</v>
      </c>
      <c r="C131" s="30"/>
      <c r="D131" s="29">
        <v>0.4</v>
      </c>
      <c r="E131" s="29">
        <v>0.6</v>
      </c>
      <c r="F131" s="28"/>
      <c r="G131" s="27">
        <v>47.14</v>
      </c>
      <c r="H131" s="26" t="s">
        <v>73</v>
      </c>
      <c r="I131" s="24"/>
      <c r="J131" s="131">
        <f>((D131+E131+D131+E131)*G131/0.15)*2*J86</f>
        <v>627.27626666666674</v>
      </c>
      <c r="K131" s="25"/>
      <c r="L131" s="21"/>
      <c r="M131" s="23"/>
      <c r="N131" s="23"/>
      <c r="O131" s="25">
        <f>(4*G131)+(6*G131/4)*O86</f>
        <v>461.00563000000005</v>
      </c>
      <c r="P131" s="20">
        <f t="shared" si="47"/>
        <v>1088.2818966666669</v>
      </c>
      <c r="Q131" s="20">
        <f t="shared" si="48"/>
        <v>32.648456900000006</v>
      </c>
      <c r="R131" s="20"/>
      <c r="S131" s="20">
        <f t="shared" si="49"/>
        <v>11.313599999999999</v>
      </c>
      <c r="T131" s="20">
        <f t="shared" si="50"/>
        <v>75.424000000000007</v>
      </c>
      <c r="U131" s="20">
        <f t="shared" si="51"/>
        <v>24.355918080000002</v>
      </c>
      <c r="V131" s="20">
        <f t="shared" si="52"/>
        <v>24.944979520000004</v>
      </c>
      <c r="W131" s="20"/>
      <c r="X131" s="20">
        <v>0</v>
      </c>
      <c r="Y131" s="20">
        <v>0</v>
      </c>
      <c r="Z131" s="20">
        <v>0</v>
      </c>
      <c r="AA131" s="20">
        <v>0</v>
      </c>
      <c r="AB131" s="20">
        <v>0</v>
      </c>
    </row>
    <row r="132" spans="1:28">
      <c r="A132" s="32"/>
      <c r="B132" s="31" t="s">
        <v>83</v>
      </c>
      <c r="C132" s="30"/>
      <c r="D132" s="29">
        <v>0.4</v>
      </c>
      <c r="E132" s="29">
        <v>0.6</v>
      </c>
      <c r="F132" s="28"/>
      <c r="G132" s="27">
        <v>32.4</v>
      </c>
      <c r="H132" s="26" t="s">
        <v>73</v>
      </c>
      <c r="I132" s="24"/>
      <c r="J132" s="131">
        <f>((D132+E132+D132+E132)*G132/0.15)*2*J86</f>
        <v>431.13600000000002</v>
      </c>
      <c r="K132" s="25"/>
      <c r="L132" s="21"/>
      <c r="M132" s="23"/>
      <c r="N132" s="23"/>
      <c r="O132" s="25">
        <f>(20*G132)*O86</f>
        <v>2496.7440000000001</v>
      </c>
      <c r="P132" s="20">
        <f t="shared" si="47"/>
        <v>2927.88</v>
      </c>
      <c r="Q132" s="20">
        <f t="shared" si="48"/>
        <v>87.836399999999998</v>
      </c>
      <c r="R132" s="20"/>
      <c r="S132" s="20">
        <f t="shared" si="49"/>
        <v>7.7759999999999998</v>
      </c>
      <c r="T132" s="20">
        <f t="shared" si="50"/>
        <v>51.84</v>
      </c>
      <c r="U132" s="20">
        <f t="shared" si="51"/>
        <v>16.7401728</v>
      </c>
      <c r="V132" s="20">
        <f t="shared" si="52"/>
        <v>17.1450432</v>
      </c>
      <c r="W132" s="20"/>
      <c r="X132" s="20">
        <v>0</v>
      </c>
      <c r="Y132" s="20">
        <v>0</v>
      </c>
      <c r="Z132" s="20">
        <v>0</v>
      </c>
      <c r="AA132" s="20">
        <v>0</v>
      </c>
      <c r="AB132" s="20">
        <v>0</v>
      </c>
    </row>
    <row r="133" spans="1:28">
      <c r="A133" s="32"/>
      <c r="B133" s="31" t="s">
        <v>82</v>
      </c>
      <c r="C133" s="30"/>
      <c r="D133" s="29">
        <v>0.2</v>
      </c>
      <c r="E133" s="29">
        <v>0.6</v>
      </c>
      <c r="F133" s="28"/>
      <c r="G133" s="27">
        <v>66</v>
      </c>
      <c r="H133" s="26" t="s">
        <v>73</v>
      </c>
      <c r="I133" s="24"/>
      <c r="J133" s="131">
        <f>((D133+E133+D133+E133)*G133/0.25)*2*J86</f>
        <v>421.55520000000001</v>
      </c>
      <c r="K133" s="25"/>
      <c r="L133" s="21"/>
      <c r="M133" s="23"/>
      <c r="N133" s="23"/>
      <c r="O133" s="25">
        <f>(4*G133)+(G133/4)+(G133/0.75)*O86</f>
        <v>619.56400000000008</v>
      </c>
      <c r="P133" s="20">
        <f t="shared" si="47"/>
        <v>1041.1192000000001</v>
      </c>
      <c r="Q133" s="20">
        <f t="shared" si="48"/>
        <v>31.233576000000003</v>
      </c>
      <c r="R133" s="20"/>
      <c r="S133" s="20">
        <f t="shared" si="49"/>
        <v>7.92</v>
      </c>
      <c r="T133" s="20">
        <f t="shared" si="50"/>
        <v>92.399999999999991</v>
      </c>
      <c r="U133" s="20">
        <f t="shared" si="51"/>
        <v>29.837807999999995</v>
      </c>
      <c r="V133" s="20">
        <f t="shared" si="52"/>
        <v>30.559451999999997</v>
      </c>
      <c r="W133" s="20"/>
      <c r="X133" s="20">
        <v>0</v>
      </c>
      <c r="Y133" s="20">
        <v>0</v>
      </c>
      <c r="Z133" s="20">
        <v>0</v>
      </c>
      <c r="AA133" s="20">
        <v>0</v>
      </c>
      <c r="AB133" s="20">
        <v>0</v>
      </c>
    </row>
    <row r="134" spans="1:28">
      <c r="A134" s="32"/>
      <c r="B134" s="31" t="s">
        <v>81</v>
      </c>
      <c r="C134" s="30"/>
      <c r="D134" s="29">
        <v>0.2</v>
      </c>
      <c r="E134" s="29">
        <v>0.6</v>
      </c>
      <c r="F134" s="28"/>
      <c r="G134" s="27">
        <v>12.28</v>
      </c>
      <c r="H134" s="26" t="s">
        <v>73</v>
      </c>
      <c r="I134" s="24"/>
      <c r="J134" s="131">
        <f>((D134+E134+D134+E134)*G134/0.25)*J86</f>
        <v>39.217407999999999</v>
      </c>
      <c r="K134" s="25"/>
      <c r="L134" s="21"/>
      <c r="M134" s="23"/>
      <c r="N134" s="23"/>
      <c r="O134" s="25">
        <f>(4*G134)+(2*G134/4)*O86</f>
        <v>72.777419999999992</v>
      </c>
      <c r="P134" s="20">
        <f t="shared" si="47"/>
        <v>111.99482799999998</v>
      </c>
      <c r="Q134" s="20">
        <f t="shared" si="48"/>
        <v>3.3598448399999996</v>
      </c>
      <c r="R134" s="20"/>
      <c r="S134" s="20">
        <f t="shared" si="49"/>
        <v>1.4735999999999998</v>
      </c>
      <c r="T134" s="20">
        <f t="shared" si="50"/>
        <v>17.191999999999997</v>
      </c>
      <c r="U134" s="20">
        <f t="shared" si="51"/>
        <v>5.5516406399999987</v>
      </c>
      <c r="V134" s="20">
        <f t="shared" si="52"/>
        <v>5.6859101599999988</v>
      </c>
      <c r="W134" s="20"/>
      <c r="X134" s="20">
        <v>0</v>
      </c>
      <c r="Y134" s="20">
        <v>0</v>
      </c>
      <c r="Z134" s="20">
        <v>0</v>
      </c>
      <c r="AA134" s="20">
        <v>0</v>
      </c>
      <c r="AB134" s="20">
        <v>0</v>
      </c>
    </row>
    <row r="135" spans="1:28">
      <c r="A135" s="32"/>
      <c r="B135" s="31" t="s">
        <v>80</v>
      </c>
      <c r="C135" s="30"/>
      <c r="D135" s="29">
        <v>0.2</v>
      </c>
      <c r="E135" s="29">
        <v>0.6</v>
      </c>
      <c r="F135" s="28"/>
      <c r="G135" s="27">
        <v>40.31</v>
      </c>
      <c r="H135" s="26" t="s">
        <v>73</v>
      </c>
      <c r="I135" s="24"/>
      <c r="J135" s="131">
        <f>((D135+E135+D135+E135)*G135/0.25)*2*J86</f>
        <v>257.46803200000005</v>
      </c>
      <c r="K135" s="25"/>
      <c r="L135" s="21"/>
      <c r="M135" s="23"/>
      <c r="N135" s="23"/>
      <c r="O135" s="25">
        <f>(4*G135)+(2*G135/4)+(2*G135/0.75)*O86</f>
        <v>595.56681333333336</v>
      </c>
      <c r="P135" s="20">
        <f t="shared" si="47"/>
        <v>853.03484533333335</v>
      </c>
      <c r="Q135" s="20">
        <f t="shared" si="48"/>
        <v>25.591045359999999</v>
      </c>
      <c r="R135" s="20"/>
      <c r="S135" s="20">
        <f t="shared" si="49"/>
        <v>4.8372000000000002</v>
      </c>
      <c r="T135" s="20">
        <f t="shared" si="50"/>
        <v>56.433999999999997</v>
      </c>
      <c r="U135" s="20">
        <f t="shared" si="51"/>
        <v>18.223667279999997</v>
      </c>
      <c r="V135" s="20">
        <f t="shared" si="52"/>
        <v>18.66441682</v>
      </c>
      <c r="W135" s="20"/>
      <c r="X135" s="20">
        <v>0</v>
      </c>
      <c r="Y135" s="20">
        <v>0</v>
      </c>
      <c r="Z135" s="20">
        <v>0</v>
      </c>
      <c r="AA135" s="20">
        <v>0</v>
      </c>
      <c r="AB135" s="20">
        <v>0</v>
      </c>
    </row>
    <row r="136" spans="1:28">
      <c r="A136" s="32"/>
      <c r="B136" s="31" t="s">
        <v>79</v>
      </c>
      <c r="C136" s="30"/>
      <c r="D136" s="29">
        <v>0.3</v>
      </c>
      <c r="E136" s="29">
        <v>0.6</v>
      </c>
      <c r="F136" s="28"/>
      <c r="G136" s="27">
        <v>27.52</v>
      </c>
      <c r="H136" s="26" t="s">
        <v>73</v>
      </c>
      <c r="I136" s="24"/>
      <c r="J136" s="131">
        <f>((D136+E136+D136+E136)*G136/0.25)*2*J86</f>
        <v>197.74771199999998</v>
      </c>
      <c r="K136" s="25"/>
      <c r="L136" s="21"/>
      <c r="M136" s="23"/>
      <c r="N136" s="23"/>
      <c r="O136" s="25">
        <f>(4*G136)+(4*G136/4)+(2*G136/0.75)*O86</f>
        <v>420.35882666666669</v>
      </c>
      <c r="P136" s="20">
        <f t="shared" si="47"/>
        <v>618.10653866666667</v>
      </c>
      <c r="Q136" s="20">
        <f t="shared" si="48"/>
        <v>18.543196160000001</v>
      </c>
      <c r="R136" s="20"/>
      <c r="S136" s="20">
        <f t="shared" si="49"/>
        <v>4.9535999999999998</v>
      </c>
      <c r="T136" s="20">
        <f t="shared" si="50"/>
        <v>41.28</v>
      </c>
      <c r="U136" s="20">
        <f t="shared" si="51"/>
        <v>13.330137599999999</v>
      </c>
      <c r="V136" s="20">
        <f t="shared" si="52"/>
        <v>13.6525344</v>
      </c>
      <c r="W136" s="20"/>
      <c r="X136" s="20">
        <v>0</v>
      </c>
      <c r="Y136" s="20">
        <v>0</v>
      </c>
      <c r="Z136" s="20">
        <v>0</v>
      </c>
      <c r="AA136" s="20">
        <v>0</v>
      </c>
      <c r="AB136" s="20">
        <v>0</v>
      </c>
    </row>
    <row r="137" spans="1:28">
      <c r="A137" s="32"/>
      <c r="B137" s="31" t="s">
        <v>78</v>
      </c>
      <c r="C137" s="30"/>
      <c r="D137" s="29">
        <v>0.3</v>
      </c>
      <c r="E137" s="29">
        <v>0.6</v>
      </c>
      <c r="F137" s="28"/>
      <c r="G137" s="27">
        <v>8.26</v>
      </c>
      <c r="H137" s="26" t="s">
        <v>73</v>
      </c>
      <c r="I137" s="24"/>
      <c r="J137" s="131">
        <f>((D137+E137+D137+E137)*G137/0.25)*2*J86</f>
        <v>59.353055999999995</v>
      </c>
      <c r="K137" s="25"/>
      <c r="L137" s="21"/>
      <c r="M137" s="23"/>
      <c r="N137" s="23"/>
      <c r="O137" s="25">
        <f>(4*G137)+(3*G137/4)+(2*G137/0.75)*O86</f>
        <v>124.10374666666667</v>
      </c>
      <c r="P137" s="20">
        <f t="shared" si="47"/>
        <v>183.45680266666665</v>
      </c>
      <c r="Q137" s="20">
        <f t="shared" si="48"/>
        <v>5.5037040799999994</v>
      </c>
      <c r="R137" s="20"/>
      <c r="S137" s="20">
        <f t="shared" si="49"/>
        <v>1.4867999999999999</v>
      </c>
      <c r="T137" s="20">
        <f t="shared" si="50"/>
        <v>12.39</v>
      </c>
      <c r="U137" s="20">
        <f t="shared" si="51"/>
        <v>4.0009788000000004</v>
      </c>
      <c r="V137" s="20">
        <f t="shared" si="52"/>
        <v>4.0977446999999998</v>
      </c>
      <c r="W137" s="20"/>
      <c r="X137" s="20">
        <v>0</v>
      </c>
      <c r="Y137" s="20">
        <v>0</v>
      </c>
      <c r="Z137" s="20">
        <v>0</v>
      </c>
      <c r="AA137" s="20">
        <v>0</v>
      </c>
      <c r="AB137" s="20">
        <v>0</v>
      </c>
    </row>
    <row r="138" spans="1:28">
      <c r="A138" s="32"/>
      <c r="B138" s="31" t="s">
        <v>77</v>
      </c>
      <c r="C138" s="30"/>
      <c r="D138" s="29">
        <v>0.4</v>
      </c>
      <c r="E138" s="29">
        <v>0.6</v>
      </c>
      <c r="F138" s="28">
        <v>4</v>
      </c>
      <c r="G138" s="27">
        <v>9</v>
      </c>
      <c r="H138" s="26" t="s">
        <v>73</v>
      </c>
      <c r="I138" s="21">
        <f>(((D138+E138+D138+E138)*F138/0.29)*G138)*2*I86</f>
        <v>110.2344827586207</v>
      </c>
      <c r="J138" s="131"/>
      <c r="K138" s="25"/>
      <c r="L138" s="21"/>
      <c r="M138" s="23"/>
      <c r="N138" s="23"/>
      <c r="O138" s="25">
        <f>(G138*8*F138)*O86</f>
        <v>1109.664</v>
      </c>
      <c r="P138" s="20">
        <f t="shared" si="47"/>
        <v>1219.8984827586207</v>
      </c>
      <c r="Q138" s="20">
        <f t="shared" si="48"/>
        <v>36.596954482758619</v>
      </c>
      <c r="R138" s="20"/>
      <c r="S138" s="20">
        <f>(D138*E138*F138)*G138</f>
        <v>8.64</v>
      </c>
      <c r="T138" s="20">
        <f t="shared" ref="T138:T145" si="53">(D138+E138+E138+D138)*G138</f>
        <v>18</v>
      </c>
      <c r="U138" s="20">
        <f t="shared" si="51"/>
        <v>5.8125600000000004</v>
      </c>
      <c r="V138" s="20">
        <f t="shared" si="52"/>
        <v>5.9531400000000003</v>
      </c>
      <c r="W138" s="20"/>
      <c r="X138" s="20">
        <v>0</v>
      </c>
      <c r="Y138" s="20">
        <v>0</v>
      </c>
      <c r="Z138" s="20">
        <v>0</v>
      </c>
      <c r="AA138" s="20">
        <v>0</v>
      </c>
      <c r="AB138" s="20">
        <v>0</v>
      </c>
    </row>
    <row r="139" spans="1:28">
      <c r="A139" s="32"/>
      <c r="B139" s="31" t="s">
        <v>76</v>
      </c>
      <c r="C139" s="30"/>
      <c r="D139" s="29">
        <v>0.4</v>
      </c>
      <c r="E139" s="29">
        <v>0.6</v>
      </c>
      <c r="F139" s="28">
        <v>4</v>
      </c>
      <c r="G139" s="27">
        <v>24</v>
      </c>
      <c r="H139" s="26" t="s">
        <v>73</v>
      </c>
      <c r="I139" s="21">
        <f>(((D139+E139+D139+E139)*F139/0.29)*G139)*2*I86</f>
        <v>293.95862068965516</v>
      </c>
      <c r="J139" s="131"/>
      <c r="K139" s="25"/>
      <c r="L139" s="21"/>
      <c r="M139" s="23"/>
      <c r="N139" s="23"/>
      <c r="O139" s="25">
        <f>(G139*8*F139)*O86</f>
        <v>2959.1040000000003</v>
      </c>
      <c r="P139" s="20">
        <f t="shared" si="47"/>
        <v>3253.0626206896554</v>
      </c>
      <c r="Q139" s="20">
        <f t="shared" si="48"/>
        <v>97.591878620689656</v>
      </c>
      <c r="R139" s="20"/>
      <c r="S139" s="20">
        <f>(D139*E139*F139)*G139</f>
        <v>23.04</v>
      </c>
      <c r="T139" s="20">
        <f t="shared" si="53"/>
        <v>48</v>
      </c>
      <c r="U139" s="20">
        <f t="shared" si="51"/>
        <v>15.500159999999999</v>
      </c>
      <c r="V139" s="20">
        <f t="shared" si="52"/>
        <v>15.87504</v>
      </c>
      <c r="W139" s="20"/>
      <c r="X139" s="20">
        <v>0</v>
      </c>
      <c r="Y139" s="20">
        <v>0</v>
      </c>
      <c r="Z139" s="20">
        <v>0</v>
      </c>
      <c r="AA139" s="20">
        <v>0</v>
      </c>
      <c r="AB139" s="20">
        <v>0</v>
      </c>
    </row>
    <row r="140" spans="1:28">
      <c r="A140" s="32"/>
      <c r="B140" s="31" t="s">
        <v>75</v>
      </c>
      <c r="C140" s="30"/>
      <c r="D140" s="29">
        <v>0.4</v>
      </c>
      <c r="E140" s="29">
        <v>0.6</v>
      </c>
      <c r="F140" s="28">
        <v>4</v>
      </c>
      <c r="G140" s="27">
        <v>34</v>
      </c>
      <c r="H140" s="26" t="s">
        <v>73</v>
      </c>
      <c r="I140" s="21">
        <f>(((D140+E140+D140+E140)*F140/0.29)*G140)*2*I86</f>
        <v>416.44137931034487</v>
      </c>
      <c r="J140" s="131"/>
      <c r="K140" s="25"/>
      <c r="L140" s="21"/>
      <c r="M140" s="23"/>
      <c r="N140" s="23"/>
      <c r="O140" s="25">
        <f>(G140*8*F140)*O86</f>
        <v>4192.0640000000003</v>
      </c>
      <c r="P140" s="20">
        <f t="shared" si="47"/>
        <v>4608.5053793103452</v>
      </c>
      <c r="Q140" s="20">
        <f t="shared" si="48"/>
        <v>138.25516137931035</v>
      </c>
      <c r="R140" s="20"/>
      <c r="S140" s="20">
        <f>(D140*E140*F140)*G140</f>
        <v>32.64</v>
      </c>
      <c r="T140" s="20">
        <f t="shared" si="53"/>
        <v>68</v>
      </c>
      <c r="U140" s="20">
        <f t="shared" si="51"/>
        <v>21.958559999999999</v>
      </c>
      <c r="V140" s="20">
        <f t="shared" si="52"/>
        <v>22.489640000000001</v>
      </c>
      <c r="W140" s="20"/>
      <c r="X140" s="20">
        <v>0</v>
      </c>
      <c r="Y140" s="20">
        <v>0</v>
      </c>
      <c r="Z140" s="20">
        <v>0</v>
      </c>
      <c r="AA140" s="20">
        <v>0</v>
      </c>
      <c r="AB140" s="20">
        <v>0</v>
      </c>
    </row>
    <row r="141" spans="1:28">
      <c r="A141" s="32"/>
      <c r="B141" s="31" t="s">
        <v>74</v>
      </c>
      <c r="C141" s="30"/>
      <c r="D141" s="29">
        <v>0.4</v>
      </c>
      <c r="E141" s="29">
        <v>0.6</v>
      </c>
      <c r="F141" s="28">
        <v>4</v>
      </c>
      <c r="G141" s="27">
        <v>3</v>
      </c>
      <c r="H141" s="26" t="s">
        <v>73</v>
      </c>
      <c r="I141" s="21">
        <f>(((D141+E141+D141+E141)*F141/0.29)*G141)*2*I86</f>
        <v>36.744827586206895</v>
      </c>
      <c r="J141" s="131"/>
      <c r="K141" s="25"/>
      <c r="L141" s="21"/>
      <c r="M141" s="23"/>
      <c r="N141" s="23"/>
      <c r="O141" s="25">
        <f>(G141*8*F141)*O86</f>
        <v>369.88800000000003</v>
      </c>
      <c r="P141" s="20">
        <f t="shared" si="47"/>
        <v>406.63282758620693</v>
      </c>
      <c r="Q141" s="20">
        <f t="shared" si="48"/>
        <v>12.198984827586207</v>
      </c>
      <c r="R141" s="20"/>
      <c r="S141" s="20">
        <f>(D141*E141*F141)*G141</f>
        <v>2.88</v>
      </c>
      <c r="T141" s="20">
        <f t="shared" si="53"/>
        <v>6</v>
      </c>
      <c r="U141" s="20">
        <f t="shared" si="51"/>
        <v>1.9375199999999999</v>
      </c>
      <c r="V141" s="20">
        <f t="shared" si="52"/>
        <v>1.98438</v>
      </c>
      <c r="W141" s="20"/>
      <c r="X141" s="20">
        <v>0</v>
      </c>
      <c r="Y141" s="20">
        <v>0</v>
      </c>
      <c r="Z141" s="20">
        <v>0</v>
      </c>
      <c r="AA141" s="20">
        <v>0</v>
      </c>
      <c r="AB141" s="20">
        <v>0</v>
      </c>
    </row>
    <row r="142" spans="1:28">
      <c r="A142" s="32"/>
      <c r="B142" s="31" t="s">
        <v>313</v>
      </c>
      <c r="C142" s="30"/>
      <c r="D142" s="29">
        <v>0.25</v>
      </c>
      <c r="E142" s="29">
        <v>0.5</v>
      </c>
      <c r="F142" s="28"/>
      <c r="G142" s="27">
        <f>3*2</f>
        <v>6</v>
      </c>
      <c r="H142" s="26" t="s">
        <v>73</v>
      </c>
      <c r="I142" s="21"/>
      <c r="J142" s="131"/>
      <c r="K142" s="25"/>
      <c r="L142" s="21"/>
      <c r="M142" s="23"/>
      <c r="N142" s="23"/>
      <c r="O142" s="25">
        <f>(6*G142)*O86</f>
        <v>138.708</v>
      </c>
      <c r="P142" s="20">
        <f t="shared" si="47"/>
        <v>138.708</v>
      </c>
      <c r="Q142" s="20">
        <f t="shared" si="48"/>
        <v>4.1612399999999994</v>
      </c>
      <c r="R142" s="20"/>
      <c r="S142" s="20">
        <f>D142*E142*G142</f>
        <v>0.75</v>
      </c>
      <c r="T142" s="20">
        <f t="shared" si="53"/>
        <v>9</v>
      </c>
      <c r="U142" s="20">
        <f>T142*30%</f>
        <v>2.6999999999999997</v>
      </c>
      <c r="V142" s="20">
        <f t="shared" si="52"/>
        <v>2.9249999999999998</v>
      </c>
      <c r="W142" s="20"/>
      <c r="X142" s="20"/>
      <c r="Y142" s="20"/>
      <c r="Z142" s="20"/>
      <c r="AA142" s="20"/>
      <c r="AB142" s="20"/>
    </row>
    <row r="143" spans="1:28">
      <c r="A143" s="32"/>
      <c r="B143" s="31" t="s">
        <v>314</v>
      </c>
      <c r="C143" s="30"/>
      <c r="D143" s="29">
        <v>0.25</v>
      </c>
      <c r="E143" s="29">
        <v>0.5</v>
      </c>
      <c r="F143" s="28"/>
      <c r="G143" s="27">
        <f>3.8*2</f>
        <v>7.6</v>
      </c>
      <c r="H143" s="26" t="s">
        <v>73</v>
      </c>
      <c r="I143" s="21"/>
      <c r="J143" s="131"/>
      <c r="K143" s="25"/>
      <c r="L143" s="21"/>
      <c r="M143" s="23"/>
      <c r="N143" s="23"/>
      <c r="O143" s="25">
        <f>(6*G143)*O86</f>
        <v>175.6968</v>
      </c>
      <c r="P143" s="20">
        <f t="shared" si="47"/>
        <v>175.6968</v>
      </c>
      <c r="Q143" s="20">
        <f t="shared" si="48"/>
        <v>5.2709039999999998</v>
      </c>
      <c r="R143" s="20"/>
      <c r="S143" s="20">
        <f>D143*E143*G143</f>
        <v>0.95</v>
      </c>
      <c r="T143" s="20">
        <f t="shared" si="53"/>
        <v>11.399999999999999</v>
      </c>
      <c r="U143" s="20">
        <f>T143*30%</f>
        <v>3.4199999999999995</v>
      </c>
      <c r="V143" s="20">
        <f t="shared" si="52"/>
        <v>3.7049999999999996</v>
      </c>
      <c r="W143" s="20"/>
      <c r="X143" s="20"/>
      <c r="Y143" s="20"/>
      <c r="Z143" s="20"/>
      <c r="AA143" s="20"/>
      <c r="AB143" s="20"/>
    </row>
    <row r="144" spans="1:28">
      <c r="A144" s="32"/>
      <c r="B144" s="31" t="s">
        <v>315</v>
      </c>
      <c r="C144" s="30"/>
      <c r="D144" s="29">
        <v>0.25</v>
      </c>
      <c r="E144" s="29">
        <v>0.5</v>
      </c>
      <c r="F144" s="28"/>
      <c r="G144" s="27">
        <f>2.7*2</f>
        <v>5.4</v>
      </c>
      <c r="H144" s="26" t="s">
        <v>73</v>
      </c>
      <c r="I144" s="21"/>
      <c r="J144" s="131"/>
      <c r="K144" s="25"/>
      <c r="L144" s="21"/>
      <c r="M144" s="23"/>
      <c r="N144" s="23"/>
      <c r="O144" s="25">
        <f>(6*G144)*O86</f>
        <v>124.83720000000002</v>
      </c>
      <c r="P144" s="20">
        <f t="shared" si="47"/>
        <v>124.83720000000002</v>
      </c>
      <c r="Q144" s="20">
        <f t="shared" si="48"/>
        <v>3.7451160000000008</v>
      </c>
      <c r="R144" s="20"/>
      <c r="S144" s="20">
        <f>D144*E144*G144</f>
        <v>0.67500000000000004</v>
      </c>
      <c r="T144" s="20">
        <f t="shared" si="53"/>
        <v>8.1000000000000014</v>
      </c>
      <c r="U144" s="20">
        <f>T144*30%</f>
        <v>2.4300000000000002</v>
      </c>
      <c r="V144" s="20">
        <f t="shared" si="52"/>
        <v>2.6325000000000003</v>
      </c>
      <c r="W144" s="20"/>
      <c r="X144" s="20"/>
      <c r="Y144" s="20"/>
      <c r="Z144" s="20"/>
      <c r="AA144" s="20"/>
      <c r="AB144" s="20"/>
    </row>
    <row r="145" spans="1:28">
      <c r="A145" s="32"/>
      <c r="B145" s="31" t="s">
        <v>316</v>
      </c>
      <c r="C145" s="30"/>
      <c r="D145" s="29">
        <v>0.25</v>
      </c>
      <c r="E145" s="29">
        <v>0.5</v>
      </c>
      <c r="F145" s="28"/>
      <c r="G145" s="27">
        <f>2.7*2</f>
        <v>5.4</v>
      </c>
      <c r="H145" s="26" t="s">
        <v>73</v>
      </c>
      <c r="I145" s="21"/>
      <c r="J145" s="131"/>
      <c r="K145" s="25"/>
      <c r="L145" s="21"/>
      <c r="M145" s="23"/>
      <c r="N145" s="23"/>
      <c r="O145" s="25">
        <f>(6*G145)*O86</f>
        <v>124.83720000000002</v>
      </c>
      <c r="P145" s="20">
        <f t="shared" si="47"/>
        <v>124.83720000000002</v>
      </c>
      <c r="Q145" s="20">
        <f t="shared" si="48"/>
        <v>3.7451160000000008</v>
      </c>
      <c r="R145" s="20"/>
      <c r="S145" s="20">
        <f>D145*E145*G145</f>
        <v>0.67500000000000004</v>
      </c>
      <c r="T145" s="20">
        <f t="shared" si="53"/>
        <v>8.1000000000000014</v>
      </c>
      <c r="U145" s="20">
        <f>T145*30%</f>
        <v>2.4300000000000002</v>
      </c>
      <c r="V145" s="20">
        <f t="shared" si="52"/>
        <v>2.6325000000000003</v>
      </c>
      <c r="W145" s="20"/>
      <c r="X145" s="20"/>
      <c r="Y145" s="20"/>
      <c r="Z145" s="20"/>
      <c r="AA145" s="20"/>
      <c r="AB145" s="20"/>
    </row>
    <row r="146" spans="1:28">
      <c r="A146" s="32"/>
      <c r="B146" s="31" t="s">
        <v>285</v>
      </c>
      <c r="C146" s="24" t="s">
        <v>94</v>
      </c>
      <c r="D146" s="29"/>
      <c r="E146" s="29"/>
      <c r="F146" s="28">
        <v>0.05</v>
      </c>
      <c r="G146" s="27">
        <f>'Architecture '!T224</f>
        <v>0</v>
      </c>
      <c r="H146" s="26" t="s">
        <v>72</v>
      </c>
      <c r="I146" s="24"/>
      <c r="J146" s="36"/>
      <c r="K146" s="25"/>
      <c r="L146" s="21"/>
      <c r="M146" s="23"/>
      <c r="N146" s="23"/>
      <c r="O146" s="25"/>
      <c r="P146" s="20">
        <f t="shared" si="47"/>
        <v>0</v>
      </c>
      <c r="Q146" s="20">
        <f t="shared" si="48"/>
        <v>0</v>
      </c>
      <c r="R146" s="20"/>
      <c r="S146" s="20">
        <f>+F146*G146</f>
        <v>0</v>
      </c>
      <c r="T146" s="20">
        <f>G146</f>
        <v>0</v>
      </c>
      <c r="U146" s="20">
        <f t="shared" si="51"/>
        <v>0</v>
      </c>
      <c r="V146" s="20">
        <f t="shared" si="52"/>
        <v>0</v>
      </c>
      <c r="W146" s="20">
        <f>+D146*G146*0.1</f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f>G146</f>
        <v>0</v>
      </c>
    </row>
    <row r="147" spans="1:28">
      <c r="A147" s="32"/>
      <c r="B147" s="31" t="s">
        <v>278</v>
      </c>
      <c r="C147" s="30"/>
      <c r="D147" s="29">
        <v>0.3</v>
      </c>
      <c r="E147" s="29">
        <v>0.6</v>
      </c>
      <c r="F147" s="28"/>
      <c r="G147" s="27">
        <v>84.04</v>
      </c>
      <c r="H147" s="26" t="s">
        <v>73</v>
      </c>
      <c r="I147" s="24"/>
      <c r="J147" s="36">
        <f>((D147+E147+D147+E147)*G147/0.25)*J86</f>
        <v>301.93891199999996</v>
      </c>
      <c r="K147" s="25"/>
      <c r="L147" s="21">
        <f>(4*G147)*L86</f>
        <v>298.51008000000002</v>
      </c>
      <c r="M147" s="23"/>
      <c r="N147" s="23"/>
      <c r="O147" s="22">
        <f>(G147/0.75)+(4*(G147/4))*O86</f>
        <v>435.85945333333336</v>
      </c>
      <c r="P147" s="20">
        <f t="shared" ref="P147:P152" si="54">SUM(E147:O147)</f>
        <v>1120.9484453333334</v>
      </c>
      <c r="Q147" s="20">
        <f t="shared" si="48"/>
        <v>33.628453360000002</v>
      </c>
      <c r="R147" s="20"/>
      <c r="S147" s="20">
        <f t="shared" ref="S147:S156" si="55">D147*E147*G147</f>
        <v>15.1272</v>
      </c>
      <c r="T147" s="20">
        <f t="shared" ref="T147:T156" si="56">(D147+E147+E147)*G147</f>
        <v>126.06</v>
      </c>
      <c r="U147" s="20">
        <f t="shared" si="51"/>
        <v>40.707295199999997</v>
      </c>
      <c r="V147" s="20">
        <f t="shared" si="52"/>
        <v>41.691823800000002</v>
      </c>
      <c r="W147" s="20"/>
      <c r="X147" s="20"/>
      <c r="Y147" s="20"/>
      <c r="Z147" s="20"/>
      <c r="AA147" s="20"/>
      <c r="AB147" s="20"/>
    </row>
    <row r="148" spans="1:28">
      <c r="A148" s="32"/>
      <c r="B148" s="31" t="s">
        <v>279</v>
      </c>
      <c r="C148" s="30"/>
      <c r="D148" s="29">
        <v>0.3</v>
      </c>
      <c r="E148" s="29">
        <v>0.6</v>
      </c>
      <c r="F148" s="28"/>
      <c r="G148" s="27">
        <v>41.64</v>
      </c>
      <c r="H148" s="26" t="s">
        <v>73</v>
      </c>
      <c r="I148" s="24"/>
      <c r="J148" s="36">
        <f>((D148+E148+D148+E148)*G148/0.25)*J86</f>
        <v>149.60419199999998</v>
      </c>
      <c r="K148" s="25"/>
      <c r="L148" s="21">
        <f>(4*G148)*L86</f>
        <v>147.90528</v>
      </c>
      <c r="M148" s="23"/>
      <c r="N148" s="23"/>
      <c r="O148" s="22">
        <f>(G148/0.75)+(4*(G148/4))*O86</f>
        <v>215.95892000000003</v>
      </c>
      <c r="P148" s="20">
        <f t="shared" si="54"/>
        <v>555.708392</v>
      </c>
      <c r="Q148" s="20">
        <f t="shared" si="48"/>
        <v>16.671251760000001</v>
      </c>
      <c r="R148" s="20"/>
      <c r="S148" s="20">
        <f t="shared" si="55"/>
        <v>7.4951999999999996</v>
      </c>
      <c r="T148" s="20">
        <f t="shared" si="56"/>
        <v>62.46</v>
      </c>
      <c r="U148" s="20">
        <f t="shared" si="51"/>
        <v>20.169583199999998</v>
      </c>
      <c r="V148" s="20">
        <f t="shared" si="52"/>
        <v>20.6573958</v>
      </c>
      <c r="W148" s="20"/>
      <c r="X148" s="20"/>
      <c r="Y148" s="20"/>
      <c r="Z148" s="20"/>
      <c r="AA148" s="20"/>
      <c r="AB148" s="20"/>
    </row>
    <row r="149" spans="1:28">
      <c r="A149" s="32"/>
      <c r="B149" s="31" t="s">
        <v>280</v>
      </c>
      <c r="C149" s="30"/>
      <c r="D149" s="29">
        <v>0.3</v>
      </c>
      <c r="E149" s="29">
        <v>0.6</v>
      </c>
      <c r="F149" s="28"/>
      <c r="G149" s="27">
        <v>143</v>
      </c>
      <c r="H149" s="26" t="s">
        <v>73</v>
      </c>
      <c r="I149" s="24"/>
      <c r="J149" s="36">
        <f>((D149+E149+D149+E149)*G149/0.25)*J86</f>
        <v>513.7704</v>
      </c>
      <c r="K149" s="25"/>
      <c r="L149" s="21">
        <f>(4*G149)*L86</f>
        <v>507.93599999999998</v>
      </c>
      <c r="M149" s="23"/>
      <c r="N149" s="23"/>
      <c r="O149" s="22">
        <f>(2*G149/0.75)+(4*(G149/4))*O86</f>
        <v>932.3123333333333</v>
      </c>
      <c r="P149" s="20">
        <f t="shared" si="54"/>
        <v>2097.6187333333332</v>
      </c>
      <c r="Q149" s="20">
        <f t="shared" si="48"/>
        <v>62.928561999999992</v>
      </c>
      <c r="R149" s="20"/>
      <c r="S149" s="20">
        <f t="shared" si="55"/>
        <v>25.74</v>
      </c>
      <c r="T149" s="20">
        <f t="shared" si="56"/>
        <v>214.5</v>
      </c>
      <c r="U149" s="20">
        <f t="shared" si="51"/>
        <v>69.266339999999985</v>
      </c>
      <c r="V149" s="20">
        <f t="shared" si="52"/>
        <v>70.941585000000003</v>
      </c>
      <c r="W149" s="20"/>
      <c r="X149" s="20"/>
      <c r="Y149" s="20"/>
      <c r="Z149" s="20"/>
      <c r="AA149" s="20"/>
      <c r="AB149" s="20"/>
    </row>
    <row r="150" spans="1:28">
      <c r="A150" s="32"/>
      <c r="B150" s="31" t="s">
        <v>281</v>
      </c>
      <c r="C150" s="30"/>
      <c r="D150" s="29">
        <v>0.4</v>
      </c>
      <c r="E150" s="29">
        <v>0.7</v>
      </c>
      <c r="F150" s="28"/>
      <c r="G150" s="27">
        <v>24.5</v>
      </c>
      <c r="H150" s="26" t="s">
        <v>73</v>
      </c>
      <c r="I150" s="24"/>
      <c r="J150" s="36">
        <f>((D150+E150+D150+E150)*G150/0.25)*2*J86</f>
        <v>215.16880000000003</v>
      </c>
      <c r="K150" s="25"/>
      <c r="L150" s="21"/>
      <c r="M150" s="23"/>
      <c r="N150" s="23"/>
      <c r="O150" s="22">
        <f>(4*G150)+(8*G150/0.75)+(8*G150/4)*O86</f>
        <v>548.13033333333328</v>
      </c>
      <c r="P150" s="20">
        <f t="shared" si="54"/>
        <v>788.49913333333325</v>
      </c>
      <c r="Q150" s="20">
        <f t="shared" si="48"/>
        <v>23.654973999999996</v>
      </c>
      <c r="R150" s="20"/>
      <c r="S150" s="20">
        <f t="shared" si="55"/>
        <v>6.8599999999999994</v>
      </c>
      <c r="T150" s="20">
        <f t="shared" si="56"/>
        <v>44.1</v>
      </c>
      <c r="U150" s="20">
        <f t="shared" si="51"/>
        <v>14.240771999999998</v>
      </c>
      <c r="V150" s="20">
        <f t="shared" si="52"/>
        <v>14.585193</v>
      </c>
      <c r="W150" s="20"/>
      <c r="X150" s="20"/>
      <c r="Y150" s="20"/>
      <c r="Z150" s="20"/>
      <c r="AA150" s="20"/>
      <c r="AB150" s="20"/>
    </row>
    <row r="151" spans="1:28">
      <c r="A151" s="32"/>
      <c r="B151" s="31" t="s">
        <v>282</v>
      </c>
      <c r="C151" s="30"/>
      <c r="D151" s="29">
        <v>0.3</v>
      </c>
      <c r="E151" s="29">
        <v>0.6</v>
      </c>
      <c r="F151" s="28"/>
      <c r="G151" s="27">
        <v>17.09</v>
      </c>
      <c r="H151" s="26" t="s">
        <v>73</v>
      </c>
      <c r="I151" s="24"/>
      <c r="J151" s="36">
        <f>((D151+E151+D151+E151)*G151/0.25)*J86</f>
        <v>61.400951999999997</v>
      </c>
      <c r="K151" s="25"/>
      <c r="L151" s="21">
        <f>(4*G151)*L86</f>
        <v>60.703679999999999</v>
      </c>
      <c r="M151" s="23"/>
      <c r="N151" s="23"/>
      <c r="O151" s="22">
        <f>(G151/0.75)+(2*(G151/4))*O86</f>
        <v>55.71055166666666</v>
      </c>
      <c r="P151" s="20">
        <f t="shared" si="54"/>
        <v>195.50518366666665</v>
      </c>
      <c r="Q151" s="20">
        <f t="shared" si="48"/>
        <v>5.8651555099999992</v>
      </c>
      <c r="R151" s="20"/>
      <c r="S151" s="20">
        <f t="shared" si="55"/>
        <v>3.0762</v>
      </c>
      <c r="T151" s="20">
        <f t="shared" si="56"/>
        <v>25.634999999999998</v>
      </c>
      <c r="U151" s="20">
        <f t="shared" si="51"/>
        <v>8.2780541999999979</v>
      </c>
      <c r="V151" s="20">
        <f t="shared" si="52"/>
        <v>8.4782635499999994</v>
      </c>
      <c r="W151" s="20"/>
      <c r="X151" s="20"/>
      <c r="Y151" s="20"/>
      <c r="Z151" s="20"/>
      <c r="AA151" s="20"/>
      <c r="AB151" s="20"/>
    </row>
    <row r="152" spans="1:28">
      <c r="A152" s="32"/>
      <c r="B152" s="31" t="s">
        <v>283</v>
      </c>
      <c r="C152" s="30"/>
      <c r="D152" s="29">
        <v>0.3</v>
      </c>
      <c r="E152" s="29">
        <v>0.6</v>
      </c>
      <c r="F152" s="28"/>
      <c r="G152" s="27">
        <v>52.12</v>
      </c>
      <c r="H152" s="26" t="s">
        <v>73</v>
      </c>
      <c r="I152" s="24"/>
      <c r="J152" s="36">
        <f>((D152+E152+D152+E152)*G152/0.2)*J86</f>
        <v>234.07091999999997</v>
      </c>
      <c r="K152" s="25"/>
      <c r="L152" s="21"/>
      <c r="M152" s="23"/>
      <c r="N152" s="23"/>
      <c r="O152" s="22">
        <f>(8*G152)*O86</f>
        <v>1606.5468800000001</v>
      </c>
      <c r="P152" s="20">
        <f t="shared" si="54"/>
        <v>1893.3378</v>
      </c>
      <c r="Q152" s="20">
        <f t="shared" si="48"/>
        <v>56.800134</v>
      </c>
      <c r="R152" s="20"/>
      <c r="S152" s="20">
        <f t="shared" si="55"/>
        <v>9.3815999999999988</v>
      </c>
      <c r="T152" s="20">
        <f t="shared" si="56"/>
        <v>78.179999999999993</v>
      </c>
      <c r="U152" s="20">
        <f t="shared" si="51"/>
        <v>25.245885599999994</v>
      </c>
      <c r="V152" s="20">
        <f t="shared" si="52"/>
        <v>25.856471399999997</v>
      </c>
      <c r="W152" s="20"/>
      <c r="X152" s="20"/>
      <c r="Y152" s="20"/>
      <c r="Z152" s="20"/>
      <c r="AA152" s="20"/>
      <c r="AB152" s="20"/>
    </row>
    <row r="153" spans="1:28">
      <c r="A153" s="32"/>
      <c r="B153" s="31" t="s">
        <v>317</v>
      </c>
      <c r="C153" s="30"/>
      <c r="D153" s="29">
        <v>0.3</v>
      </c>
      <c r="E153" s="29">
        <v>0.3</v>
      </c>
      <c r="F153" s="28"/>
      <c r="G153" s="27">
        <v>21.5</v>
      </c>
      <c r="H153" s="26" t="s">
        <v>73</v>
      </c>
      <c r="I153" s="23"/>
      <c r="J153" s="36">
        <f>((D153+E153+D153+E153)*G153/0.19)*J86</f>
        <v>67.758947368421047</v>
      </c>
      <c r="K153" s="25"/>
      <c r="L153" s="21">
        <f>(G153*8)*L86</f>
        <v>152.73599999999999</v>
      </c>
      <c r="M153" s="23"/>
      <c r="N153" s="23"/>
      <c r="O153" s="22"/>
      <c r="P153" s="20">
        <f>SUM(I153:O153)</f>
        <v>220.49494736842104</v>
      </c>
      <c r="Q153" s="20">
        <f t="shared" si="48"/>
        <v>6.6148484210526313</v>
      </c>
      <c r="R153" s="20"/>
      <c r="S153" s="20">
        <f t="shared" si="55"/>
        <v>1.9349999999999998</v>
      </c>
      <c r="T153" s="20">
        <f t="shared" si="56"/>
        <v>19.349999999999998</v>
      </c>
      <c r="U153" s="20">
        <f>T153*30%</f>
        <v>5.8049999999999988</v>
      </c>
      <c r="V153" s="20">
        <f t="shared" si="52"/>
        <v>6.2887499999999994</v>
      </c>
      <c r="W153" s="20"/>
      <c r="X153" s="20"/>
      <c r="Y153" s="20"/>
      <c r="Z153" s="20"/>
      <c r="AA153" s="20"/>
      <c r="AB153" s="20"/>
    </row>
    <row r="154" spans="1:28">
      <c r="A154" s="32"/>
      <c r="B154" s="31" t="s">
        <v>318</v>
      </c>
      <c r="C154" s="30"/>
      <c r="D154" s="29">
        <v>0.45</v>
      </c>
      <c r="E154" s="29">
        <v>0.45</v>
      </c>
      <c r="F154" s="28"/>
      <c r="G154" s="27">
        <v>12.9</v>
      </c>
      <c r="H154" s="26" t="s">
        <v>73</v>
      </c>
      <c r="I154" s="23"/>
      <c r="J154" s="36">
        <f>((D154+E154+D154+E154)*G154/0.25)*J86</f>
        <v>46.347120000000004</v>
      </c>
      <c r="K154" s="25"/>
      <c r="L154" s="21"/>
      <c r="M154" s="23">
        <f>(G154*8)*M86</f>
        <v>162.84960000000001</v>
      </c>
      <c r="N154" s="23"/>
      <c r="O154" s="22"/>
      <c r="P154" s="20">
        <f>SUM(I154:O154)</f>
        <v>209.19672000000003</v>
      </c>
      <c r="Q154" s="20">
        <f t="shared" si="48"/>
        <v>6.275901600000001</v>
      </c>
      <c r="R154" s="20"/>
      <c r="S154" s="20">
        <f t="shared" si="55"/>
        <v>2.6122500000000004</v>
      </c>
      <c r="T154" s="20">
        <f t="shared" si="56"/>
        <v>17.415000000000003</v>
      </c>
      <c r="U154" s="20">
        <f>T154*30%</f>
        <v>5.2245000000000008</v>
      </c>
      <c r="V154" s="20">
        <f t="shared" si="52"/>
        <v>5.6598750000000013</v>
      </c>
      <c r="W154" s="20"/>
      <c r="X154" s="20"/>
      <c r="Y154" s="20"/>
      <c r="Z154" s="20"/>
      <c r="AA154" s="20"/>
      <c r="AB154" s="20"/>
    </row>
    <row r="155" spans="1:28">
      <c r="A155" s="32"/>
      <c r="B155" s="31" t="s">
        <v>319</v>
      </c>
      <c r="C155" s="30"/>
      <c r="D155" s="29">
        <v>0.5</v>
      </c>
      <c r="E155" s="29">
        <v>0.5</v>
      </c>
      <c r="F155" s="28"/>
      <c r="G155" s="27">
        <v>172</v>
      </c>
      <c r="H155" s="26" t="s">
        <v>73</v>
      </c>
      <c r="I155" s="23"/>
      <c r="J155" s="36">
        <f>((D155+E155+D155+E155)*G155/0.3)*J86</f>
        <v>572.18666666666672</v>
      </c>
      <c r="K155" s="25"/>
      <c r="L155" s="21"/>
      <c r="M155" s="23"/>
      <c r="N155" s="23">
        <f>(G155*8)*N86</f>
        <v>3393.2160000000003</v>
      </c>
      <c r="O155" s="22"/>
      <c r="P155" s="20">
        <f>SUM(I155:O155)</f>
        <v>3965.4026666666668</v>
      </c>
      <c r="Q155" s="20">
        <f t="shared" si="48"/>
        <v>118.96208</v>
      </c>
      <c r="R155" s="20"/>
      <c r="S155" s="20">
        <f t="shared" si="55"/>
        <v>43</v>
      </c>
      <c r="T155" s="20">
        <f t="shared" si="56"/>
        <v>258</v>
      </c>
      <c r="U155" s="20">
        <f>T155*30%</f>
        <v>77.399999999999991</v>
      </c>
      <c r="V155" s="20">
        <f t="shared" si="52"/>
        <v>83.85</v>
      </c>
      <c r="W155" s="20"/>
      <c r="X155" s="20"/>
      <c r="Y155" s="20"/>
      <c r="Z155" s="20"/>
      <c r="AA155" s="20"/>
      <c r="AB155" s="20"/>
    </row>
    <row r="156" spans="1:28">
      <c r="A156" s="32"/>
      <c r="B156" s="31" t="s">
        <v>320</v>
      </c>
      <c r="C156" s="30"/>
      <c r="D156" s="29">
        <v>0.5</v>
      </c>
      <c r="E156" s="29">
        <v>0.5</v>
      </c>
      <c r="F156" s="28"/>
      <c r="G156" s="27">
        <v>142</v>
      </c>
      <c r="H156" s="26" t="s">
        <v>73</v>
      </c>
      <c r="I156" s="23"/>
      <c r="J156" s="36">
        <f>((D156+E156+D156+E156)*G156/0.3)*J86</f>
        <v>472.38666666666671</v>
      </c>
      <c r="K156" s="25"/>
      <c r="L156" s="21"/>
      <c r="M156" s="23"/>
      <c r="N156" s="23">
        <f>(G156*8)*N86</f>
        <v>2801.3760000000002</v>
      </c>
      <c r="O156" s="22"/>
      <c r="P156" s="20">
        <f>SUM(I156:O156)</f>
        <v>3273.762666666667</v>
      </c>
      <c r="Q156" s="20">
        <f t="shared" si="48"/>
        <v>98.212880000000013</v>
      </c>
      <c r="R156" s="20"/>
      <c r="S156" s="20">
        <f t="shared" si="55"/>
        <v>35.5</v>
      </c>
      <c r="T156" s="20">
        <f t="shared" si="56"/>
        <v>213</v>
      </c>
      <c r="U156" s="20">
        <f>T156*30%</f>
        <v>63.9</v>
      </c>
      <c r="V156" s="20">
        <f t="shared" si="52"/>
        <v>69.224999999999994</v>
      </c>
      <c r="W156" s="20"/>
      <c r="X156" s="20"/>
      <c r="Y156" s="20"/>
      <c r="Z156" s="20"/>
      <c r="AA156" s="20"/>
      <c r="AB156" s="20"/>
    </row>
    <row r="157" spans="1:28">
      <c r="A157" s="32"/>
      <c r="B157" s="31" t="s">
        <v>284</v>
      </c>
      <c r="C157" s="24" t="s">
        <v>94</v>
      </c>
      <c r="D157" s="29"/>
      <c r="E157" s="29"/>
      <c r="F157" s="28">
        <v>0.05</v>
      </c>
      <c r="G157" s="27" t="e">
        <f>'Architecture '!#REF!</f>
        <v>#REF!</v>
      </c>
      <c r="H157" s="26" t="s">
        <v>72</v>
      </c>
      <c r="I157" s="24"/>
      <c r="J157" s="36"/>
      <c r="K157" s="25"/>
      <c r="L157" s="21"/>
      <c r="M157" s="23"/>
      <c r="N157" s="23"/>
      <c r="O157" s="22"/>
      <c r="P157" s="20" t="e">
        <f>SUM(E157:O157)</f>
        <v>#REF!</v>
      </c>
      <c r="Q157" s="20" t="e">
        <f t="shared" si="48"/>
        <v>#REF!</v>
      </c>
      <c r="R157" s="20"/>
      <c r="S157" s="20" t="e">
        <f>+F157*G157</f>
        <v>#REF!</v>
      </c>
      <c r="T157" s="20" t="e">
        <f>G157</f>
        <v>#REF!</v>
      </c>
      <c r="U157" s="20" t="e">
        <f>(T157*0.03)*10.764</f>
        <v>#REF!</v>
      </c>
      <c r="V157" s="20" t="e">
        <f>(T157+U157)*0.25</f>
        <v>#REF!</v>
      </c>
      <c r="W157" s="20"/>
      <c r="X157" s="20"/>
      <c r="Y157" s="20"/>
      <c r="Z157" s="20"/>
      <c r="AA157" s="20"/>
      <c r="AB157" s="20" t="e">
        <f>G157</f>
        <v>#REF!</v>
      </c>
    </row>
    <row r="158" spans="1:28">
      <c r="A158" s="32"/>
      <c r="B158" s="31" t="s">
        <v>273</v>
      </c>
      <c r="C158" s="30"/>
      <c r="D158" s="29"/>
      <c r="E158" s="29"/>
      <c r="F158" s="28"/>
      <c r="G158" s="27"/>
      <c r="H158" s="26"/>
      <c r="I158" s="24"/>
      <c r="J158" s="36"/>
      <c r="K158" s="25"/>
      <c r="L158" s="21"/>
      <c r="M158" s="23"/>
      <c r="N158" s="23"/>
      <c r="O158" s="22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</row>
    <row r="159" spans="1:28">
      <c r="A159" s="32"/>
      <c r="B159" s="31" t="s">
        <v>25</v>
      </c>
      <c r="C159" s="30"/>
      <c r="D159" s="29"/>
      <c r="E159" s="29"/>
      <c r="F159" s="28"/>
      <c r="G159" s="27"/>
      <c r="H159" s="26"/>
      <c r="I159" s="24"/>
      <c r="J159" s="36"/>
      <c r="K159" s="25"/>
      <c r="L159" s="21"/>
      <c r="M159" s="23"/>
      <c r="N159" s="23"/>
      <c r="O159" s="22"/>
      <c r="P159" s="20">
        <f t="shared" ref="P159:P165" si="57">SUM(I159:O159)</f>
        <v>0</v>
      </c>
      <c r="Q159" s="20">
        <f t="shared" ref="Q159:Q175" si="58">(P159*0.03)</f>
        <v>0</v>
      </c>
      <c r="R159" s="20">
        <f t="shared" ref="R159:R165" si="59">D159*G159*0.05</f>
        <v>0</v>
      </c>
      <c r="S159" s="20">
        <f t="shared" ref="S159:S165" si="60">D159*E159*G159</f>
        <v>0</v>
      </c>
      <c r="T159" s="20">
        <f t="shared" ref="T159:T165" si="61">(D159+E159+E159)*G159</f>
        <v>0</v>
      </c>
      <c r="U159" s="20">
        <f t="shared" ref="U159:U174" si="62">T159*30%</f>
        <v>0</v>
      </c>
      <c r="V159" s="20">
        <f t="shared" ref="V159:V175" si="63">(T159+U159)*0.25</f>
        <v>0</v>
      </c>
      <c r="W159" s="20">
        <f t="shared" ref="W159:W165" si="64">+D159*G159*0.1</f>
        <v>0</v>
      </c>
      <c r="X159" s="20"/>
      <c r="Y159" s="20"/>
      <c r="Z159" s="20"/>
      <c r="AA159" s="20"/>
      <c r="AB159" s="20"/>
    </row>
    <row r="160" spans="1:28">
      <c r="A160" s="32"/>
      <c r="B160" s="31" t="s">
        <v>70</v>
      </c>
      <c r="C160" s="30"/>
      <c r="D160" s="29"/>
      <c r="E160" s="29"/>
      <c r="F160" s="28"/>
      <c r="G160" s="27">
        <v>33087.910000000003</v>
      </c>
      <c r="H160" s="26" t="s">
        <v>65</v>
      </c>
      <c r="I160" s="24"/>
      <c r="J160" s="36"/>
      <c r="K160" s="25"/>
      <c r="L160" s="21"/>
      <c r="M160" s="23"/>
      <c r="N160" s="23"/>
      <c r="O160" s="22"/>
      <c r="P160" s="20">
        <f t="shared" si="57"/>
        <v>0</v>
      </c>
      <c r="Q160" s="20">
        <f t="shared" si="58"/>
        <v>0</v>
      </c>
      <c r="R160" s="20">
        <f t="shared" si="59"/>
        <v>0</v>
      </c>
      <c r="S160" s="20">
        <f t="shared" si="60"/>
        <v>0</v>
      </c>
      <c r="T160" s="20">
        <f t="shared" si="61"/>
        <v>0</v>
      </c>
      <c r="U160" s="20">
        <f t="shared" si="62"/>
        <v>0</v>
      </c>
      <c r="V160" s="20">
        <f t="shared" si="63"/>
        <v>0</v>
      </c>
      <c r="W160" s="20">
        <f t="shared" si="64"/>
        <v>0</v>
      </c>
      <c r="X160" s="20"/>
      <c r="Y160" s="20"/>
      <c r="Z160" s="20"/>
      <c r="AA160" s="20"/>
      <c r="AB160" s="20"/>
    </row>
    <row r="161" spans="1:28">
      <c r="A161" s="32"/>
      <c r="B161" s="31" t="s">
        <v>69</v>
      </c>
      <c r="C161" s="30"/>
      <c r="D161" s="29"/>
      <c r="E161" s="29"/>
      <c r="F161" s="28"/>
      <c r="G161" s="27">
        <v>3043.26</v>
      </c>
      <c r="H161" s="26" t="s">
        <v>65</v>
      </c>
      <c r="I161" s="24"/>
      <c r="J161" s="36"/>
      <c r="K161" s="25"/>
      <c r="L161" s="21"/>
      <c r="M161" s="23"/>
      <c r="N161" s="23"/>
      <c r="O161" s="22"/>
      <c r="P161" s="20">
        <f t="shared" si="57"/>
        <v>0</v>
      </c>
      <c r="Q161" s="20">
        <f t="shared" si="58"/>
        <v>0</v>
      </c>
      <c r="R161" s="20">
        <f t="shared" si="59"/>
        <v>0</v>
      </c>
      <c r="S161" s="20">
        <f t="shared" si="60"/>
        <v>0</v>
      </c>
      <c r="T161" s="20">
        <f t="shared" si="61"/>
        <v>0</v>
      </c>
      <c r="U161" s="20">
        <f t="shared" si="62"/>
        <v>0</v>
      </c>
      <c r="V161" s="20">
        <f t="shared" si="63"/>
        <v>0</v>
      </c>
      <c r="W161" s="20">
        <f t="shared" si="64"/>
        <v>0</v>
      </c>
      <c r="X161" s="20"/>
      <c r="Y161" s="20"/>
      <c r="Z161" s="20"/>
      <c r="AA161" s="20"/>
      <c r="AB161" s="20"/>
    </row>
    <row r="162" spans="1:28">
      <c r="A162" s="32"/>
      <c r="B162" s="31" t="s">
        <v>68</v>
      </c>
      <c r="C162" s="30"/>
      <c r="D162" s="29"/>
      <c r="E162" s="29"/>
      <c r="F162" s="28"/>
      <c r="G162" s="27">
        <v>15142.1</v>
      </c>
      <c r="H162" s="26" t="s">
        <v>65</v>
      </c>
      <c r="I162" s="24"/>
      <c r="J162" s="36"/>
      <c r="K162" s="25"/>
      <c r="L162" s="21"/>
      <c r="M162" s="23"/>
      <c r="N162" s="23"/>
      <c r="O162" s="22"/>
      <c r="P162" s="20">
        <f t="shared" si="57"/>
        <v>0</v>
      </c>
      <c r="Q162" s="20">
        <f t="shared" si="58"/>
        <v>0</v>
      </c>
      <c r="R162" s="20">
        <f t="shared" si="59"/>
        <v>0</v>
      </c>
      <c r="S162" s="20">
        <f t="shared" si="60"/>
        <v>0</v>
      </c>
      <c r="T162" s="20">
        <f t="shared" si="61"/>
        <v>0</v>
      </c>
      <c r="U162" s="20">
        <f t="shared" si="62"/>
        <v>0</v>
      </c>
      <c r="V162" s="20">
        <f t="shared" si="63"/>
        <v>0</v>
      </c>
      <c r="W162" s="20">
        <f t="shared" si="64"/>
        <v>0</v>
      </c>
      <c r="X162" s="20"/>
      <c r="Y162" s="20"/>
      <c r="Z162" s="20"/>
      <c r="AA162" s="20"/>
      <c r="AB162" s="20"/>
    </row>
    <row r="163" spans="1:28">
      <c r="A163" s="32"/>
      <c r="B163" s="31" t="s">
        <v>26</v>
      </c>
      <c r="C163" s="30"/>
      <c r="D163" s="29"/>
      <c r="E163" s="29"/>
      <c r="F163" s="28"/>
      <c r="G163" s="27"/>
      <c r="H163" s="26"/>
      <c r="I163" s="24"/>
      <c r="J163" s="36"/>
      <c r="K163" s="25"/>
      <c r="L163" s="21"/>
      <c r="M163" s="23"/>
      <c r="N163" s="23"/>
      <c r="O163" s="22"/>
      <c r="P163" s="20">
        <f t="shared" si="57"/>
        <v>0</v>
      </c>
      <c r="Q163" s="20">
        <f t="shared" si="58"/>
        <v>0</v>
      </c>
      <c r="R163" s="20">
        <f t="shared" si="59"/>
        <v>0</v>
      </c>
      <c r="S163" s="20">
        <f t="shared" si="60"/>
        <v>0</v>
      </c>
      <c r="T163" s="20">
        <f t="shared" si="61"/>
        <v>0</v>
      </c>
      <c r="U163" s="20">
        <f t="shared" si="62"/>
        <v>0</v>
      </c>
      <c r="V163" s="20">
        <f t="shared" si="63"/>
        <v>0</v>
      </c>
      <c r="W163" s="20">
        <f t="shared" si="64"/>
        <v>0</v>
      </c>
      <c r="X163" s="20"/>
      <c r="Y163" s="20"/>
      <c r="Z163" s="20"/>
      <c r="AA163" s="20"/>
      <c r="AB163" s="20"/>
    </row>
    <row r="164" spans="1:28">
      <c r="A164" s="32"/>
      <c r="B164" s="35" t="s">
        <v>67</v>
      </c>
      <c r="C164" s="34"/>
      <c r="D164" s="33"/>
      <c r="E164" s="33"/>
      <c r="F164" s="28"/>
      <c r="G164" s="27">
        <v>5273.73</v>
      </c>
      <c r="H164" s="26" t="s">
        <v>65</v>
      </c>
      <c r="I164" s="24"/>
      <c r="J164" s="36"/>
      <c r="K164" s="25"/>
      <c r="L164" s="21"/>
      <c r="M164" s="23"/>
      <c r="N164" s="23"/>
      <c r="O164" s="22"/>
      <c r="P164" s="20">
        <f t="shared" si="57"/>
        <v>0</v>
      </c>
      <c r="Q164" s="20">
        <f t="shared" si="58"/>
        <v>0</v>
      </c>
      <c r="R164" s="20">
        <f t="shared" si="59"/>
        <v>0</v>
      </c>
      <c r="S164" s="20">
        <f t="shared" si="60"/>
        <v>0</v>
      </c>
      <c r="T164" s="20">
        <f t="shared" si="61"/>
        <v>0</v>
      </c>
      <c r="U164" s="20">
        <f t="shared" si="62"/>
        <v>0</v>
      </c>
      <c r="V164" s="20">
        <f t="shared" si="63"/>
        <v>0</v>
      </c>
      <c r="W164" s="20">
        <f t="shared" si="64"/>
        <v>0</v>
      </c>
      <c r="X164" s="20"/>
      <c r="Y164" s="20"/>
      <c r="Z164" s="20"/>
      <c r="AA164" s="20"/>
      <c r="AB164" s="20"/>
    </row>
    <row r="165" spans="1:28">
      <c r="A165" s="32"/>
      <c r="B165" s="35" t="s">
        <v>66</v>
      </c>
      <c r="C165" s="34"/>
      <c r="D165" s="33"/>
      <c r="E165" s="33"/>
      <c r="F165" s="28"/>
      <c r="G165" s="27">
        <v>1897.45</v>
      </c>
      <c r="H165" s="26" t="s">
        <v>65</v>
      </c>
      <c r="I165" s="24"/>
      <c r="J165" s="36"/>
      <c r="K165" s="25"/>
      <c r="L165" s="21"/>
      <c r="M165" s="23"/>
      <c r="N165" s="23"/>
      <c r="O165" s="22"/>
      <c r="P165" s="20">
        <f t="shared" si="57"/>
        <v>0</v>
      </c>
      <c r="Q165" s="20">
        <f t="shared" si="58"/>
        <v>0</v>
      </c>
      <c r="R165" s="20">
        <f t="shared" si="59"/>
        <v>0</v>
      </c>
      <c r="S165" s="20">
        <f t="shared" si="60"/>
        <v>0</v>
      </c>
      <c r="T165" s="20">
        <f t="shared" si="61"/>
        <v>0</v>
      </c>
      <c r="U165" s="20">
        <f t="shared" si="62"/>
        <v>0</v>
      </c>
      <c r="V165" s="20">
        <f t="shared" si="63"/>
        <v>0</v>
      </c>
      <c r="W165" s="20">
        <f t="shared" si="64"/>
        <v>0</v>
      </c>
      <c r="X165" s="20"/>
      <c r="Y165" s="20"/>
      <c r="Z165" s="20"/>
      <c r="AA165" s="20"/>
      <c r="AB165" s="20"/>
    </row>
    <row r="166" spans="1:28">
      <c r="A166" s="32"/>
      <c r="B166" s="35"/>
      <c r="C166" s="34"/>
      <c r="D166" s="33"/>
      <c r="E166" s="33"/>
      <c r="F166" s="28"/>
      <c r="G166" s="27"/>
      <c r="H166" s="26"/>
      <c r="I166" s="24"/>
      <c r="J166" s="36"/>
      <c r="K166" s="25"/>
      <c r="L166" s="21"/>
      <c r="M166" s="23"/>
      <c r="N166" s="23"/>
      <c r="O166" s="22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</row>
    <row r="167" spans="1:28">
      <c r="A167" s="32"/>
      <c r="B167" s="35"/>
      <c r="C167" s="34"/>
      <c r="D167" s="33"/>
      <c r="E167" s="33"/>
      <c r="F167" s="28"/>
      <c r="G167" s="27"/>
      <c r="H167" s="26"/>
      <c r="I167" s="24"/>
      <c r="J167" s="36"/>
      <c r="K167" s="25"/>
      <c r="L167" s="21"/>
      <c r="M167" s="23"/>
      <c r="N167" s="23"/>
      <c r="O167" s="22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</row>
    <row r="168" spans="1:28">
      <c r="A168" s="32"/>
      <c r="B168" s="35"/>
      <c r="C168" s="34"/>
      <c r="D168" s="33"/>
      <c r="E168" s="33"/>
      <c r="F168" s="28"/>
      <c r="G168" s="27"/>
      <c r="H168" s="26"/>
      <c r="I168" s="24"/>
      <c r="J168" s="36"/>
      <c r="K168" s="25"/>
      <c r="L168" s="21"/>
      <c r="M168" s="23"/>
      <c r="N168" s="23"/>
      <c r="O168" s="22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</row>
    <row r="169" spans="1:28">
      <c r="A169" s="32"/>
      <c r="B169" s="35"/>
      <c r="C169" s="34"/>
      <c r="D169" s="33"/>
      <c r="E169" s="33"/>
      <c r="F169" s="28"/>
      <c r="G169" s="27"/>
      <c r="H169" s="26"/>
      <c r="I169" s="24"/>
      <c r="J169" s="36"/>
      <c r="K169" s="25"/>
      <c r="L169" s="21"/>
      <c r="M169" s="23"/>
      <c r="N169" s="23"/>
      <c r="O169" s="22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</row>
    <row r="170" spans="1:28">
      <c r="A170" s="32"/>
      <c r="B170" s="35"/>
      <c r="C170" s="34"/>
      <c r="D170" s="33"/>
      <c r="E170" s="33"/>
      <c r="F170" s="28"/>
      <c r="G170" s="27"/>
      <c r="H170" s="26"/>
      <c r="I170" s="24"/>
      <c r="J170" s="36"/>
      <c r="K170" s="25"/>
      <c r="L170" s="21"/>
      <c r="M170" s="23"/>
      <c r="N170" s="23"/>
      <c r="O170" s="22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</row>
    <row r="171" spans="1:28">
      <c r="A171" s="32"/>
      <c r="B171" s="35"/>
      <c r="C171" s="34"/>
      <c r="D171" s="33"/>
      <c r="E171" s="33"/>
      <c r="F171" s="28"/>
      <c r="G171" s="27"/>
      <c r="H171" s="26"/>
      <c r="I171" s="24"/>
      <c r="J171" s="36"/>
      <c r="K171" s="25"/>
      <c r="L171" s="21"/>
      <c r="M171" s="23"/>
      <c r="N171" s="23"/>
      <c r="O171" s="22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</row>
    <row r="172" spans="1:28">
      <c r="A172" s="32"/>
      <c r="B172" s="35"/>
      <c r="C172" s="34"/>
      <c r="D172" s="33"/>
      <c r="E172" s="33"/>
      <c r="F172" s="28"/>
      <c r="G172" s="27"/>
      <c r="H172" s="26"/>
      <c r="I172" s="24"/>
      <c r="J172" s="36"/>
      <c r="K172" s="25"/>
      <c r="L172" s="21"/>
      <c r="M172" s="23"/>
      <c r="N172" s="23"/>
      <c r="O172" s="22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</row>
    <row r="173" spans="1:28">
      <c r="A173" s="32"/>
      <c r="B173" s="35"/>
      <c r="C173" s="34"/>
      <c r="D173" s="33"/>
      <c r="E173" s="33"/>
      <c r="F173" s="28"/>
      <c r="G173" s="27"/>
      <c r="H173" s="26"/>
      <c r="I173" s="24"/>
      <c r="J173" s="36"/>
      <c r="K173" s="25"/>
      <c r="L173" s="21"/>
      <c r="M173" s="23"/>
      <c r="N173" s="23"/>
      <c r="O173" s="22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</row>
    <row r="174" spans="1:28">
      <c r="A174" s="32"/>
      <c r="B174" s="1642" t="s">
        <v>64</v>
      </c>
      <c r="C174" s="1643"/>
      <c r="D174" s="1643"/>
      <c r="E174" s="1643"/>
      <c r="F174" s="1644"/>
      <c r="G174" s="27"/>
      <c r="H174" s="26"/>
      <c r="I174" s="24"/>
      <c r="J174" s="36"/>
      <c r="K174" s="25"/>
      <c r="L174" s="21"/>
      <c r="M174" s="23"/>
      <c r="N174" s="23"/>
      <c r="O174" s="22"/>
      <c r="P174" s="20">
        <f>SUM(I174:O174)</f>
        <v>0</v>
      </c>
      <c r="Q174" s="20">
        <f t="shared" si="58"/>
        <v>0</v>
      </c>
      <c r="R174" s="20">
        <f>D174*G174*0.05</f>
        <v>0</v>
      </c>
      <c r="S174" s="20">
        <f>D174*E174*G174</f>
        <v>0</v>
      </c>
      <c r="T174" s="20">
        <f>(D174+E174+E174)*G174</f>
        <v>0</v>
      </c>
      <c r="U174" s="20">
        <f t="shared" si="62"/>
        <v>0</v>
      </c>
      <c r="V174" s="20">
        <f t="shared" si="63"/>
        <v>0</v>
      </c>
      <c r="W174" s="20">
        <f>+D174*G174*0.1</f>
        <v>0</v>
      </c>
      <c r="X174" s="20"/>
      <c r="Y174" s="20"/>
      <c r="Z174" s="20"/>
      <c r="AA174" s="20"/>
      <c r="AB174" s="20"/>
    </row>
    <row r="175" spans="1:28">
      <c r="A175" s="32"/>
      <c r="B175" s="31" t="s">
        <v>274</v>
      </c>
      <c r="C175" s="30"/>
      <c r="D175" s="29">
        <v>1.35</v>
      </c>
      <c r="E175" s="29">
        <f>4.75*4</f>
        <v>19</v>
      </c>
      <c r="F175" s="28">
        <v>0.3</v>
      </c>
      <c r="G175" s="27">
        <v>3</v>
      </c>
      <c r="H175" s="26" t="s">
        <v>63</v>
      </c>
      <c r="I175" s="24">
        <f>(D175*E175/0.25)+(E175*D175/0.25)*I86</f>
        <v>125.37720000000002</v>
      </c>
      <c r="J175" s="36">
        <f>(D175*E175/0.25)*J86</f>
        <v>51.197400000000002</v>
      </c>
      <c r="K175" s="25"/>
      <c r="L175" s="21">
        <f>(E175*D175/0.25)*L86</f>
        <v>91.108800000000002</v>
      </c>
      <c r="M175" s="23"/>
      <c r="N175" s="23"/>
      <c r="O175" s="22"/>
      <c r="P175" s="20">
        <f>SUM(I175:O175)</f>
        <v>267.68340000000001</v>
      </c>
      <c r="Q175" s="20">
        <f t="shared" si="58"/>
        <v>8.0305020000000003</v>
      </c>
      <c r="R175" s="20"/>
      <c r="S175" s="20">
        <f>(D175*E175*F175)*G175</f>
        <v>23.085000000000001</v>
      </c>
      <c r="T175" s="20">
        <f>(D175+E175+E175)*G175</f>
        <v>118.05000000000001</v>
      </c>
      <c r="U175" s="20">
        <f>(T175*0.03)*10.764</f>
        <v>38.120705999999998</v>
      </c>
      <c r="V175" s="20">
        <f t="shared" si="63"/>
        <v>39.042676499999999</v>
      </c>
      <c r="W175" s="20"/>
      <c r="X175" s="20"/>
      <c r="Y175" s="20"/>
      <c r="Z175" s="20"/>
      <c r="AA175" s="20"/>
      <c r="AB175" s="20"/>
    </row>
    <row r="176" spans="1:28">
      <c r="A176" s="32"/>
      <c r="B176" s="31" t="s">
        <v>275</v>
      </c>
      <c r="C176" s="30"/>
      <c r="D176" s="29">
        <v>1.75</v>
      </c>
      <c r="E176" s="29">
        <f>4.75*4</f>
        <v>19</v>
      </c>
      <c r="F176" s="28">
        <v>0.3</v>
      </c>
      <c r="G176" s="27">
        <v>3</v>
      </c>
      <c r="H176" s="26" t="s">
        <v>63</v>
      </c>
      <c r="I176" s="24">
        <f>(D176*E176/0.25)+(E176*D176/0.25)*I86</f>
        <v>162.52600000000001</v>
      </c>
      <c r="J176" s="36">
        <f>(D176*E176/0.25)*J86</f>
        <v>66.367000000000004</v>
      </c>
      <c r="K176" s="25"/>
      <c r="L176" s="21">
        <f>(E176*D176/0.25)*L86</f>
        <v>118.104</v>
      </c>
      <c r="M176" s="23"/>
      <c r="N176" s="23"/>
      <c r="O176" s="22"/>
      <c r="P176" s="20">
        <f>SUM(I176:O176)</f>
        <v>346.99700000000001</v>
      </c>
      <c r="Q176" s="20">
        <f t="shared" ref="Q176:Q184" si="65">(P176*0.03)</f>
        <v>10.40991</v>
      </c>
      <c r="R176" s="20"/>
      <c r="S176" s="20">
        <f>(D176*E176*F176)*G176</f>
        <v>29.924999999999997</v>
      </c>
      <c r="T176" s="20">
        <f>(D176+E176+E176)*G176</f>
        <v>119.25</v>
      </c>
      <c r="U176" s="20">
        <f t="shared" ref="U176:U184" si="66">(T176*0.03)*10.764</f>
        <v>38.508209999999991</v>
      </c>
      <c r="V176" s="20">
        <f t="shared" ref="V176:V184" si="67">(T176+U176)*0.25</f>
        <v>39.439552499999998</v>
      </c>
      <c r="W176" s="20"/>
      <c r="X176" s="20"/>
      <c r="Y176" s="20"/>
      <c r="Z176" s="20"/>
      <c r="AA176" s="20"/>
      <c r="AB176" s="20"/>
    </row>
    <row r="177" spans="1:28">
      <c r="A177" s="32"/>
      <c r="B177" s="31" t="s">
        <v>276</v>
      </c>
      <c r="C177" s="30"/>
      <c r="D177" s="29">
        <v>1.2</v>
      </c>
      <c r="E177" s="29">
        <f>3.45*4</f>
        <v>13.8</v>
      </c>
      <c r="F177" s="28">
        <v>0.3</v>
      </c>
      <c r="G177" s="27">
        <v>2</v>
      </c>
      <c r="H177" s="26" t="s">
        <v>63</v>
      </c>
      <c r="I177" s="24">
        <f>(D177*E177/0.25)+(E177*D177/0.25)*I86</f>
        <v>80.945279999999997</v>
      </c>
      <c r="J177" s="36">
        <f>(D177*E177/0.25)*J86</f>
        <v>33.053759999999997</v>
      </c>
      <c r="K177" s="25"/>
      <c r="L177" s="21">
        <f>(E177*D177/0.25)*L86</f>
        <v>58.821119999999993</v>
      </c>
      <c r="M177" s="23"/>
      <c r="N177" s="23"/>
      <c r="O177" s="22"/>
      <c r="P177" s="20">
        <f>SUM(I177:O177)</f>
        <v>172.82015999999999</v>
      </c>
      <c r="Q177" s="20">
        <f t="shared" si="65"/>
        <v>5.1846047999999998</v>
      </c>
      <c r="R177" s="20"/>
      <c r="S177" s="20">
        <f>(D177*E177*F177)*G177</f>
        <v>9.9359999999999982</v>
      </c>
      <c r="T177" s="20">
        <f>(D177+E177+E177)*G177</f>
        <v>57.6</v>
      </c>
      <c r="U177" s="20">
        <f t="shared" si="66"/>
        <v>18.600192</v>
      </c>
      <c r="V177" s="20">
        <f t="shared" si="67"/>
        <v>19.050048</v>
      </c>
      <c r="W177" s="20"/>
      <c r="X177" s="20"/>
      <c r="Y177" s="20"/>
      <c r="Z177" s="20"/>
      <c r="AA177" s="20"/>
      <c r="AB177" s="20"/>
    </row>
    <row r="178" spans="1:28">
      <c r="A178" s="32"/>
      <c r="B178" s="31" t="s">
        <v>277</v>
      </c>
      <c r="C178" s="30"/>
      <c r="D178" s="29">
        <v>1.2</v>
      </c>
      <c r="E178" s="29">
        <f>3.45*4</f>
        <v>13.8</v>
      </c>
      <c r="F178" s="28">
        <v>0.3</v>
      </c>
      <c r="G178" s="27">
        <v>2</v>
      </c>
      <c r="H178" s="26" t="s">
        <v>63</v>
      </c>
      <c r="I178" s="24">
        <f>(D178*E178/0.25)+(E178*D178/0.25)*I86</f>
        <v>80.945279999999997</v>
      </c>
      <c r="J178" s="36">
        <f>(D178*E178/0.25)*J86</f>
        <v>33.053759999999997</v>
      </c>
      <c r="K178" s="25"/>
      <c r="L178" s="21">
        <f>(E178*D178/0.25)*L86</f>
        <v>58.821119999999993</v>
      </c>
      <c r="M178" s="23"/>
      <c r="N178" s="23"/>
      <c r="O178" s="22"/>
      <c r="P178" s="20">
        <f>SUM(I178:O178)</f>
        <v>172.82015999999999</v>
      </c>
      <c r="Q178" s="20">
        <f t="shared" si="65"/>
        <v>5.1846047999999998</v>
      </c>
      <c r="R178" s="20"/>
      <c r="S178" s="20">
        <f>(D178*E178*F178)*G178</f>
        <v>9.9359999999999982</v>
      </c>
      <c r="T178" s="20">
        <f>(D178+E178+E178)*G178</f>
        <v>57.6</v>
      </c>
      <c r="U178" s="20">
        <f t="shared" si="66"/>
        <v>18.600192</v>
      </c>
      <c r="V178" s="20">
        <f t="shared" si="67"/>
        <v>19.050048</v>
      </c>
      <c r="W178" s="20"/>
      <c r="X178" s="20"/>
      <c r="Y178" s="20"/>
      <c r="Z178" s="20"/>
      <c r="AA178" s="20"/>
      <c r="AB178" s="20"/>
    </row>
    <row r="179" spans="1:28">
      <c r="A179" s="32"/>
      <c r="B179" s="31" t="s">
        <v>293</v>
      </c>
      <c r="C179" s="30"/>
      <c r="D179" s="29"/>
      <c r="E179" s="29"/>
      <c r="F179" s="28"/>
      <c r="G179" s="27"/>
      <c r="H179" s="26"/>
      <c r="I179" s="24"/>
      <c r="J179" s="36"/>
      <c r="K179" s="25"/>
      <c r="L179" s="21"/>
      <c r="M179" s="23"/>
      <c r="N179" s="23"/>
      <c r="O179" s="22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</row>
    <row r="180" spans="1:28">
      <c r="A180" s="32"/>
      <c r="B180" s="31"/>
      <c r="C180" s="30"/>
      <c r="D180" s="29"/>
      <c r="E180" s="29"/>
      <c r="F180" s="28"/>
      <c r="G180" s="27"/>
      <c r="H180" s="26"/>
      <c r="I180" s="24"/>
      <c r="J180" s="36"/>
      <c r="K180" s="25"/>
      <c r="L180" s="21"/>
      <c r="M180" s="23"/>
      <c r="N180" s="23"/>
      <c r="O180" s="22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</row>
    <row r="181" spans="1:28">
      <c r="A181" s="32"/>
      <c r="B181" s="31"/>
      <c r="C181" s="30"/>
      <c r="D181" s="29"/>
      <c r="E181" s="29"/>
      <c r="F181" s="28"/>
      <c r="G181" s="27"/>
      <c r="H181" s="26"/>
      <c r="I181" s="24"/>
      <c r="J181" s="36"/>
      <c r="K181" s="25"/>
      <c r="L181" s="21"/>
      <c r="M181" s="23"/>
      <c r="N181" s="23"/>
      <c r="O181" s="22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</row>
    <row r="182" spans="1:28">
      <c r="A182" s="32"/>
      <c r="B182" s="31" t="s">
        <v>288</v>
      </c>
      <c r="C182" s="30"/>
      <c r="D182" s="29"/>
      <c r="E182" s="29"/>
      <c r="F182" s="28"/>
      <c r="G182" s="27"/>
      <c r="H182" s="26"/>
      <c r="I182" s="24"/>
      <c r="J182" s="36"/>
      <c r="K182" s="25"/>
      <c r="L182" s="21"/>
      <c r="M182" s="23"/>
      <c r="N182" s="23"/>
      <c r="O182" s="22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</row>
    <row r="183" spans="1:28">
      <c r="A183" s="32"/>
      <c r="B183" s="31" t="s">
        <v>286</v>
      </c>
      <c r="C183" s="30"/>
      <c r="D183" s="29">
        <v>2.2999999999999998</v>
      </c>
      <c r="E183" s="29">
        <v>2.2999999999999998</v>
      </c>
      <c r="F183" s="28">
        <v>0.2</v>
      </c>
      <c r="G183" s="27">
        <v>24</v>
      </c>
      <c r="H183" s="26" t="s">
        <v>73</v>
      </c>
      <c r="I183" s="24"/>
      <c r="J183" s="36">
        <f>(((0.15*4)*6)*G183/0.25)*J8</f>
        <v>172.45439999999999</v>
      </c>
      <c r="K183" s="25"/>
      <c r="L183" s="21">
        <f>((((D183+E183+0.58+0.58)*2)*G183/0.2)+(((D183+E183+0.58+0.58)/0.2)*G183)*2)+((2.6*4)*2)*L8</f>
        <v>2783.2704000000003</v>
      </c>
      <c r="M183" s="23">
        <f>((4*G183)*6)*M8</f>
        <v>908.928</v>
      </c>
      <c r="N183" s="23"/>
      <c r="O183" s="22">
        <f>((0.7+2.6+0.7)*25+(0.7+2.6+0.7)*35)*O8</f>
        <v>924.72</v>
      </c>
      <c r="P183" s="20">
        <f>SUM(I183:O183)</f>
        <v>4789.3728000000001</v>
      </c>
      <c r="Q183" s="20">
        <f t="shared" si="65"/>
        <v>143.681184</v>
      </c>
      <c r="R183" s="20">
        <f>D183*G183*0.1</f>
        <v>5.52</v>
      </c>
      <c r="S183" s="20">
        <f>((D183*E183*F183)*G183)+(D183*E183*0.7)</f>
        <v>29.094999999999995</v>
      </c>
      <c r="T183" s="20">
        <f>(D183+E183+E183)*G183*2</f>
        <v>331.2</v>
      </c>
      <c r="U183" s="20">
        <f t="shared" si="66"/>
        <v>106.95110399999999</v>
      </c>
      <c r="V183" s="20">
        <f t="shared" si="67"/>
        <v>109.53777599999999</v>
      </c>
      <c r="W183" s="20">
        <f>+D183*G183*0.1</f>
        <v>5.52</v>
      </c>
      <c r="X183" s="20"/>
      <c r="Y183" s="20"/>
      <c r="Z183" s="20"/>
      <c r="AA183" s="20"/>
      <c r="AB183" s="20"/>
    </row>
    <row r="184" spans="1:28">
      <c r="A184" s="32"/>
      <c r="B184" s="31" t="s">
        <v>287</v>
      </c>
      <c r="C184" s="30"/>
      <c r="D184" s="29">
        <v>4.2</v>
      </c>
      <c r="E184" s="29">
        <v>4.4000000000000004</v>
      </c>
      <c r="F184" s="28">
        <v>0.2</v>
      </c>
      <c r="G184" s="27">
        <v>12</v>
      </c>
      <c r="H184" s="26" t="s">
        <v>73</v>
      </c>
      <c r="I184" s="24"/>
      <c r="J184" s="36">
        <f>(((0.15*4)*6)*G184/0.25)*J8</f>
        <v>86.227199999999996</v>
      </c>
      <c r="K184" s="25"/>
      <c r="L184" s="21">
        <f>((((D184+E184+0.58+0.58)*2)*G184/0.2)+(((D184+E184+0.58+0.58)/0.2)*G184)*2)+((2.6*4)*2)*L8</f>
        <v>2360.8704000000002</v>
      </c>
      <c r="M184" s="23">
        <f>((4*G184)*6)*M8</f>
        <v>454.464</v>
      </c>
      <c r="N184" s="23"/>
      <c r="O184" s="22">
        <f>((0.7+4.5+0.7)*40+(0.7+4.7+0.7)*40)*O8</f>
        <v>1849.44</v>
      </c>
      <c r="P184" s="20">
        <f>SUM(I184:O184)</f>
        <v>4751.0015999999996</v>
      </c>
      <c r="Q184" s="20">
        <f t="shared" si="65"/>
        <v>142.53004799999999</v>
      </c>
      <c r="R184" s="20">
        <f>D184*G184*0.1</f>
        <v>5.0400000000000009</v>
      </c>
      <c r="S184" s="20">
        <f>((D184*E184*F184)*G184)+(D184*E184*0.7)</f>
        <v>57.288000000000011</v>
      </c>
      <c r="T184" s="20">
        <f>(D184+E184+E184)*G184*2</f>
        <v>312.00000000000006</v>
      </c>
      <c r="U184" s="20">
        <f t="shared" si="66"/>
        <v>100.75104</v>
      </c>
      <c r="V184" s="20">
        <f t="shared" si="67"/>
        <v>103.18776000000001</v>
      </c>
      <c r="W184" s="20">
        <f>+D184*G184*0.1</f>
        <v>5.0400000000000009</v>
      </c>
      <c r="X184" s="20"/>
      <c r="Y184" s="20"/>
      <c r="Z184" s="20"/>
      <c r="AA184" s="20"/>
      <c r="AB184" s="20"/>
    </row>
    <row r="185" spans="1:28">
      <c r="A185" s="283"/>
      <c r="B185" s="284"/>
      <c r="C185" s="30"/>
      <c r="D185" s="29"/>
      <c r="E185" s="29"/>
      <c r="F185" s="28"/>
      <c r="G185" s="285"/>
      <c r="H185" s="286"/>
      <c r="I185" s="287"/>
      <c r="J185" s="36"/>
      <c r="K185" s="25"/>
      <c r="L185" s="21"/>
      <c r="M185" s="23"/>
      <c r="N185" s="23"/>
      <c r="O185" s="22"/>
      <c r="P185" s="288"/>
      <c r="Q185" s="288"/>
      <c r="R185" s="288"/>
      <c r="S185" s="288"/>
      <c r="T185" s="288"/>
      <c r="U185" s="288"/>
      <c r="V185" s="288"/>
      <c r="W185" s="288"/>
      <c r="X185" s="288"/>
      <c r="Y185" s="288"/>
      <c r="Z185" s="288"/>
      <c r="AA185" s="288"/>
      <c r="AB185" s="288"/>
    </row>
    <row r="186" spans="1:28">
      <c r="A186" s="283"/>
      <c r="B186" s="284"/>
      <c r="C186" s="30"/>
      <c r="D186" s="29"/>
      <c r="E186" s="29"/>
      <c r="F186" s="28"/>
      <c r="G186" s="285"/>
      <c r="H186" s="286"/>
      <c r="I186" s="287"/>
      <c r="J186" s="36"/>
      <c r="K186" s="25"/>
      <c r="L186" s="21"/>
      <c r="M186" s="23"/>
      <c r="N186" s="23"/>
      <c r="O186" s="22"/>
      <c r="P186" s="288"/>
      <c r="Q186" s="288"/>
      <c r="R186" s="288"/>
      <c r="S186" s="288"/>
      <c r="T186" s="288"/>
      <c r="U186" s="288"/>
      <c r="V186" s="288"/>
      <c r="W186" s="288"/>
      <c r="X186" s="288"/>
      <c r="Y186" s="288"/>
      <c r="Z186" s="288"/>
      <c r="AA186" s="288"/>
      <c r="AB186" s="288"/>
    </row>
    <row r="187" spans="1:28">
      <c r="A187" s="32"/>
      <c r="B187" s="31"/>
      <c r="C187" s="30"/>
      <c r="D187" s="29"/>
      <c r="E187" s="29"/>
      <c r="F187" s="28"/>
      <c r="G187" s="27"/>
      <c r="H187" s="26"/>
      <c r="I187" s="24"/>
      <c r="J187" s="36"/>
      <c r="K187" s="25"/>
      <c r="L187" s="21"/>
      <c r="M187" s="23"/>
      <c r="N187" s="23"/>
      <c r="O187" s="22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</row>
    <row r="188" spans="1:28">
      <c r="A188" s="32"/>
      <c r="B188" s="31"/>
      <c r="C188" s="30"/>
      <c r="D188" s="29"/>
      <c r="E188" s="29"/>
      <c r="F188" s="28"/>
      <c r="G188" s="27"/>
      <c r="H188" s="26"/>
      <c r="I188" s="24"/>
      <c r="J188" s="36"/>
      <c r="K188" s="297"/>
      <c r="L188" s="21"/>
      <c r="M188" s="23"/>
      <c r="N188" s="23"/>
      <c r="O188" s="22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</row>
    <row r="189" spans="1:28">
      <c r="A189" s="19"/>
      <c r="B189" s="18" t="s">
        <v>62</v>
      </c>
      <c r="C189" s="18"/>
      <c r="D189" s="17"/>
      <c r="E189" s="17"/>
      <c r="F189" s="17"/>
      <c r="G189" s="16"/>
      <c r="H189" s="16"/>
      <c r="I189" s="14">
        <f t="shared" ref="I189:AB189" si="68">SUM(I89:I188)</f>
        <v>1319.8181903448274</v>
      </c>
      <c r="J189" s="15">
        <f t="shared" si="68"/>
        <v>25188.627682947357</v>
      </c>
      <c r="K189" s="15">
        <f t="shared" si="68"/>
        <v>745.26479999999992</v>
      </c>
      <c r="L189" s="15">
        <f t="shared" si="68"/>
        <v>20461.122560000003</v>
      </c>
      <c r="M189" s="15">
        <f t="shared" si="68"/>
        <v>6041.8464000000004</v>
      </c>
      <c r="N189" s="15">
        <f t="shared" si="68"/>
        <v>61197.830759999997</v>
      </c>
      <c r="O189" s="15">
        <f t="shared" si="68"/>
        <v>74244.981157466667</v>
      </c>
      <c r="P189" s="14" t="e">
        <f t="shared" si="68"/>
        <v>#REF!</v>
      </c>
      <c r="Q189" s="14" t="e">
        <f t="shared" si="68"/>
        <v>#REF!</v>
      </c>
      <c r="R189" s="14">
        <f t="shared" si="68"/>
        <v>64.133750000000006</v>
      </c>
      <c r="S189" s="14" t="e">
        <f t="shared" si="68"/>
        <v>#REF!</v>
      </c>
      <c r="T189" s="14" t="e">
        <f t="shared" si="68"/>
        <v>#REF!</v>
      </c>
      <c r="U189" s="14" t="e">
        <f t="shared" si="68"/>
        <v>#REF!</v>
      </c>
      <c r="V189" s="14" t="e">
        <f t="shared" si="68"/>
        <v>#REF!</v>
      </c>
      <c r="W189" s="14">
        <f t="shared" si="68"/>
        <v>64.133750000000006</v>
      </c>
      <c r="X189" s="14">
        <f t="shared" si="68"/>
        <v>2060.9499999999998</v>
      </c>
      <c r="Y189" s="14">
        <f t="shared" si="68"/>
        <v>0</v>
      </c>
      <c r="Z189" s="14">
        <f t="shared" si="68"/>
        <v>242</v>
      </c>
      <c r="AA189" s="14">
        <f t="shared" si="68"/>
        <v>0</v>
      </c>
      <c r="AB189" s="13" t="e">
        <f t="shared" si="68"/>
        <v>#REF!</v>
      </c>
    </row>
    <row r="192" spans="1:28" ht="30.75">
      <c r="A192" s="60"/>
      <c r="B192" s="59"/>
      <c r="C192" s="59"/>
      <c r="D192" s="59"/>
      <c r="E192" s="59"/>
      <c r="F192" s="59"/>
      <c r="G192" s="59"/>
      <c r="H192" s="59"/>
      <c r="I192" s="58"/>
      <c r="J192" s="57"/>
      <c r="K192" s="57"/>
      <c r="L192" s="56"/>
      <c r="M192" s="54"/>
      <c r="N192" s="55"/>
      <c r="O192" s="55"/>
      <c r="P192" s="54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</row>
    <row r="193" spans="1:28">
      <c r="A193" s="182" t="s">
        <v>178</v>
      </c>
      <c r="B193" s="183" t="s">
        <v>177</v>
      </c>
      <c r="C193" s="184"/>
      <c r="D193" s="185"/>
      <c r="E193" s="185"/>
      <c r="F193" s="186"/>
      <c r="G193" s="187" t="s">
        <v>176</v>
      </c>
      <c r="H193" s="187"/>
      <c r="I193" s="188" t="s">
        <v>175</v>
      </c>
      <c r="J193" s="281"/>
      <c r="K193" s="293"/>
      <c r="L193" s="1654" t="s">
        <v>174</v>
      </c>
      <c r="M193" s="1654"/>
      <c r="N193" s="1654"/>
      <c r="O193" s="1655"/>
      <c r="P193" s="189" t="s">
        <v>173</v>
      </c>
      <c r="Q193" s="190" t="s">
        <v>172</v>
      </c>
      <c r="R193" s="1656" t="s">
        <v>171</v>
      </c>
      <c r="S193" s="1657"/>
      <c r="T193" s="1658" t="s">
        <v>170</v>
      </c>
      <c r="U193" s="1659"/>
      <c r="V193" s="190" t="s">
        <v>169</v>
      </c>
      <c r="W193" s="189" t="s">
        <v>168</v>
      </c>
      <c r="X193" s="191" t="s">
        <v>167</v>
      </c>
      <c r="Y193" s="191"/>
      <c r="Z193" s="192" t="s">
        <v>166</v>
      </c>
      <c r="AA193" s="189" t="s">
        <v>165</v>
      </c>
      <c r="AB193" s="192" t="s">
        <v>164</v>
      </c>
    </row>
    <row r="194" spans="1:28">
      <c r="A194" s="193"/>
      <c r="B194" s="194"/>
      <c r="C194" s="195"/>
      <c r="D194" s="195"/>
      <c r="E194" s="195"/>
      <c r="F194" s="196"/>
      <c r="G194" s="193" t="s">
        <v>163</v>
      </c>
      <c r="H194" s="193" t="s">
        <v>162</v>
      </c>
      <c r="I194" s="197"/>
      <c r="J194" s="198"/>
      <c r="K194" s="294"/>
      <c r="L194" s="197"/>
      <c r="M194" s="199"/>
      <c r="N194" s="199"/>
      <c r="O194" s="200"/>
      <c r="P194" s="201" t="s">
        <v>161</v>
      </c>
      <c r="Q194" s="202" t="s">
        <v>160</v>
      </c>
      <c r="R194" s="203" t="s">
        <v>159</v>
      </c>
      <c r="S194" s="203" t="s">
        <v>158</v>
      </c>
      <c r="T194" s="1648" t="s">
        <v>157</v>
      </c>
      <c r="U194" s="1649"/>
      <c r="V194" s="204"/>
      <c r="W194" s="201"/>
      <c r="X194" s="201" t="s">
        <v>156</v>
      </c>
      <c r="Y194" s="201" t="s">
        <v>155</v>
      </c>
      <c r="Z194" s="205" t="s">
        <v>154</v>
      </c>
      <c r="AA194" s="206" t="s">
        <v>153</v>
      </c>
      <c r="AB194" s="207"/>
    </row>
    <row r="195" spans="1:28">
      <c r="A195" s="193"/>
      <c r="B195" s="1650" t="s">
        <v>271</v>
      </c>
      <c r="C195" s="1651"/>
      <c r="D195" s="195"/>
      <c r="E195" s="195"/>
      <c r="F195" s="196"/>
      <c r="G195" s="193"/>
      <c r="H195" s="193"/>
      <c r="I195" s="208" t="s">
        <v>152</v>
      </c>
      <c r="J195" s="209" t="s">
        <v>151</v>
      </c>
      <c r="K195" s="210" t="s">
        <v>321</v>
      </c>
      <c r="L195" s="208" t="s">
        <v>150</v>
      </c>
      <c r="M195" s="210" t="s">
        <v>149</v>
      </c>
      <c r="N195" s="209" t="s">
        <v>148</v>
      </c>
      <c r="O195" s="211" t="s">
        <v>147</v>
      </c>
      <c r="P195" s="201"/>
      <c r="Q195" s="202"/>
      <c r="R195" s="212" t="s">
        <v>146</v>
      </c>
      <c r="S195" s="213" t="s">
        <v>145</v>
      </c>
      <c r="T195" s="214"/>
      <c r="U195" s="215"/>
      <c r="V195" s="204"/>
      <c r="W195" s="201"/>
      <c r="X195" s="201"/>
      <c r="Y195" s="201"/>
      <c r="Z195" s="206" t="s">
        <v>144</v>
      </c>
      <c r="AA195" s="207"/>
      <c r="AB195" s="207"/>
    </row>
    <row r="196" spans="1:28">
      <c r="A196" s="193"/>
      <c r="B196" s="194"/>
      <c r="C196" s="195"/>
      <c r="D196" s="195"/>
      <c r="E196" s="195"/>
      <c r="F196" s="196"/>
      <c r="G196" s="193"/>
      <c r="H196" s="193"/>
      <c r="I196" s="208" t="s">
        <v>143</v>
      </c>
      <c r="J196" s="209" t="s">
        <v>142</v>
      </c>
      <c r="K196" s="210" t="s">
        <v>322</v>
      </c>
      <c r="L196" s="208" t="s">
        <v>141</v>
      </c>
      <c r="M196" s="210" t="s">
        <v>140</v>
      </c>
      <c r="N196" s="209" t="s">
        <v>139</v>
      </c>
      <c r="O196" s="211" t="s">
        <v>138</v>
      </c>
      <c r="P196" s="201"/>
      <c r="Q196" s="201"/>
      <c r="R196" s="203"/>
      <c r="S196" s="203" t="s">
        <v>137</v>
      </c>
      <c r="T196" s="214"/>
      <c r="U196" s="215"/>
      <c r="V196" s="201"/>
      <c r="W196" s="201"/>
      <c r="X196" s="201"/>
      <c r="Y196" s="201"/>
      <c r="Z196" s="205"/>
      <c r="AA196" s="205"/>
      <c r="AB196" s="207"/>
    </row>
    <row r="197" spans="1:28">
      <c r="A197" s="193"/>
      <c r="B197" s="194"/>
      <c r="C197" s="195"/>
      <c r="D197" s="195" t="s">
        <v>136</v>
      </c>
      <c r="E197" s="195" t="s">
        <v>135</v>
      </c>
      <c r="F197" s="196" t="s">
        <v>134</v>
      </c>
      <c r="G197" s="193"/>
      <c r="H197" s="193"/>
      <c r="I197" s="216">
        <v>0.222</v>
      </c>
      <c r="J197" s="217">
        <v>0.499</v>
      </c>
      <c r="K197" s="218">
        <v>2.226</v>
      </c>
      <c r="L197" s="216">
        <v>0.88800000000000001</v>
      </c>
      <c r="M197" s="218">
        <v>1.5780000000000001</v>
      </c>
      <c r="N197" s="217">
        <v>2.4660000000000002</v>
      </c>
      <c r="O197" s="219">
        <v>3.8530000000000002</v>
      </c>
      <c r="P197" s="201"/>
      <c r="Q197" s="201"/>
      <c r="R197" s="203"/>
      <c r="S197" s="203"/>
      <c r="T197" s="220"/>
      <c r="U197" s="215"/>
      <c r="V197" s="201"/>
      <c r="W197" s="201"/>
      <c r="X197" s="201"/>
      <c r="Y197" s="201"/>
      <c r="Z197" s="207"/>
      <c r="AA197" s="207"/>
      <c r="AB197" s="207"/>
    </row>
    <row r="198" spans="1:28">
      <c r="A198" s="221"/>
      <c r="B198" s="222"/>
      <c r="C198" s="223"/>
      <c r="D198" s="223" t="s">
        <v>133</v>
      </c>
      <c r="E198" s="223" t="s">
        <v>133</v>
      </c>
      <c r="F198" s="224" t="s">
        <v>133</v>
      </c>
      <c r="G198" s="221"/>
      <c r="H198" s="221"/>
      <c r="I198" s="225" t="s">
        <v>131</v>
      </c>
      <c r="J198" s="226" t="s">
        <v>131</v>
      </c>
      <c r="K198" s="227" t="s">
        <v>131</v>
      </c>
      <c r="L198" s="225" t="s">
        <v>131</v>
      </c>
      <c r="M198" s="227" t="s">
        <v>131</v>
      </c>
      <c r="N198" s="226" t="s">
        <v>131</v>
      </c>
      <c r="O198" s="228" t="s">
        <v>131</v>
      </c>
      <c r="P198" s="229" t="s">
        <v>131</v>
      </c>
      <c r="Q198" s="229" t="s">
        <v>129</v>
      </c>
      <c r="R198" s="230" t="s">
        <v>130</v>
      </c>
      <c r="S198" s="230" t="s">
        <v>130</v>
      </c>
      <c r="T198" s="299" t="s">
        <v>128</v>
      </c>
      <c r="U198" s="299" t="s">
        <v>132</v>
      </c>
      <c r="V198" s="229" t="s">
        <v>131</v>
      </c>
      <c r="W198" s="230" t="s">
        <v>130</v>
      </c>
      <c r="X198" s="230" t="s">
        <v>130</v>
      </c>
      <c r="Y198" s="230" t="s">
        <v>130</v>
      </c>
      <c r="Z198" s="229" t="s">
        <v>129</v>
      </c>
      <c r="AA198" s="229" t="s">
        <v>128</v>
      </c>
      <c r="AB198" s="229" t="s">
        <v>128</v>
      </c>
    </row>
    <row r="199" spans="1:28">
      <c r="A199" s="51"/>
      <c r="B199" s="1652" t="s">
        <v>296</v>
      </c>
      <c r="C199" s="1653"/>
      <c r="D199" s="1653"/>
      <c r="E199" s="1653"/>
      <c r="F199" s="50"/>
      <c r="G199" s="49"/>
      <c r="H199" s="49"/>
      <c r="I199" s="47"/>
      <c r="J199" s="295"/>
      <c r="K199" s="296"/>
      <c r="L199" s="45"/>
      <c r="M199" s="45"/>
      <c r="N199" s="45"/>
      <c r="O199" s="46"/>
      <c r="P199" s="43"/>
      <c r="Q199" s="43"/>
      <c r="R199" s="44"/>
      <c r="S199" s="44"/>
      <c r="T199" s="43"/>
      <c r="U199" s="43"/>
      <c r="V199" s="43"/>
      <c r="W199" s="44"/>
      <c r="X199" s="44"/>
      <c r="Y199" s="44"/>
      <c r="Z199" s="43"/>
      <c r="AA199" s="43"/>
      <c r="AB199" s="43"/>
    </row>
    <row r="200" spans="1:28">
      <c r="A200" s="37"/>
      <c r="B200" s="40" t="s">
        <v>127</v>
      </c>
      <c r="C200" s="39"/>
      <c r="D200" s="29">
        <v>1.25</v>
      </c>
      <c r="E200" s="29">
        <v>1.25</v>
      </c>
      <c r="F200" s="28">
        <v>0.4</v>
      </c>
      <c r="G200" s="26">
        <v>165</v>
      </c>
      <c r="H200" s="26" t="s">
        <v>115</v>
      </c>
      <c r="I200" s="21"/>
      <c r="J200" s="36"/>
      <c r="K200" s="25"/>
      <c r="L200" s="21">
        <f>((F200+D200+F200)*8+(F200+E200+F200)*8)*G200*L197+((D200*2+E200*2)*2*G200)*L197</f>
        <v>6271.0559999999987</v>
      </c>
      <c r="M200" s="21"/>
      <c r="N200" s="38"/>
      <c r="O200" s="22"/>
      <c r="P200" s="20">
        <f t="shared" ref="P200:P209" si="69">SUM(I200:O200)</f>
        <v>6271.0559999999987</v>
      </c>
      <c r="Q200" s="20">
        <f>(P200*0.03)</f>
        <v>188.13167999999996</v>
      </c>
      <c r="R200" s="20">
        <f t="shared" ref="R200:R209" si="70">D200*E200*0.05*G200</f>
        <v>12.890625</v>
      </c>
      <c r="S200" s="20">
        <f t="shared" ref="S200:S209" si="71">D200*E200*F200*G200</f>
        <v>103.125</v>
      </c>
      <c r="T200" s="20">
        <f t="shared" ref="T200:T209" si="72">((D200*F200)*2+(E200*F200)*2)*G200</f>
        <v>330</v>
      </c>
      <c r="U200" s="20">
        <f>T200*30%</f>
        <v>99</v>
      </c>
      <c r="V200" s="20">
        <f>(T200+U200)*0.25</f>
        <v>107.25</v>
      </c>
      <c r="W200" s="20">
        <f t="shared" ref="W200:W209" si="73">(D200*E200*0.05)*G200</f>
        <v>12.890625</v>
      </c>
      <c r="X200" s="20">
        <f t="shared" ref="X200:X209" si="74">((D200*E200)*2)*G200</f>
        <v>515.625</v>
      </c>
      <c r="Y200" s="20">
        <v>0</v>
      </c>
      <c r="Z200" s="20">
        <f t="shared" ref="Z200:Z209" si="75">G200*1</f>
        <v>165</v>
      </c>
      <c r="AA200" s="20">
        <v>0</v>
      </c>
      <c r="AB200" s="20">
        <v>0</v>
      </c>
    </row>
    <row r="201" spans="1:28">
      <c r="A201" s="37"/>
      <c r="B201" s="40" t="s">
        <v>298</v>
      </c>
      <c r="C201" s="39"/>
      <c r="D201" s="29">
        <v>1</v>
      </c>
      <c r="E201" s="29">
        <v>3</v>
      </c>
      <c r="F201" s="28">
        <v>0.6</v>
      </c>
      <c r="G201" s="26">
        <v>2</v>
      </c>
      <c r="H201" s="26" t="s">
        <v>115</v>
      </c>
      <c r="I201" s="21"/>
      <c r="J201" s="36"/>
      <c r="K201" s="25"/>
      <c r="L201" s="21">
        <f>((D201*2+E201*2)*2*G201)*L197</f>
        <v>28.416</v>
      </c>
      <c r="M201" s="21"/>
      <c r="N201" s="38">
        <f>((D201+E201+F201)*5+(D201+E201+F201)*11)*N197+((F201*2+G201*2)*N197)</f>
        <v>194.32080000000002</v>
      </c>
      <c r="O201" s="22"/>
      <c r="P201" s="20">
        <f t="shared" si="69"/>
        <v>222.73680000000002</v>
      </c>
      <c r="Q201" s="20">
        <f t="shared" ref="Q201:Q209" si="76">(P201*0.03)</f>
        <v>6.6821039999999998</v>
      </c>
      <c r="R201" s="20">
        <f t="shared" si="70"/>
        <v>0.30000000000000004</v>
      </c>
      <c r="S201" s="20">
        <f t="shared" si="71"/>
        <v>3.5999999999999996</v>
      </c>
      <c r="T201" s="20">
        <f t="shared" si="72"/>
        <v>9.6</v>
      </c>
      <c r="U201" s="20">
        <f t="shared" ref="U201:U209" si="77">T201*30%</f>
        <v>2.88</v>
      </c>
      <c r="V201" s="20">
        <f>(T201+U201)*0.25</f>
        <v>3.12</v>
      </c>
      <c r="W201" s="20">
        <f t="shared" si="73"/>
        <v>0.30000000000000004</v>
      </c>
      <c r="X201" s="20">
        <f t="shared" si="74"/>
        <v>12</v>
      </c>
      <c r="Y201" s="20"/>
      <c r="Z201" s="20">
        <f t="shared" si="75"/>
        <v>2</v>
      </c>
      <c r="AA201" s="20">
        <v>0</v>
      </c>
      <c r="AB201" s="20">
        <v>0</v>
      </c>
    </row>
    <row r="202" spans="1:28">
      <c r="A202" s="37"/>
      <c r="B202" s="40" t="s">
        <v>299</v>
      </c>
      <c r="C202" s="39"/>
      <c r="D202" s="29">
        <v>1.7</v>
      </c>
      <c r="E202" s="29">
        <v>1.7</v>
      </c>
      <c r="F202" s="28">
        <v>0.45</v>
      </c>
      <c r="G202" s="26">
        <v>12</v>
      </c>
      <c r="H202" s="26" t="s">
        <v>115</v>
      </c>
      <c r="I202" s="21"/>
      <c r="J202" s="36"/>
      <c r="K202" s="25"/>
      <c r="L202" s="21">
        <f>((D202*2+E202*2)*2*G202)*L197</f>
        <v>144.92159999999998</v>
      </c>
      <c r="M202" s="41">
        <f>((F202+E202+F202)*8+(F202+D202+F202)*8)*G202*$M$8</f>
        <v>787.73760000000016</v>
      </c>
      <c r="N202" s="23"/>
      <c r="O202" s="22"/>
      <c r="P202" s="20">
        <f t="shared" si="69"/>
        <v>932.65920000000017</v>
      </c>
      <c r="Q202" s="20">
        <f t="shared" si="76"/>
        <v>27.979776000000005</v>
      </c>
      <c r="R202" s="20">
        <f t="shared" si="70"/>
        <v>1.734</v>
      </c>
      <c r="S202" s="20">
        <f t="shared" si="71"/>
        <v>15.606</v>
      </c>
      <c r="T202" s="20">
        <f t="shared" si="72"/>
        <v>36.72</v>
      </c>
      <c r="U202" s="20">
        <f t="shared" si="77"/>
        <v>11.016</v>
      </c>
      <c r="V202" s="20">
        <f t="shared" ref="V202:V209" si="78">(T202+U202)*0.25</f>
        <v>11.933999999999999</v>
      </c>
      <c r="W202" s="20">
        <f t="shared" si="73"/>
        <v>1.734</v>
      </c>
      <c r="X202" s="20">
        <f t="shared" si="74"/>
        <v>69.359999999999985</v>
      </c>
      <c r="Y202" s="20"/>
      <c r="Z202" s="20">
        <f t="shared" si="75"/>
        <v>12</v>
      </c>
      <c r="AA202" s="20">
        <v>0</v>
      </c>
      <c r="AB202" s="20">
        <v>0</v>
      </c>
    </row>
    <row r="203" spans="1:28">
      <c r="A203" s="37"/>
      <c r="B203" s="40" t="s">
        <v>126</v>
      </c>
      <c r="C203" s="39"/>
      <c r="D203" s="29">
        <v>1.9</v>
      </c>
      <c r="E203" s="29">
        <v>1.9</v>
      </c>
      <c r="F203" s="28">
        <v>0.5</v>
      </c>
      <c r="G203" s="26">
        <v>22</v>
      </c>
      <c r="H203" s="26" t="s">
        <v>115</v>
      </c>
      <c r="I203" s="21"/>
      <c r="J203" s="36"/>
      <c r="K203" s="25"/>
      <c r="L203" s="21">
        <f>((D203*2+E203*2)*2*G203)*L197</f>
        <v>296.94720000000001</v>
      </c>
      <c r="M203" s="41">
        <f>((F203+E203+F203)*10+(F203+D203+F203)*10)*G203*M197</f>
        <v>2013.528</v>
      </c>
      <c r="N203" s="23"/>
      <c r="O203" s="22"/>
      <c r="P203" s="20">
        <f t="shared" si="69"/>
        <v>2310.4751999999999</v>
      </c>
      <c r="Q203" s="20">
        <f t="shared" si="76"/>
        <v>69.314255999999986</v>
      </c>
      <c r="R203" s="20">
        <f t="shared" si="70"/>
        <v>3.9710000000000001</v>
      </c>
      <c r="S203" s="20">
        <f t="shared" si="71"/>
        <v>39.71</v>
      </c>
      <c r="T203" s="20">
        <f t="shared" si="72"/>
        <v>83.6</v>
      </c>
      <c r="U203" s="20">
        <f t="shared" si="77"/>
        <v>25.08</v>
      </c>
      <c r="V203" s="20">
        <f t="shared" si="78"/>
        <v>27.169999999999998</v>
      </c>
      <c r="W203" s="20">
        <f t="shared" si="73"/>
        <v>3.9710000000000001</v>
      </c>
      <c r="X203" s="20">
        <f t="shared" si="74"/>
        <v>158.84</v>
      </c>
      <c r="Y203" s="20"/>
      <c r="Z203" s="20">
        <f t="shared" si="75"/>
        <v>22</v>
      </c>
      <c r="AA203" s="20">
        <v>0</v>
      </c>
      <c r="AB203" s="20">
        <v>0</v>
      </c>
    </row>
    <row r="204" spans="1:28">
      <c r="A204" s="37"/>
      <c r="B204" s="40" t="s">
        <v>125</v>
      </c>
      <c r="C204" s="39"/>
      <c r="D204" s="29">
        <v>2.5</v>
      </c>
      <c r="E204" s="29">
        <v>2.5</v>
      </c>
      <c r="F204" s="28">
        <v>0.6</v>
      </c>
      <c r="G204" s="26">
        <v>40</v>
      </c>
      <c r="H204" s="26" t="s">
        <v>115</v>
      </c>
      <c r="I204" s="21"/>
      <c r="J204" s="36"/>
      <c r="K204" s="25"/>
      <c r="L204" s="21">
        <f>((D204*2+E204*2)*2*G204)*L197</f>
        <v>710.4</v>
      </c>
      <c r="M204" s="21"/>
      <c r="N204" s="21">
        <f>((D204+E204+F204)*13+(D204+E204+F204)*13)*G204*N197</f>
        <v>14361.984</v>
      </c>
      <c r="O204" s="22"/>
      <c r="P204" s="20">
        <f t="shared" si="69"/>
        <v>15072.384</v>
      </c>
      <c r="Q204" s="20">
        <f t="shared" si="76"/>
        <v>452.17151999999999</v>
      </c>
      <c r="R204" s="20">
        <f t="shared" si="70"/>
        <v>12.5</v>
      </c>
      <c r="S204" s="20">
        <f t="shared" si="71"/>
        <v>150</v>
      </c>
      <c r="T204" s="20">
        <f t="shared" si="72"/>
        <v>240</v>
      </c>
      <c r="U204" s="20">
        <f t="shared" si="77"/>
        <v>72</v>
      </c>
      <c r="V204" s="20">
        <f t="shared" si="78"/>
        <v>78</v>
      </c>
      <c r="W204" s="20">
        <f t="shared" si="73"/>
        <v>12.5</v>
      </c>
      <c r="X204" s="20">
        <f t="shared" si="74"/>
        <v>500</v>
      </c>
      <c r="Y204" s="20"/>
      <c r="Z204" s="20">
        <f t="shared" si="75"/>
        <v>40</v>
      </c>
      <c r="AA204" s="20">
        <v>0</v>
      </c>
      <c r="AB204" s="20">
        <v>0</v>
      </c>
    </row>
    <row r="205" spans="1:28">
      <c r="A205" s="37"/>
      <c r="B205" s="40" t="s">
        <v>300</v>
      </c>
      <c r="C205" s="39"/>
      <c r="D205" s="29">
        <v>2</v>
      </c>
      <c r="E205" s="29">
        <v>3</v>
      </c>
      <c r="F205" s="28">
        <v>0.6</v>
      </c>
      <c r="G205" s="26">
        <v>2</v>
      </c>
      <c r="H205" s="26" t="s">
        <v>115</v>
      </c>
      <c r="I205" s="21"/>
      <c r="J205" s="36"/>
      <c r="K205" s="25"/>
      <c r="L205" s="21">
        <f>((D205*2+E205*2)*2*G205)*L197</f>
        <v>35.520000000000003</v>
      </c>
      <c r="M205" s="21"/>
      <c r="N205" s="21">
        <f>(D205+E205+F205)*13*G205*N197</f>
        <v>359.0496</v>
      </c>
      <c r="O205" s="21">
        <f>(D205+E205+F205)*13*G205*O197</f>
        <v>560.99680000000001</v>
      </c>
      <c r="P205" s="20">
        <f t="shared" si="69"/>
        <v>955.56639999999993</v>
      </c>
      <c r="Q205" s="20">
        <f t="shared" si="76"/>
        <v>28.666991999999997</v>
      </c>
      <c r="R205" s="20">
        <f t="shared" si="70"/>
        <v>0.60000000000000009</v>
      </c>
      <c r="S205" s="20">
        <f t="shared" si="71"/>
        <v>7.1999999999999993</v>
      </c>
      <c r="T205" s="20">
        <f t="shared" si="72"/>
        <v>12</v>
      </c>
      <c r="U205" s="20">
        <f t="shared" si="77"/>
        <v>3.5999999999999996</v>
      </c>
      <c r="V205" s="20">
        <f t="shared" si="78"/>
        <v>3.9</v>
      </c>
      <c r="W205" s="20">
        <f t="shared" si="73"/>
        <v>0.60000000000000009</v>
      </c>
      <c r="X205" s="20">
        <f t="shared" si="74"/>
        <v>24</v>
      </c>
      <c r="Y205" s="20"/>
      <c r="Z205" s="20">
        <f t="shared" si="75"/>
        <v>2</v>
      </c>
      <c r="AA205" s="20">
        <v>0</v>
      </c>
      <c r="AB205" s="20">
        <v>0</v>
      </c>
    </row>
    <row r="206" spans="1:28">
      <c r="A206" s="37"/>
      <c r="B206" s="40" t="s">
        <v>124</v>
      </c>
      <c r="C206" s="39"/>
      <c r="D206" s="29">
        <v>2.8</v>
      </c>
      <c r="E206" s="29">
        <v>2.8</v>
      </c>
      <c r="F206" s="28">
        <v>0.8</v>
      </c>
      <c r="G206" s="26">
        <v>53</v>
      </c>
      <c r="H206" s="26" t="s">
        <v>115</v>
      </c>
      <c r="I206" s="21"/>
      <c r="J206" s="36"/>
      <c r="K206" s="25"/>
      <c r="L206" s="21">
        <f>((D206*2+E206*2)*2*G206)*L197</f>
        <v>1054.2335999999998</v>
      </c>
      <c r="M206" s="21"/>
      <c r="N206" s="21">
        <f>((D206+E206+F206)*14+(D206+E206+F206)*14)*G206*N197</f>
        <v>23421.081599999998</v>
      </c>
      <c r="O206" s="22"/>
      <c r="P206" s="20">
        <f t="shared" si="69"/>
        <v>24475.315199999997</v>
      </c>
      <c r="Q206" s="20">
        <f t="shared" si="76"/>
        <v>734.25945599999989</v>
      </c>
      <c r="R206" s="20">
        <f t="shared" si="70"/>
        <v>20.775999999999996</v>
      </c>
      <c r="S206" s="20">
        <f t="shared" si="71"/>
        <v>332.41599999999994</v>
      </c>
      <c r="T206" s="20">
        <f t="shared" si="72"/>
        <v>474.87999999999994</v>
      </c>
      <c r="U206" s="20">
        <f t="shared" si="77"/>
        <v>142.46399999999997</v>
      </c>
      <c r="V206" s="20">
        <f t="shared" si="78"/>
        <v>154.33599999999998</v>
      </c>
      <c r="W206" s="20">
        <f t="shared" si="73"/>
        <v>20.775999999999996</v>
      </c>
      <c r="X206" s="20">
        <f t="shared" si="74"/>
        <v>831.03999999999985</v>
      </c>
      <c r="Y206" s="20"/>
      <c r="Z206" s="20">
        <f t="shared" si="75"/>
        <v>53</v>
      </c>
      <c r="AA206" s="20">
        <v>0</v>
      </c>
      <c r="AB206" s="20">
        <v>0</v>
      </c>
    </row>
    <row r="207" spans="1:28">
      <c r="A207" s="37"/>
      <c r="B207" s="40" t="s">
        <v>123</v>
      </c>
      <c r="C207" s="39"/>
      <c r="D207" s="29">
        <v>3.8</v>
      </c>
      <c r="E207" s="29">
        <v>2.5</v>
      </c>
      <c r="F207" s="28">
        <v>0.7</v>
      </c>
      <c r="G207" s="26">
        <v>2</v>
      </c>
      <c r="H207" s="26" t="s">
        <v>115</v>
      </c>
      <c r="I207" s="21"/>
      <c r="J207" s="36"/>
      <c r="K207" s="25"/>
      <c r="L207" s="21">
        <f>((D207*2+E207*2)*2*G207)*L197</f>
        <v>44.755200000000002</v>
      </c>
      <c r="M207" s="21"/>
      <c r="N207" s="21">
        <f>((D207+E207+F207)*14+(D207+E207+F207)*16)*G207*N197</f>
        <v>1035.72</v>
      </c>
      <c r="O207" s="22"/>
      <c r="P207" s="20">
        <f t="shared" si="69"/>
        <v>1080.4752000000001</v>
      </c>
      <c r="Q207" s="20">
        <f t="shared" si="76"/>
        <v>32.414256000000002</v>
      </c>
      <c r="R207" s="20">
        <f t="shared" si="70"/>
        <v>0.95000000000000007</v>
      </c>
      <c r="S207" s="20">
        <f t="shared" si="71"/>
        <v>13.299999999999999</v>
      </c>
      <c r="T207" s="20">
        <f t="shared" si="72"/>
        <v>17.64</v>
      </c>
      <c r="U207" s="20">
        <f t="shared" si="77"/>
        <v>5.2919999999999998</v>
      </c>
      <c r="V207" s="20">
        <f t="shared" si="78"/>
        <v>5.7330000000000005</v>
      </c>
      <c r="W207" s="20">
        <f t="shared" si="73"/>
        <v>0.95000000000000007</v>
      </c>
      <c r="X207" s="20">
        <f t="shared" si="74"/>
        <v>38</v>
      </c>
      <c r="Y207" s="20"/>
      <c r="Z207" s="20">
        <f t="shared" si="75"/>
        <v>2</v>
      </c>
      <c r="AA207" s="20">
        <v>0</v>
      </c>
      <c r="AB207" s="20">
        <v>0</v>
      </c>
    </row>
    <row r="208" spans="1:28">
      <c r="A208" s="37"/>
      <c r="B208" s="40" t="s">
        <v>301</v>
      </c>
      <c r="C208" s="39"/>
      <c r="D208" s="29">
        <v>3.2</v>
      </c>
      <c r="E208" s="29">
        <v>3.8</v>
      </c>
      <c r="F208" s="28">
        <v>0.7</v>
      </c>
      <c r="G208" s="26">
        <v>1</v>
      </c>
      <c r="H208" s="26" t="s">
        <v>115</v>
      </c>
      <c r="I208" s="21"/>
      <c r="J208" s="36"/>
      <c r="K208" s="25"/>
      <c r="L208" s="21">
        <f>((D208*2+E208*2)*2*G208)*L197</f>
        <v>24.864000000000001</v>
      </c>
      <c r="M208" s="21"/>
      <c r="N208" s="23"/>
      <c r="O208" s="21">
        <f>((D208+E208+F208)*25+(D208+E208+F208)*35)*G208*O197</f>
        <v>1780.086</v>
      </c>
      <c r="P208" s="20">
        <f t="shared" si="69"/>
        <v>1804.95</v>
      </c>
      <c r="Q208" s="20">
        <f t="shared" si="76"/>
        <v>54.148499999999999</v>
      </c>
      <c r="R208" s="20">
        <f t="shared" si="70"/>
        <v>0.6080000000000001</v>
      </c>
      <c r="S208" s="20">
        <f t="shared" si="71"/>
        <v>8.5119999999999987</v>
      </c>
      <c r="T208" s="20">
        <f t="shared" si="72"/>
        <v>9.7999999999999989</v>
      </c>
      <c r="U208" s="20">
        <f t="shared" si="77"/>
        <v>2.9399999999999995</v>
      </c>
      <c r="V208" s="20">
        <f t="shared" si="78"/>
        <v>3.1849999999999996</v>
      </c>
      <c r="W208" s="20">
        <f t="shared" si="73"/>
        <v>0.6080000000000001</v>
      </c>
      <c r="X208" s="20">
        <f t="shared" si="74"/>
        <v>24.32</v>
      </c>
      <c r="Y208" s="20"/>
      <c r="Z208" s="20">
        <f t="shared" si="75"/>
        <v>1</v>
      </c>
      <c r="AA208" s="20">
        <v>0</v>
      </c>
      <c r="AB208" s="20">
        <v>0</v>
      </c>
    </row>
    <row r="209" spans="1:28">
      <c r="A209" s="37"/>
      <c r="B209" s="40" t="s">
        <v>302</v>
      </c>
      <c r="C209" s="39"/>
      <c r="D209" s="29">
        <v>3.3</v>
      </c>
      <c r="E209" s="29">
        <v>4.75</v>
      </c>
      <c r="F209" s="28">
        <v>0.7</v>
      </c>
      <c r="G209" s="26">
        <v>1</v>
      </c>
      <c r="H209" s="26" t="s">
        <v>115</v>
      </c>
      <c r="I209" s="21"/>
      <c r="J209" s="36"/>
      <c r="K209" s="25"/>
      <c r="L209" s="21">
        <f>((D209*2+E209*2)*2*G209)*L197</f>
        <v>28.593600000000002</v>
      </c>
      <c r="M209" s="21"/>
      <c r="N209" s="23"/>
      <c r="O209" s="21">
        <f>((D209+E209+F209)*40+(D209+E209+F209)*40)*G209*O197</f>
        <v>2697.1000000000004</v>
      </c>
      <c r="P209" s="20">
        <f t="shared" si="69"/>
        <v>2725.6936000000005</v>
      </c>
      <c r="Q209" s="20">
        <f t="shared" si="76"/>
        <v>81.770808000000017</v>
      </c>
      <c r="R209" s="20">
        <f t="shared" si="70"/>
        <v>0.78374999999999995</v>
      </c>
      <c r="S209" s="20">
        <f t="shared" si="71"/>
        <v>10.972499999999998</v>
      </c>
      <c r="T209" s="20">
        <f t="shared" si="72"/>
        <v>11.27</v>
      </c>
      <c r="U209" s="20">
        <f t="shared" si="77"/>
        <v>3.3809999999999998</v>
      </c>
      <c r="V209" s="20">
        <f t="shared" si="78"/>
        <v>3.66275</v>
      </c>
      <c r="W209" s="20">
        <f t="shared" si="73"/>
        <v>0.78374999999999995</v>
      </c>
      <c r="X209" s="20">
        <f t="shared" si="74"/>
        <v>31.349999999999998</v>
      </c>
      <c r="Y209" s="20"/>
      <c r="Z209" s="20">
        <f t="shared" si="75"/>
        <v>1</v>
      </c>
      <c r="AA209" s="20">
        <v>0</v>
      </c>
      <c r="AB209" s="20">
        <v>0</v>
      </c>
    </row>
    <row r="210" spans="1:28">
      <c r="A210" s="37"/>
      <c r="B210" s="40" t="s">
        <v>266</v>
      </c>
      <c r="C210" s="39"/>
      <c r="D210" s="29"/>
      <c r="E210" s="29"/>
      <c r="F210" s="28"/>
      <c r="G210" s="26"/>
      <c r="H210" s="26"/>
      <c r="I210" s="21"/>
      <c r="J210" s="36"/>
      <c r="K210" s="25"/>
      <c r="L210" s="21"/>
      <c r="M210" s="21"/>
      <c r="N210" s="23"/>
      <c r="O210" s="131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</row>
    <row r="211" spans="1:28">
      <c r="A211" s="37"/>
      <c r="B211" s="31" t="s">
        <v>303</v>
      </c>
      <c r="C211" s="30"/>
      <c r="D211" s="29">
        <v>0.4</v>
      </c>
      <c r="E211" s="29">
        <v>0.8</v>
      </c>
      <c r="F211" s="28"/>
      <c r="G211" s="27">
        <v>482.45</v>
      </c>
      <c r="H211" s="26" t="s">
        <v>73</v>
      </c>
      <c r="I211" s="23"/>
      <c r="J211" s="36">
        <f>((D211+E211+D211+E211)*G211/0.1)*2*J197</f>
        <v>11555.642400000001</v>
      </c>
      <c r="K211" s="25"/>
      <c r="L211" s="21">
        <f>(G211*2)*L197</f>
        <v>856.83119999999997</v>
      </c>
      <c r="M211" s="23"/>
      <c r="N211" s="23"/>
      <c r="O211" s="23">
        <f>(G211*12+1)*O197</f>
        <v>22310.411199999999</v>
      </c>
      <c r="P211" s="20">
        <f t="shared" ref="P211:P226" si="79">SUM(I211:O211)</f>
        <v>34722.8848</v>
      </c>
      <c r="Q211" s="20">
        <f t="shared" ref="Q211:Q230" si="80">(P211*0.03)</f>
        <v>1041.6865439999999</v>
      </c>
      <c r="R211" s="20"/>
      <c r="S211" s="20">
        <f t="shared" ref="S211:S226" si="81">D211*E211*G211</f>
        <v>154.38400000000001</v>
      </c>
      <c r="T211" s="20">
        <f t="shared" ref="T211:T217" si="82">(D211+E211+E211)*G211</f>
        <v>964.9</v>
      </c>
      <c r="U211" s="20">
        <f t="shared" ref="U211:U226" si="83">T211*30%</f>
        <v>289.46999999999997</v>
      </c>
      <c r="V211" s="20">
        <f t="shared" ref="V211:V230" si="84">(T211+U211)*0.25</f>
        <v>313.59249999999997</v>
      </c>
      <c r="W211" s="20"/>
      <c r="X211" s="20">
        <v>0</v>
      </c>
      <c r="Y211" s="20">
        <v>0</v>
      </c>
      <c r="Z211" s="20">
        <v>0</v>
      </c>
      <c r="AA211" s="20">
        <v>0</v>
      </c>
      <c r="AB211" s="20">
        <v>0</v>
      </c>
    </row>
    <row r="212" spans="1:28">
      <c r="A212" s="37"/>
      <c r="B212" s="31" t="s">
        <v>304</v>
      </c>
      <c r="C212" s="30"/>
      <c r="D212" s="29">
        <v>0.2</v>
      </c>
      <c r="E212" s="29">
        <v>0.5</v>
      </c>
      <c r="F212" s="28"/>
      <c r="G212" s="27">
        <v>9.5</v>
      </c>
      <c r="H212" s="26" t="s">
        <v>73</v>
      </c>
      <c r="I212" s="23"/>
      <c r="J212" s="36">
        <f>((D212+E212+D212+E212)*G212/0.2)*J197</f>
        <v>33.183499999999995</v>
      </c>
      <c r="K212" s="25"/>
      <c r="L212" s="21"/>
      <c r="M212" s="23"/>
      <c r="N212" s="23">
        <f>(G212*4)*N197</f>
        <v>93.708000000000013</v>
      </c>
      <c r="O212" s="22"/>
      <c r="P212" s="20">
        <f t="shared" si="79"/>
        <v>126.89150000000001</v>
      </c>
      <c r="Q212" s="20">
        <f t="shared" si="80"/>
        <v>3.8067450000000003</v>
      </c>
      <c r="R212" s="20"/>
      <c r="S212" s="20">
        <f t="shared" si="81"/>
        <v>0.95000000000000007</v>
      </c>
      <c r="T212" s="20">
        <f t="shared" si="82"/>
        <v>11.4</v>
      </c>
      <c r="U212" s="20">
        <f t="shared" si="83"/>
        <v>3.42</v>
      </c>
      <c r="V212" s="20">
        <f t="shared" si="84"/>
        <v>3.7050000000000001</v>
      </c>
      <c r="W212" s="20"/>
      <c r="X212" s="20">
        <v>0</v>
      </c>
      <c r="Y212" s="20">
        <v>0</v>
      </c>
      <c r="Z212" s="20">
        <v>0</v>
      </c>
      <c r="AA212" s="20">
        <v>0</v>
      </c>
      <c r="AB212" s="20">
        <v>0</v>
      </c>
    </row>
    <row r="213" spans="1:28">
      <c r="A213" s="37"/>
      <c r="B213" s="31" t="s">
        <v>305</v>
      </c>
      <c r="C213" s="30"/>
      <c r="D213" s="29">
        <v>0.3</v>
      </c>
      <c r="E213" s="29">
        <v>0.6</v>
      </c>
      <c r="F213" s="28"/>
      <c r="G213" s="27">
        <v>18</v>
      </c>
      <c r="H213" s="26" t="s">
        <v>73</v>
      </c>
      <c r="I213" s="23"/>
      <c r="J213" s="36">
        <f>((D213+E213+D213+E213)*G213/0.1)*J197</f>
        <v>161.67599999999996</v>
      </c>
      <c r="K213" s="25"/>
      <c r="L213" s="21"/>
      <c r="M213" s="23"/>
      <c r="N213" s="23"/>
      <c r="O213" s="23">
        <f>(G213*8)*O197</f>
        <v>554.83199999999999</v>
      </c>
      <c r="P213" s="20">
        <f t="shared" si="79"/>
        <v>716.50799999999992</v>
      </c>
      <c r="Q213" s="20">
        <f t="shared" si="80"/>
        <v>21.495239999999995</v>
      </c>
      <c r="R213" s="20"/>
      <c r="S213" s="20">
        <f t="shared" si="81"/>
        <v>3.2399999999999998</v>
      </c>
      <c r="T213" s="20">
        <f t="shared" si="82"/>
        <v>27</v>
      </c>
      <c r="U213" s="20">
        <f t="shared" si="83"/>
        <v>8.1</v>
      </c>
      <c r="V213" s="20">
        <f t="shared" si="84"/>
        <v>8.7750000000000004</v>
      </c>
      <c r="W213" s="20"/>
      <c r="X213" s="20">
        <v>0</v>
      </c>
      <c r="Y213" s="20">
        <v>0</v>
      </c>
      <c r="Z213" s="20">
        <v>0</v>
      </c>
      <c r="AA213" s="20">
        <v>0</v>
      </c>
      <c r="AB213" s="20">
        <v>0</v>
      </c>
    </row>
    <row r="214" spans="1:28">
      <c r="A214" s="37"/>
      <c r="B214" s="31" t="s">
        <v>306</v>
      </c>
      <c r="C214" s="30"/>
      <c r="D214" s="29">
        <v>0.2</v>
      </c>
      <c r="E214" s="29">
        <v>0.5</v>
      </c>
      <c r="F214" s="28"/>
      <c r="G214" s="27">
        <v>46.75</v>
      </c>
      <c r="H214" s="26" t="s">
        <v>73</v>
      </c>
      <c r="I214" s="23"/>
      <c r="J214" s="36">
        <f>((D214+E214+D214+E214)*G214/0.2)*J197</f>
        <v>163.29775000000001</v>
      </c>
      <c r="K214" s="25"/>
      <c r="L214" s="21"/>
      <c r="M214" s="23"/>
      <c r="N214" s="23">
        <f>(G214*6)*N197</f>
        <v>691.71300000000008</v>
      </c>
      <c r="O214" s="22"/>
      <c r="P214" s="20">
        <f t="shared" si="79"/>
        <v>855.01075000000014</v>
      </c>
      <c r="Q214" s="20">
        <f t="shared" si="80"/>
        <v>25.650322500000005</v>
      </c>
      <c r="R214" s="20"/>
      <c r="S214" s="20">
        <f t="shared" si="81"/>
        <v>4.6749999999999998</v>
      </c>
      <c r="T214" s="20">
        <f t="shared" si="82"/>
        <v>56.1</v>
      </c>
      <c r="U214" s="20">
        <f t="shared" si="83"/>
        <v>16.829999999999998</v>
      </c>
      <c r="V214" s="20">
        <f t="shared" si="84"/>
        <v>18.232500000000002</v>
      </c>
      <c r="W214" s="20"/>
      <c r="X214" s="20">
        <v>0</v>
      </c>
      <c r="Y214" s="20">
        <v>0</v>
      </c>
      <c r="Z214" s="20">
        <v>0</v>
      </c>
      <c r="AA214" s="20">
        <v>0</v>
      </c>
      <c r="AB214" s="20">
        <v>0</v>
      </c>
    </row>
    <row r="215" spans="1:28">
      <c r="A215" s="37"/>
      <c r="B215" s="31" t="s">
        <v>307</v>
      </c>
      <c r="C215" s="30"/>
      <c r="D215" s="29">
        <v>0.3</v>
      </c>
      <c r="E215" s="29">
        <v>0.6</v>
      </c>
      <c r="F215" s="28"/>
      <c r="G215" s="27">
        <v>133</v>
      </c>
      <c r="H215" s="26" t="s">
        <v>73</v>
      </c>
      <c r="I215" s="23"/>
      <c r="J215" s="36">
        <f>((D215+E215+D215+E215)*G215/0.2)*J197</f>
        <v>597.30299999999988</v>
      </c>
      <c r="K215" s="25"/>
      <c r="L215" s="21"/>
      <c r="M215" s="23"/>
      <c r="N215" s="23"/>
      <c r="O215" s="22">
        <f>(G215*6)*O197</f>
        <v>3074.694</v>
      </c>
      <c r="P215" s="20">
        <f t="shared" si="79"/>
        <v>3671.9969999999998</v>
      </c>
      <c r="Q215" s="20">
        <f t="shared" si="80"/>
        <v>110.15991</v>
      </c>
      <c r="R215" s="20"/>
      <c r="S215" s="20">
        <f t="shared" si="81"/>
        <v>23.939999999999998</v>
      </c>
      <c r="T215" s="20">
        <f t="shared" si="82"/>
        <v>199.5</v>
      </c>
      <c r="U215" s="20">
        <f t="shared" si="83"/>
        <v>59.849999999999994</v>
      </c>
      <c r="V215" s="20">
        <f t="shared" si="84"/>
        <v>64.837500000000006</v>
      </c>
      <c r="W215" s="20"/>
      <c r="X215" s="20">
        <v>0</v>
      </c>
      <c r="Y215" s="20">
        <v>0</v>
      </c>
      <c r="Z215" s="20">
        <v>0</v>
      </c>
      <c r="AA215" s="20">
        <v>0</v>
      </c>
      <c r="AB215" s="20">
        <v>0</v>
      </c>
    </row>
    <row r="216" spans="1:28">
      <c r="A216" s="37"/>
      <c r="B216" s="31" t="s">
        <v>308</v>
      </c>
      <c r="C216" s="30"/>
      <c r="D216" s="29">
        <v>0.2</v>
      </c>
      <c r="E216" s="29">
        <v>0.4</v>
      </c>
      <c r="F216" s="28"/>
      <c r="G216" s="27">
        <v>19</v>
      </c>
      <c r="H216" s="26" t="s">
        <v>73</v>
      </c>
      <c r="I216" s="23"/>
      <c r="J216" s="36">
        <f>((D216+E216+D216+E216)*G216/0.2)*J197</f>
        <v>56.88600000000001</v>
      </c>
      <c r="K216" s="25"/>
      <c r="L216" s="21"/>
      <c r="M216" s="23">
        <f>(G216*4)*M197</f>
        <v>119.92800000000001</v>
      </c>
      <c r="N216" s="23"/>
      <c r="O216" s="22"/>
      <c r="P216" s="20">
        <f t="shared" si="79"/>
        <v>176.81400000000002</v>
      </c>
      <c r="Q216" s="20">
        <f t="shared" si="80"/>
        <v>5.3044200000000004</v>
      </c>
      <c r="R216" s="20"/>
      <c r="S216" s="20">
        <f t="shared" si="81"/>
        <v>1.5200000000000002</v>
      </c>
      <c r="T216" s="20">
        <f t="shared" si="82"/>
        <v>19</v>
      </c>
      <c r="U216" s="20">
        <f t="shared" si="83"/>
        <v>5.7</v>
      </c>
      <c r="V216" s="20">
        <f t="shared" si="84"/>
        <v>6.1749999999999998</v>
      </c>
      <c r="W216" s="20"/>
      <c r="X216" s="20">
        <v>0</v>
      </c>
      <c r="Y216" s="20">
        <v>0</v>
      </c>
      <c r="Z216" s="20">
        <v>0</v>
      </c>
      <c r="AA216" s="20">
        <v>0</v>
      </c>
      <c r="AB216" s="20">
        <v>0</v>
      </c>
    </row>
    <row r="217" spans="1:28">
      <c r="A217" s="37"/>
      <c r="B217" s="31" t="s">
        <v>309</v>
      </c>
      <c r="C217" s="30"/>
      <c r="D217" s="29">
        <v>0.45</v>
      </c>
      <c r="E217" s="29">
        <v>0.9</v>
      </c>
      <c r="F217" s="28"/>
      <c r="G217" s="27">
        <v>170.35</v>
      </c>
      <c r="H217" s="26" t="s">
        <v>73</v>
      </c>
      <c r="I217" s="23"/>
      <c r="J217" s="36">
        <f>((D217+E217+D217+E217)*G217/0.2)*2*J197</f>
        <v>2295.1255499999997</v>
      </c>
      <c r="K217" s="25"/>
      <c r="L217" s="21">
        <f>(G217*2)*L197</f>
        <v>302.54160000000002</v>
      </c>
      <c r="M217" s="23"/>
      <c r="N217" s="23"/>
      <c r="O217" s="22">
        <f>(G217*10)*O197</f>
        <v>6563.5855000000001</v>
      </c>
      <c r="P217" s="20">
        <f t="shared" si="79"/>
        <v>9161.2526500000004</v>
      </c>
      <c r="Q217" s="20">
        <f t="shared" si="80"/>
        <v>274.8375795</v>
      </c>
      <c r="R217" s="20"/>
      <c r="S217" s="20">
        <f t="shared" si="81"/>
        <v>68.991749999999996</v>
      </c>
      <c r="T217" s="20">
        <f t="shared" si="82"/>
        <v>383.28749999999997</v>
      </c>
      <c r="U217" s="20">
        <f t="shared" si="83"/>
        <v>114.98624999999998</v>
      </c>
      <c r="V217" s="20">
        <f t="shared" si="84"/>
        <v>124.56843749999999</v>
      </c>
      <c r="W217" s="20"/>
      <c r="X217" s="20">
        <v>0</v>
      </c>
      <c r="Y217" s="20">
        <v>0</v>
      </c>
      <c r="Z217" s="20">
        <v>0</v>
      </c>
      <c r="AA217" s="20">
        <v>0</v>
      </c>
      <c r="AB217" s="20">
        <v>0</v>
      </c>
    </row>
    <row r="218" spans="1:28">
      <c r="A218" s="37"/>
      <c r="B218" s="31" t="s">
        <v>310</v>
      </c>
      <c r="C218" s="30"/>
      <c r="D218" s="29">
        <v>0.3</v>
      </c>
      <c r="E218" s="29">
        <v>0.3</v>
      </c>
      <c r="F218" s="28"/>
      <c r="G218" s="27">
        <v>52</v>
      </c>
      <c r="H218" s="26" t="s">
        <v>73</v>
      </c>
      <c r="I218" s="23"/>
      <c r="J218" s="36">
        <f>((D218+E218+D218+E218)*G218/0.19)*J197</f>
        <v>163.88210526315791</v>
      </c>
      <c r="K218" s="25"/>
      <c r="L218" s="21">
        <f>(G218*8)*L197</f>
        <v>369.40800000000002</v>
      </c>
      <c r="M218" s="23"/>
      <c r="N218" s="23"/>
      <c r="O218" s="22"/>
      <c r="P218" s="20">
        <f t="shared" si="79"/>
        <v>533.2901052631579</v>
      </c>
      <c r="Q218" s="20">
        <f t="shared" si="80"/>
        <v>15.998703157894736</v>
      </c>
      <c r="R218" s="20"/>
      <c r="S218" s="20">
        <f t="shared" si="81"/>
        <v>4.68</v>
      </c>
      <c r="T218" s="20">
        <f t="shared" ref="T218:T228" si="85">(D218+E218+E218+D218)*G218</f>
        <v>62.4</v>
      </c>
      <c r="U218" s="20">
        <f t="shared" si="83"/>
        <v>18.72</v>
      </c>
      <c r="V218" s="20">
        <f t="shared" si="84"/>
        <v>20.28</v>
      </c>
      <c r="W218" s="20"/>
      <c r="X218" s="20">
        <v>0</v>
      </c>
      <c r="Y218" s="20">
        <v>0</v>
      </c>
      <c r="Z218" s="20">
        <v>0</v>
      </c>
      <c r="AA218" s="20">
        <v>0</v>
      </c>
      <c r="AB218" s="20">
        <v>0</v>
      </c>
    </row>
    <row r="219" spans="1:28">
      <c r="A219" s="37"/>
      <c r="B219" s="31" t="s">
        <v>311</v>
      </c>
      <c r="C219" s="30"/>
      <c r="D219" s="29">
        <v>0.45</v>
      </c>
      <c r="E219" s="29">
        <v>0.45</v>
      </c>
      <c r="F219" s="28"/>
      <c r="G219" s="27">
        <v>34</v>
      </c>
      <c r="H219" s="26" t="s">
        <v>73</v>
      </c>
      <c r="I219" s="23"/>
      <c r="J219" s="36">
        <f>((D219+E219+D219+E219)*G219/0.19)*J197</f>
        <v>160.73052631578946</v>
      </c>
      <c r="K219" s="25"/>
      <c r="L219" s="21"/>
      <c r="M219" s="23">
        <f>(G219*6)*M197</f>
        <v>321.91200000000003</v>
      </c>
      <c r="N219" s="23"/>
      <c r="O219" s="22"/>
      <c r="P219" s="20">
        <f t="shared" si="79"/>
        <v>482.6425263157895</v>
      </c>
      <c r="Q219" s="20">
        <f t="shared" si="80"/>
        <v>14.479275789473684</v>
      </c>
      <c r="R219" s="20"/>
      <c r="S219" s="20">
        <f t="shared" si="81"/>
        <v>6.8850000000000007</v>
      </c>
      <c r="T219" s="20">
        <f t="shared" si="85"/>
        <v>61.2</v>
      </c>
      <c r="U219" s="20">
        <f t="shared" si="83"/>
        <v>18.36</v>
      </c>
      <c r="V219" s="20">
        <f t="shared" si="84"/>
        <v>19.89</v>
      </c>
      <c r="W219" s="20"/>
      <c r="X219" s="20">
        <v>0</v>
      </c>
      <c r="Y219" s="20">
        <v>0</v>
      </c>
      <c r="Z219" s="20">
        <v>0</v>
      </c>
      <c r="AA219" s="20">
        <v>0</v>
      </c>
      <c r="AB219" s="20">
        <v>0</v>
      </c>
    </row>
    <row r="220" spans="1:28">
      <c r="A220" s="37"/>
      <c r="B220" s="31" t="s">
        <v>99</v>
      </c>
      <c r="C220" s="30"/>
      <c r="D220" s="29">
        <v>0.6</v>
      </c>
      <c r="E220" s="29">
        <v>0.6</v>
      </c>
      <c r="F220" s="28"/>
      <c r="G220" s="27">
        <v>32.4</v>
      </c>
      <c r="H220" s="26" t="s">
        <v>73</v>
      </c>
      <c r="I220" s="23"/>
      <c r="J220" s="36">
        <f>((D220+E220+D220+E220)*G220/0.2)*J197</f>
        <v>194.01119999999997</v>
      </c>
      <c r="K220" s="25"/>
      <c r="L220" s="21"/>
      <c r="M220" s="23">
        <f>(G220*8)*M197</f>
        <v>409.01760000000002</v>
      </c>
      <c r="N220" s="23"/>
      <c r="O220" s="22"/>
      <c r="P220" s="20">
        <f t="shared" si="79"/>
        <v>603.02880000000005</v>
      </c>
      <c r="Q220" s="20">
        <f t="shared" si="80"/>
        <v>18.090864</v>
      </c>
      <c r="R220" s="20"/>
      <c r="S220" s="20">
        <f t="shared" si="81"/>
        <v>11.664</v>
      </c>
      <c r="T220" s="20">
        <f t="shared" si="85"/>
        <v>77.759999999999991</v>
      </c>
      <c r="U220" s="20">
        <f t="shared" si="83"/>
        <v>23.327999999999996</v>
      </c>
      <c r="V220" s="20">
        <f t="shared" si="84"/>
        <v>25.271999999999998</v>
      </c>
      <c r="W220" s="20"/>
      <c r="X220" s="20">
        <v>0</v>
      </c>
      <c r="Y220" s="20">
        <v>0</v>
      </c>
      <c r="Z220" s="20">
        <v>0</v>
      </c>
      <c r="AA220" s="20">
        <v>0</v>
      </c>
      <c r="AB220" s="20">
        <v>0</v>
      </c>
    </row>
    <row r="221" spans="1:28">
      <c r="A221" s="32"/>
      <c r="B221" s="31" t="s">
        <v>98</v>
      </c>
      <c r="C221" s="30"/>
      <c r="D221" s="29">
        <v>0.5</v>
      </c>
      <c r="E221" s="29">
        <v>0.5</v>
      </c>
      <c r="F221" s="28"/>
      <c r="G221" s="27">
        <v>44</v>
      </c>
      <c r="H221" s="26" t="s">
        <v>73</v>
      </c>
      <c r="I221" s="23"/>
      <c r="J221" s="36">
        <f>((D221+E221+D221+E221)*G221/0.3)*J197</f>
        <v>146.37333333333336</v>
      </c>
      <c r="K221" s="25"/>
      <c r="L221" s="21"/>
      <c r="M221" s="23"/>
      <c r="N221" s="23">
        <f>(G221*10)*N197</f>
        <v>1085.0400000000002</v>
      </c>
      <c r="O221" s="22"/>
      <c r="P221" s="20">
        <f t="shared" si="79"/>
        <v>1231.4133333333336</v>
      </c>
      <c r="Q221" s="20">
        <f t="shared" si="80"/>
        <v>36.942400000000006</v>
      </c>
      <c r="R221" s="20"/>
      <c r="S221" s="20">
        <f t="shared" si="81"/>
        <v>11</v>
      </c>
      <c r="T221" s="20">
        <f t="shared" si="85"/>
        <v>88</v>
      </c>
      <c r="U221" s="20">
        <f t="shared" si="83"/>
        <v>26.4</v>
      </c>
      <c r="V221" s="20">
        <f t="shared" si="84"/>
        <v>28.6</v>
      </c>
      <c r="W221" s="20"/>
      <c r="X221" s="20">
        <v>0</v>
      </c>
      <c r="Y221" s="20">
        <v>0</v>
      </c>
      <c r="Z221" s="20">
        <v>0</v>
      </c>
      <c r="AA221" s="20">
        <v>0</v>
      </c>
      <c r="AB221" s="20">
        <v>0</v>
      </c>
    </row>
    <row r="222" spans="1:28">
      <c r="A222" s="32"/>
      <c r="B222" s="31" t="s">
        <v>96</v>
      </c>
      <c r="C222" s="30"/>
      <c r="D222" s="29">
        <v>0.55000000000000004</v>
      </c>
      <c r="E222" s="29">
        <v>0.55000000000000004</v>
      </c>
      <c r="F222" s="28"/>
      <c r="G222" s="27">
        <v>102.6</v>
      </c>
      <c r="H222" s="26" t="s">
        <v>73</v>
      </c>
      <c r="I222" s="23"/>
      <c r="J222" s="36">
        <f>((D222+E222+D222+E222)*G222/0.3)*J197</f>
        <v>375.44759999999997</v>
      </c>
      <c r="K222" s="25"/>
      <c r="L222" s="21"/>
      <c r="M222" s="23"/>
      <c r="N222" s="23">
        <f>(G222*12)*N197</f>
        <v>3036.1391999999996</v>
      </c>
      <c r="O222" s="22"/>
      <c r="P222" s="20">
        <f t="shared" si="79"/>
        <v>3411.5867999999996</v>
      </c>
      <c r="Q222" s="20">
        <f t="shared" si="80"/>
        <v>102.34760399999999</v>
      </c>
      <c r="R222" s="20"/>
      <c r="S222" s="20">
        <f t="shared" si="81"/>
        <v>31.036500000000004</v>
      </c>
      <c r="T222" s="20">
        <f t="shared" si="85"/>
        <v>225.72</v>
      </c>
      <c r="U222" s="20">
        <f t="shared" si="83"/>
        <v>67.715999999999994</v>
      </c>
      <c r="V222" s="20">
        <f t="shared" si="84"/>
        <v>73.358999999999995</v>
      </c>
      <c r="W222" s="20"/>
      <c r="X222" s="20">
        <v>0</v>
      </c>
      <c r="Y222" s="20">
        <v>0</v>
      </c>
      <c r="Z222" s="20">
        <v>0</v>
      </c>
      <c r="AA222" s="20">
        <v>0</v>
      </c>
      <c r="AB222" s="20">
        <v>0</v>
      </c>
    </row>
    <row r="223" spans="1:28">
      <c r="A223" s="32"/>
      <c r="B223" s="31" t="s">
        <v>312</v>
      </c>
      <c r="C223" s="30"/>
      <c r="D223" s="29">
        <v>0.2</v>
      </c>
      <c r="E223" s="29">
        <v>0.5</v>
      </c>
      <c r="F223" s="28"/>
      <c r="G223" s="27">
        <v>14.4</v>
      </c>
      <c r="H223" s="26" t="s">
        <v>73</v>
      </c>
      <c r="I223" s="23"/>
      <c r="J223" s="36">
        <f>((D223+E223+D223+E223)*G223/0.2)*J197</f>
        <v>50.299199999999999</v>
      </c>
      <c r="K223" s="25"/>
      <c r="L223" s="21"/>
      <c r="M223" s="23">
        <f>(G223*8)*M197</f>
        <v>181.78560000000002</v>
      </c>
      <c r="N223" s="23"/>
      <c r="O223" s="22"/>
      <c r="P223" s="20">
        <f t="shared" si="79"/>
        <v>232.08480000000003</v>
      </c>
      <c r="Q223" s="20">
        <f t="shared" si="80"/>
        <v>6.9625440000000003</v>
      </c>
      <c r="R223" s="20"/>
      <c r="S223" s="20">
        <f t="shared" si="81"/>
        <v>1.4400000000000002</v>
      </c>
      <c r="T223" s="20">
        <f t="shared" si="85"/>
        <v>20.16</v>
      </c>
      <c r="U223" s="20">
        <f t="shared" si="83"/>
        <v>6.048</v>
      </c>
      <c r="V223" s="20">
        <f t="shared" si="84"/>
        <v>6.5519999999999996</v>
      </c>
      <c r="W223" s="20"/>
      <c r="X223" s="20">
        <v>0</v>
      </c>
      <c r="Y223" s="20">
        <v>0</v>
      </c>
      <c r="Z223" s="20">
        <v>0</v>
      </c>
      <c r="AA223" s="20">
        <v>0</v>
      </c>
      <c r="AB223" s="20">
        <v>0</v>
      </c>
    </row>
    <row r="224" spans="1:28">
      <c r="A224" s="32"/>
      <c r="B224" s="31" t="s">
        <v>289</v>
      </c>
      <c r="C224" s="30"/>
      <c r="D224" s="29">
        <v>0.25</v>
      </c>
      <c r="E224" s="29">
        <v>0.5</v>
      </c>
      <c r="F224" s="28"/>
      <c r="G224" s="27">
        <f>3*2</f>
        <v>6</v>
      </c>
      <c r="H224" s="26" t="s">
        <v>73</v>
      </c>
      <c r="I224" s="21"/>
      <c r="J224" s="131"/>
      <c r="K224" s="25"/>
      <c r="L224" s="21"/>
      <c r="M224" s="23"/>
      <c r="N224" s="23"/>
      <c r="O224" s="25">
        <f>(6*G224)*O197</f>
        <v>138.708</v>
      </c>
      <c r="P224" s="20">
        <f t="shared" si="79"/>
        <v>138.708</v>
      </c>
      <c r="Q224" s="20">
        <f t="shared" si="80"/>
        <v>4.1612399999999994</v>
      </c>
      <c r="R224" s="20"/>
      <c r="S224" s="20">
        <f t="shared" si="81"/>
        <v>0.75</v>
      </c>
      <c r="T224" s="20">
        <f t="shared" si="85"/>
        <v>9</v>
      </c>
      <c r="U224" s="20">
        <f t="shared" si="83"/>
        <v>2.6999999999999997</v>
      </c>
      <c r="V224" s="20">
        <f t="shared" si="84"/>
        <v>2.9249999999999998</v>
      </c>
      <c r="W224" s="20"/>
      <c r="X224" s="20"/>
      <c r="Y224" s="20"/>
      <c r="Z224" s="20"/>
      <c r="AA224" s="20"/>
      <c r="AB224" s="20"/>
    </row>
    <row r="225" spans="1:28">
      <c r="A225" s="32"/>
      <c r="B225" s="31" t="s">
        <v>290</v>
      </c>
      <c r="C225" s="30"/>
      <c r="D225" s="29">
        <v>0.25</v>
      </c>
      <c r="E225" s="29">
        <v>0.5</v>
      </c>
      <c r="F225" s="28"/>
      <c r="G225" s="27">
        <f>3.8*2</f>
        <v>7.6</v>
      </c>
      <c r="H225" s="26" t="s">
        <v>73</v>
      </c>
      <c r="I225" s="21"/>
      <c r="J225" s="131"/>
      <c r="K225" s="25"/>
      <c r="L225" s="21"/>
      <c r="M225" s="23"/>
      <c r="N225" s="23"/>
      <c r="O225" s="25">
        <f>(6*G225)*O197</f>
        <v>175.6968</v>
      </c>
      <c r="P225" s="20">
        <f t="shared" si="79"/>
        <v>175.6968</v>
      </c>
      <c r="Q225" s="20">
        <f t="shared" si="80"/>
        <v>5.2709039999999998</v>
      </c>
      <c r="R225" s="20"/>
      <c r="S225" s="20">
        <f t="shared" si="81"/>
        <v>0.95</v>
      </c>
      <c r="T225" s="20">
        <f t="shared" si="85"/>
        <v>11.399999999999999</v>
      </c>
      <c r="U225" s="20">
        <f t="shared" si="83"/>
        <v>3.4199999999999995</v>
      </c>
      <c r="V225" s="20">
        <f t="shared" si="84"/>
        <v>3.7049999999999996</v>
      </c>
      <c r="W225" s="20"/>
      <c r="X225" s="20"/>
      <c r="Y225" s="20"/>
      <c r="Z225" s="20"/>
      <c r="AA225" s="20"/>
      <c r="AB225" s="20"/>
    </row>
    <row r="226" spans="1:28">
      <c r="A226" s="32"/>
      <c r="B226" s="31" t="s">
        <v>291</v>
      </c>
      <c r="C226" s="30"/>
      <c r="D226" s="29">
        <v>0.25</v>
      </c>
      <c r="E226" s="29">
        <v>0.5</v>
      </c>
      <c r="F226" s="28"/>
      <c r="G226" s="27">
        <f>2.7*2</f>
        <v>5.4</v>
      </c>
      <c r="H226" s="26" t="s">
        <v>73</v>
      </c>
      <c r="I226" s="21"/>
      <c r="J226" s="131"/>
      <c r="K226" s="25"/>
      <c r="L226" s="21"/>
      <c r="M226" s="23"/>
      <c r="N226" s="23"/>
      <c r="O226" s="25">
        <f>(6*G226)*O197</f>
        <v>124.83720000000002</v>
      </c>
      <c r="P226" s="20">
        <f t="shared" si="79"/>
        <v>124.83720000000002</v>
      </c>
      <c r="Q226" s="20">
        <f t="shared" si="80"/>
        <v>3.7451160000000008</v>
      </c>
      <c r="R226" s="20"/>
      <c r="S226" s="20">
        <f t="shared" si="81"/>
        <v>0.67500000000000004</v>
      </c>
      <c r="T226" s="20">
        <f t="shared" si="85"/>
        <v>8.1000000000000014</v>
      </c>
      <c r="U226" s="20">
        <f t="shared" si="83"/>
        <v>2.4300000000000002</v>
      </c>
      <c r="V226" s="20">
        <f t="shared" si="84"/>
        <v>2.6325000000000003</v>
      </c>
      <c r="W226" s="20"/>
      <c r="X226" s="20"/>
      <c r="Y226" s="20"/>
      <c r="Z226" s="20"/>
      <c r="AA226" s="20"/>
      <c r="AB226" s="20"/>
    </row>
    <row r="227" spans="1:28">
      <c r="A227" s="32"/>
      <c r="B227" s="31" t="s">
        <v>294</v>
      </c>
      <c r="C227" s="30"/>
      <c r="D227" s="29">
        <v>0.25</v>
      </c>
      <c r="E227" s="29">
        <v>0.2</v>
      </c>
      <c r="F227" s="28">
        <v>1.7</v>
      </c>
      <c r="G227" s="27">
        <f>(9.9+9.9+10+10)+(46.31*2)+(28.75*2)</f>
        <v>189.92000000000002</v>
      </c>
      <c r="H227" s="26" t="s">
        <v>73</v>
      </c>
      <c r="I227" s="24"/>
      <c r="J227" s="36"/>
      <c r="K227" s="25"/>
      <c r="L227" s="21">
        <f>((G227/0.15)*2)*2*L197</f>
        <v>4497.3056000000006</v>
      </c>
      <c r="M227" s="23"/>
      <c r="N227" s="21">
        <f>((F227*0.3)*G227/0.2)*2+(1.8*G227/0.2)*2*N197</f>
        <v>9398.7609600000014</v>
      </c>
      <c r="O227" s="25"/>
      <c r="P227" s="20">
        <f>SUM(E227:O227)</f>
        <v>14087.886560000003</v>
      </c>
      <c r="Q227" s="20">
        <f t="shared" si="80"/>
        <v>422.63659680000006</v>
      </c>
      <c r="R227" s="20"/>
      <c r="S227" s="20">
        <f>(D227*F227)*G227+(E227*1.8)*G227</f>
        <v>149.08720000000002</v>
      </c>
      <c r="T227" s="20">
        <f t="shared" si="85"/>
        <v>170.92800000000003</v>
      </c>
      <c r="U227" s="20">
        <f>(T227*0.03)*10.764</f>
        <v>55.196069760000007</v>
      </c>
      <c r="V227" s="20">
        <f t="shared" si="84"/>
        <v>56.531017440000007</v>
      </c>
      <c r="W227" s="20"/>
      <c r="X227" s="20"/>
      <c r="Y227" s="20"/>
      <c r="Z227" s="20"/>
      <c r="AA227" s="20"/>
      <c r="AB227" s="20"/>
    </row>
    <row r="228" spans="1:28">
      <c r="A228" s="32"/>
      <c r="B228" s="31" t="s">
        <v>295</v>
      </c>
      <c r="C228" s="30"/>
      <c r="D228" s="29">
        <v>1</v>
      </c>
      <c r="E228" s="29">
        <v>1</v>
      </c>
      <c r="F228" s="28">
        <v>0.46</v>
      </c>
      <c r="G228" s="27">
        <v>41</v>
      </c>
      <c r="H228" s="26" t="s">
        <v>115</v>
      </c>
      <c r="I228" s="24"/>
      <c r="J228" s="36"/>
      <c r="K228" s="25"/>
      <c r="L228" s="21">
        <f>((F228+D228+F228+D228)*4+(F228+D228+F228+D228)*4)*G228*$L$8+((D228*2+E228*2)*2*G228)*L197</f>
        <v>1141.75488</v>
      </c>
      <c r="M228" s="23"/>
      <c r="N228" s="21"/>
      <c r="O228" s="25"/>
      <c r="P228" s="20">
        <f>SUM(E228:O228)</f>
        <v>1184.21488</v>
      </c>
      <c r="Q228" s="20">
        <f t="shared" si="80"/>
        <v>35.526446399999998</v>
      </c>
      <c r="R228" s="20">
        <f>D228*E228*0.05*G228</f>
        <v>2.0500000000000003</v>
      </c>
      <c r="S228" s="20">
        <f>(D228*F228)*G228+(E228*1.8)*G228</f>
        <v>92.66</v>
      </c>
      <c r="T228" s="20">
        <f t="shared" si="85"/>
        <v>164</v>
      </c>
      <c r="U228" s="20">
        <f>(T228*0.03)*10.764</f>
        <v>52.958879999999994</v>
      </c>
      <c r="V228" s="20">
        <f t="shared" si="84"/>
        <v>54.239719999999998</v>
      </c>
      <c r="W228" s="20">
        <f>(D228*E228*0.05)*G228</f>
        <v>2.0500000000000003</v>
      </c>
      <c r="X228" s="20"/>
      <c r="Y228" s="20"/>
      <c r="Z228" s="20"/>
      <c r="AA228" s="20"/>
      <c r="AB228" s="20"/>
    </row>
    <row r="229" spans="1:28">
      <c r="A229" s="32"/>
      <c r="B229" s="284" t="s">
        <v>272</v>
      </c>
      <c r="C229" s="21" t="s">
        <v>94</v>
      </c>
      <c r="D229" s="29"/>
      <c r="E229" s="29"/>
      <c r="F229" s="28">
        <v>0.05</v>
      </c>
      <c r="G229" s="27">
        <f>'Architecture '!T66</f>
        <v>161</v>
      </c>
      <c r="H229" s="26" t="s">
        <v>72</v>
      </c>
      <c r="I229" s="24"/>
      <c r="J229" s="36"/>
      <c r="K229" s="25"/>
      <c r="L229" s="21"/>
      <c r="M229" s="23"/>
      <c r="N229" s="23"/>
      <c r="O229" s="25"/>
      <c r="P229" s="20">
        <f>SUM(I229:O229)</f>
        <v>0</v>
      </c>
      <c r="Q229" s="20">
        <f t="shared" si="80"/>
        <v>0</v>
      </c>
      <c r="R229" s="20"/>
      <c r="S229" s="20">
        <f>+F229*G229</f>
        <v>8.0500000000000007</v>
      </c>
      <c r="T229" s="20">
        <f>G229</f>
        <v>161</v>
      </c>
      <c r="U229" s="20">
        <f>(T229*0.03)*10.764</f>
        <v>51.990119999999997</v>
      </c>
      <c r="V229" s="20">
        <f t="shared" si="84"/>
        <v>53.247529999999998</v>
      </c>
      <c r="W229" s="20">
        <f>+D229*G229*0.1</f>
        <v>0</v>
      </c>
      <c r="X229" s="20">
        <v>0</v>
      </c>
      <c r="Y229" s="20">
        <v>0</v>
      </c>
      <c r="Z229" s="20">
        <v>0</v>
      </c>
      <c r="AA229" s="20">
        <v>0</v>
      </c>
      <c r="AB229" s="20">
        <f>G229</f>
        <v>161</v>
      </c>
    </row>
    <row r="230" spans="1:28">
      <c r="A230" s="32"/>
      <c r="B230" s="284" t="s">
        <v>325</v>
      </c>
      <c r="C230" s="30" t="s">
        <v>323</v>
      </c>
      <c r="D230" s="29"/>
      <c r="E230" s="29"/>
      <c r="F230" s="28">
        <v>0.2</v>
      </c>
      <c r="G230" s="285">
        <f>'Architecture '!C58</f>
        <v>0</v>
      </c>
      <c r="H230" s="26" t="s">
        <v>72</v>
      </c>
      <c r="I230" s="287"/>
      <c r="J230" s="21">
        <f>(60*114.6)*J197</f>
        <v>3431.1239999999998</v>
      </c>
      <c r="K230" s="25">
        <f>((0.6*(5.6/0.5))*36+((0.6*(4.3/0.5))*18)*K197)</f>
        <v>448.67087999999995</v>
      </c>
      <c r="L230" s="21"/>
      <c r="M230" s="23">
        <f>(0.6*(104.6/0.5))*9*M197</f>
        <v>1782.6350399999999</v>
      </c>
      <c r="N230" s="21"/>
      <c r="O230" s="25">
        <f>(0.6*(6/0.5))*162*O197</f>
        <v>4494.1391999999996</v>
      </c>
      <c r="P230" s="20">
        <f>SUM(I230:O230)</f>
        <v>10156.56912</v>
      </c>
      <c r="Q230" s="20">
        <f t="shared" si="80"/>
        <v>304.69707360000001</v>
      </c>
      <c r="R230" s="288"/>
      <c r="S230" s="20">
        <f>+F230*G230</f>
        <v>0</v>
      </c>
      <c r="T230" s="20">
        <f>G230</f>
        <v>0</v>
      </c>
      <c r="U230" s="20">
        <f>(T230*0.03)*10.764</f>
        <v>0</v>
      </c>
      <c r="V230" s="20">
        <f t="shared" si="84"/>
        <v>0</v>
      </c>
      <c r="W230" s="288"/>
      <c r="X230" s="288"/>
      <c r="Y230" s="288"/>
      <c r="Z230" s="288"/>
      <c r="AA230" s="288"/>
      <c r="AB230" s="20">
        <f>G230</f>
        <v>0</v>
      </c>
    </row>
    <row r="231" spans="1:28">
      <c r="A231" s="32"/>
      <c r="B231" s="31" t="s">
        <v>264</v>
      </c>
      <c r="C231" s="30"/>
      <c r="D231" s="29"/>
      <c r="E231" s="29"/>
      <c r="F231" s="28"/>
      <c r="G231" s="27"/>
      <c r="H231" s="26"/>
      <c r="I231" s="24"/>
      <c r="J231" s="131"/>
      <c r="K231" s="25"/>
      <c r="L231" s="21"/>
      <c r="M231" s="23"/>
      <c r="N231" s="23"/>
      <c r="O231" s="25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</row>
    <row r="232" spans="1:28">
      <c r="A232" s="32"/>
      <c r="B232" s="31" t="s">
        <v>93</v>
      </c>
      <c r="C232" s="30"/>
      <c r="D232" s="29">
        <v>0.2</v>
      </c>
      <c r="E232" s="29">
        <v>0.4</v>
      </c>
      <c r="F232" s="28"/>
      <c r="G232" s="27">
        <v>7.12</v>
      </c>
      <c r="H232" s="26" t="s">
        <v>73</v>
      </c>
      <c r="I232" s="21">
        <f>((D232+E232+D232+E232)*G232/0.15)*I197</f>
        <v>12.645120000000004</v>
      </c>
      <c r="J232" s="131"/>
      <c r="K232" s="25"/>
      <c r="L232" s="21">
        <f>(G232*4)*L197</f>
        <v>25.290240000000001</v>
      </c>
      <c r="M232" s="23"/>
      <c r="N232" s="23"/>
      <c r="O232" s="25">
        <f>(G232*2)/0.75*O197</f>
        <v>73.155626666666677</v>
      </c>
      <c r="P232" s="20">
        <f t="shared" ref="P232:P250" si="86">SUM(I232:O232)</f>
        <v>111.09098666666668</v>
      </c>
      <c r="Q232" s="20">
        <f t="shared" ref="Q232:Q261" si="87">(P232*0.03)</f>
        <v>3.3327296000000004</v>
      </c>
      <c r="R232" s="20"/>
      <c r="S232" s="20">
        <f t="shared" ref="S232:S242" si="88">D232*E232*G232</f>
        <v>0.56960000000000011</v>
      </c>
      <c r="T232" s="20">
        <f t="shared" ref="T232:T242" si="89">(D232+E232+E232)*G232</f>
        <v>7.12</v>
      </c>
      <c r="U232" s="20">
        <f t="shared" ref="U232:U246" si="90">(T232*0.03)*10.764</f>
        <v>2.2991903999999996</v>
      </c>
      <c r="V232" s="20">
        <f t="shared" ref="V232:V261" si="91">(T232+U232)*0.25</f>
        <v>2.3547975999999999</v>
      </c>
      <c r="W232" s="20"/>
      <c r="X232" s="20">
        <v>0</v>
      </c>
      <c r="Y232" s="20">
        <v>0</v>
      </c>
      <c r="Z232" s="20">
        <v>0</v>
      </c>
      <c r="AA232" s="20">
        <v>0</v>
      </c>
      <c r="AB232" s="20">
        <v>0</v>
      </c>
    </row>
    <row r="233" spans="1:28">
      <c r="A233" s="32"/>
      <c r="B233" s="31" t="s">
        <v>92</v>
      </c>
      <c r="C233" s="30"/>
      <c r="D233" s="29">
        <v>0.3</v>
      </c>
      <c r="E233" s="29">
        <v>0.4</v>
      </c>
      <c r="F233" s="28"/>
      <c r="G233" s="27">
        <v>69.88</v>
      </c>
      <c r="H233" s="26" t="s">
        <v>73</v>
      </c>
      <c r="I233" s="24"/>
      <c r="J233" s="131">
        <f>((D233+E233+D233+E233)*G233/0.15)*J197</f>
        <v>325.45445333333333</v>
      </c>
      <c r="K233" s="25"/>
      <c r="L233" s="21">
        <f>(G233*4)*L197</f>
        <v>248.21375999999998</v>
      </c>
      <c r="M233" s="23"/>
      <c r="N233" s="23"/>
      <c r="O233" s="25">
        <f>(G233/0.75)*2+(2*(G233/4))*O197</f>
        <v>320.97048666666666</v>
      </c>
      <c r="P233" s="20">
        <f t="shared" si="86"/>
        <v>894.63869999999997</v>
      </c>
      <c r="Q233" s="20">
        <f t="shared" si="87"/>
        <v>26.839160999999997</v>
      </c>
      <c r="R233" s="20"/>
      <c r="S233" s="20">
        <f t="shared" si="88"/>
        <v>8.3855999999999984</v>
      </c>
      <c r="T233" s="20">
        <f t="shared" si="89"/>
        <v>76.867999999999995</v>
      </c>
      <c r="U233" s="20">
        <f t="shared" si="90"/>
        <v>24.822214559999995</v>
      </c>
      <c r="V233" s="20">
        <f t="shared" si="91"/>
        <v>25.422553639999997</v>
      </c>
      <c r="W233" s="20"/>
      <c r="X233" s="20">
        <v>0</v>
      </c>
      <c r="Y233" s="20">
        <v>0</v>
      </c>
      <c r="Z233" s="20">
        <v>0</v>
      </c>
      <c r="AA233" s="20">
        <v>0</v>
      </c>
      <c r="AB233" s="20">
        <v>0</v>
      </c>
    </row>
    <row r="234" spans="1:28">
      <c r="A234" s="32"/>
      <c r="B234" s="31" t="s">
        <v>91</v>
      </c>
      <c r="C234" s="30"/>
      <c r="D234" s="29">
        <v>0.3</v>
      </c>
      <c r="E234" s="29">
        <v>0.6</v>
      </c>
      <c r="F234" s="28"/>
      <c r="G234" s="27">
        <v>185.9</v>
      </c>
      <c r="H234" s="26" t="s">
        <v>73</v>
      </c>
      <c r="I234" s="24"/>
      <c r="J234" s="131">
        <f>((D234+E234+D234+E234)*G234/0.2)*J197</f>
        <v>834.87689999999998</v>
      </c>
      <c r="K234" s="25"/>
      <c r="L234" s="21"/>
      <c r="M234" s="23"/>
      <c r="N234" s="23"/>
      <c r="O234" s="25">
        <f>(G234/0.75)*3+(3*(G234/4))+(3*G234)*O197</f>
        <v>3031.8431000000005</v>
      </c>
      <c r="P234" s="20">
        <f t="shared" si="86"/>
        <v>3866.7200000000003</v>
      </c>
      <c r="Q234" s="20">
        <f t="shared" si="87"/>
        <v>116.0016</v>
      </c>
      <c r="R234" s="20"/>
      <c r="S234" s="20">
        <f t="shared" si="88"/>
        <v>33.462000000000003</v>
      </c>
      <c r="T234" s="20">
        <f t="shared" si="89"/>
        <v>278.85000000000002</v>
      </c>
      <c r="U234" s="20">
        <f t="shared" si="90"/>
        <v>90.046242000000007</v>
      </c>
      <c r="V234" s="20">
        <f t="shared" si="91"/>
        <v>92.224060500000007</v>
      </c>
      <c r="W234" s="20"/>
      <c r="X234" s="20">
        <v>0</v>
      </c>
      <c r="Y234" s="20">
        <v>0</v>
      </c>
      <c r="Z234" s="20">
        <v>0</v>
      </c>
      <c r="AA234" s="20">
        <v>0</v>
      </c>
      <c r="AB234" s="20">
        <v>0</v>
      </c>
    </row>
    <row r="235" spans="1:28">
      <c r="A235" s="32"/>
      <c r="B235" s="31" t="s">
        <v>90</v>
      </c>
      <c r="C235" s="30"/>
      <c r="D235" s="29">
        <v>0.2</v>
      </c>
      <c r="E235" s="29">
        <v>0.6</v>
      </c>
      <c r="F235" s="28"/>
      <c r="G235" s="27">
        <v>110.72</v>
      </c>
      <c r="H235" s="26" t="s">
        <v>73</v>
      </c>
      <c r="I235" s="24"/>
      <c r="J235" s="131">
        <f>((D235+E235+D235+E235)*G235/0.2)*J197</f>
        <v>441.99423999999999</v>
      </c>
      <c r="K235" s="25"/>
      <c r="L235" s="21"/>
      <c r="M235" s="23"/>
      <c r="N235" s="23"/>
      <c r="O235" s="25">
        <f>((G235/0.75)*1+1*(G235/4)+(4*G235)+3*(G235/4))*O197</f>
        <v>2701.8263466666667</v>
      </c>
      <c r="P235" s="20">
        <f t="shared" si="86"/>
        <v>3143.8205866666667</v>
      </c>
      <c r="Q235" s="20">
        <f t="shared" si="87"/>
        <v>94.314617599999991</v>
      </c>
      <c r="R235" s="20"/>
      <c r="S235" s="20">
        <f t="shared" si="88"/>
        <v>13.286399999999999</v>
      </c>
      <c r="T235" s="20">
        <f t="shared" si="89"/>
        <v>155.00799999999998</v>
      </c>
      <c r="U235" s="20">
        <f t="shared" si="90"/>
        <v>50.055183359999987</v>
      </c>
      <c r="V235" s="20">
        <f t="shared" si="91"/>
        <v>51.265795839999996</v>
      </c>
      <c r="W235" s="20"/>
      <c r="X235" s="20">
        <v>0</v>
      </c>
      <c r="Y235" s="20">
        <v>0</v>
      </c>
      <c r="Z235" s="20">
        <v>0</v>
      </c>
      <c r="AA235" s="20">
        <v>0</v>
      </c>
      <c r="AB235" s="20">
        <v>0</v>
      </c>
    </row>
    <row r="236" spans="1:28">
      <c r="A236" s="32"/>
      <c r="B236" s="31" t="s">
        <v>89</v>
      </c>
      <c r="C236" s="30"/>
      <c r="D236" s="29">
        <v>0.3</v>
      </c>
      <c r="E236" s="29">
        <v>0.6</v>
      </c>
      <c r="F236" s="28"/>
      <c r="G236" s="27">
        <v>23</v>
      </c>
      <c r="H236" s="26" t="s">
        <v>73</v>
      </c>
      <c r="I236" s="24"/>
      <c r="J236" s="131">
        <f>((D236+E236+D236+E236)*G236/0.125)*2*J197</f>
        <v>330.5376</v>
      </c>
      <c r="K236" s="25"/>
      <c r="L236" s="21"/>
      <c r="M236" s="23"/>
      <c r="N236" s="23"/>
      <c r="O236" s="25">
        <f>((G236/0.75)*2+2*(G236/4)+(6*G236)+3*(G236/4)+3*(G236/0.75))*O197</f>
        <v>1233.2810833333335</v>
      </c>
      <c r="P236" s="20">
        <f t="shared" si="86"/>
        <v>1563.8186833333334</v>
      </c>
      <c r="Q236" s="20">
        <f t="shared" si="87"/>
        <v>46.9145605</v>
      </c>
      <c r="R236" s="20"/>
      <c r="S236" s="20">
        <f t="shared" si="88"/>
        <v>4.1399999999999997</v>
      </c>
      <c r="T236" s="20">
        <f t="shared" si="89"/>
        <v>34.5</v>
      </c>
      <c r="U236" s="20">
        <f t="shared" si="90"/>
        <v>11.140739999999999</v>
      </c>
      <c r="V236" s="20">
        <f t="shared" si="91"/>
        <v>11.410185</v>
      </c>
      <c r="W236" s="20"/>
      <c r="X236" s="20">
        <v>0</v>
      </c>
      <c r="Y236" s="20">
        <v>0</v>
      </c>
      <c r="Z236" s="20">
        <v>0</v>
      </c>
      <c r="AA236" s="20">
        <v>0</v>
      </c>
      <c r="AB236" s="20">
        <v>0</v>
      </c>
    </row>
    <row r="237" spans="1:28">
      <c r="A237" s="32"/>
      <c r="B237" s="31" t="s">
        <v>88</v>
      </c>
      <c r="C237" s="30"/>
      <c r="D237" s="29">
        <v>0.3</v>
      </c>
      <c r="E237" s="29">
        <v>0.6</v>
      </c>
      <c r="F237" s="28"/>
      <c r="G237" s="27">
        <v>19.38</v>
      </c>
      <c r="H237" s="26" t="s">
        <v>73</v>
      </c>
      <c r="I237" s="24"/>
      <c r="J237" s="131">
        <f>((D237+E237+D237+E237)*G237/0.2)*J197</f>
        <v>87.035579999999982</v>
      </c>
      <c r="K237" s="25"/>
      <c r="L237" s="21"/>
      <c r="M237" s="23"/>
      <c r="N237" s="23"/>
      <c r="O237" s="25">
        <f>(((4/G237)*1)*(G237*4)+(3*(G237/4)))*O197</f>
        <v>117.65135500000001</v>
      </c>
      <c r="P237" s="20">
        <f t="shared" si="86"/>
        <v>204.68693500000001</v>
      </c>
      <c r="Q237" s="20">
        <f t="shared" si="87"/>
        <v>6.14060805</v>
      </c>
      <c r="R237" s="20"/>
      <c r="S237" s="20">
        <f t="shared" si="88"/>
        <v>3.4883999999999995</v>
      </c>
      <c r="T237" s="20">
        <f t="shared" si="89"/>
        <v>29.07</v>
      </c>
      <c r="U237" s="20">
        <f t="shared" si="90"/>
        <v>9.3872843999999986</v>
      </c>
      <c r="V237" s="20">
        <f t="shared" si="91"/>
        <v>9.6143210999999997</v>
      </c>
      <c r="W237" s="20"/>
      <c r="X237" s="20">
        <v>0</v>
      </c>
      <c r="Y237" s="20">
        <v>0</v>
      </c>
      <c r="Z237" s="20">
        <v>0</v>
      </c>
      <c r="AA237" s="20">
        <v>0</v>
      </c>
      <c r="AB237" s="20">
        <v>0</v>
      </c>
    </row>
    <row r="238" spans="1:28">
      <c r="A238" s="32"/>
      <c r="B238" s="31" t="s">
        <v>87</v>
      </c>
      <c r="C238" s="30"/>
      <c r="D238" s="29">
        <v>0.2</v>
      </c>
      <c r="E238" s="29">
        <v>0.6</v>
      </c>
      <c r="F238" s="28"/>
      <c r="G238" s="27">
        <v>22.44</v>
      </c>
      <c r="H238" s="26" t="s">
        <v>73</v>
      </c>
      <c r="I238" s="24"/>
      <c r="J238" s="131">
        <f>((D238+E238+D238+E238)*G238/0.2)*J197</f>
        <v>89.580480000000009</v>
      </c>
      <c r="K238" s="25"/>
      <c r="L238" s="21"/>
      <c r="M238" s="23"/>
      <c r="N238" s="23"/>
      <c r="O238" s="25">
        <f>((1*(G238/4))*(G238*4)+(3*(G238/4)))*O197</f>
        <v>2005.0380108000006</v>
      </c>
      <c r="P238" s="20">
        <f t="shared" si="86"/>
        <v>2094.6184908000005</v>
      </c>
      <c r="Q238" s="20">
        <f t="shared" si="87"/>
        <v>62.838554724000012</v>
      </c>
      <c r="R238" s="20"/>
      <c r="S238" s="20">
        <f t="shared" si="88"/>
        <v>2.6928000000000001</v>
      </c>
      <c r="T238" s="20">
        <f t="shared" si="89"/>
        <v>31.416</v>
      </c>
      <c r="U238" s="20">
        <f t="shared" si="90"/>
        <v>10.14485472</v>
      </c>
      <c r="V238" s="20">
        <f t="shared" si="91"/>
        <v>10.39021368</v>
      </c>
      <c r="W238" s="20"/>
      <c r="X238" s="20">
        <v>0</v>
      </c>
      <c r="Y238" s="20">
        <v>0</v>
      </c>
      <c r="Z238" s="20">
        <v>0</v>
      </c>
      <c r="AA238" s="20">
        <v>0</v>
      </c>
      <c r="AB238" s="20">
        <v>0</v>
      </c>
    </row>
    <row r="239" spans="1:28">
      <c r="A239" s="32"/>
      <c r="B239" s="31" t="s">
        <v>86</v>
      </c>
      <c r="C239" s="30"/>
      <c r="D239" s="29">
        <v>0.2</v>
      </c>
      <c r="E239" s="29">
        <v>0.6</v>
      </c>
      <c r="F239" s="28"/>
      <c r="G239" s="27">
        <v>16.39</v>
      </c>
      <c r="H239" s="26" t="s">
        <v>73</v>
      </c>
      <c r="I239" s="24"/>
      <c r="J239" s="131">
        <f>((D239+E239+D239+E239)*G239/0.2)*2*J197</f>
        <v>130.85776000000001</v>
      </c>
      <c r="K239" s="25"/>
      <c r="L239" s="21"/>
      <c r="M239" s="23"/>
      <c r="N239" s="23"/>
      <c r="O239" s="25">
        <f>(6*G239)*O197</f>
        <v>378.90402000000006</v>
      </c>
      <c r="P239" s="20">
        <f t="shared" si="86"/>
        <v>509.76178000000004</v>
      </c>
      <c r="Q239" s="20">
        <f t="shared" si="87"/>
        <v>15.2928534</v>
      </c>
      <c r="R239" s="20"/>
      <c r="S239" s="20">
        <f t="shared" si="88"/>
        <v>1.9668000000000001</v>
      </c>
      <c r="T239" s="20">
        <f t="shared" si="89"/>
        <v>22.945999999999998</v>
      </c>
      <c r="U239" s="20">
        <f t="shared" si="90"/>
        <v>7.4097223199999984</v>
      </c>
      <c r="V239" s="20">
        <f t="shared" si="91"/>
        <v>7.5889305799999995</v>
      </c>
      <c r="W239" s="20"/>
      <c r="X239" s="20">
        <v>0</v>
      </c>
      <c r="Y239" s="20">
        <v>0</v>
      </c>
      <c r="Z239" s="20">
        <v>0</v>
      </c>
      <c r="AA239" s="20">
        <v>0</v>
      </c>
      <c r="AB239" s="20">
        <v>0</v>
      </c>
    </row>
    <row r="240" spans="1:28">
      <c r="A240" s="32"/>
      <c r="B240" s="31" t="s">
        <v>85</v>
      </c>
      <c r="C240" s="30"/>
      <c r="D240" s="29">
        <v>0.4</v>
      </c>
      <c r="E240" s="29">
        <v>0.6</v>
      </c>
      <c r="F240" s="28"/>
      <c r="G240" s="27">
        <v>58.76</v>
      </c>
      <c r="H240" s="26" t="s">
        <v>73</v>
      </c>
      <c r="I240" s="24"/>
      <c r="J240" s="131">
        <f>((D240+E240+D240+E240)*G240/0.15)*2*J197</f>
        <v>781.89973333333342</v>
      </c>
      <c r="K240" s="25"/>
      <c r="L240" s="21"/>
      <c r="M240" s="23"/>
      <c r="N240" s="23"/>
      <c r="O240" s="25">
        <f>(4*G240)+(6*G240/4)+(3*G240/0.75)*O197</f>
        <v>1228.7891199999999</v>
      </c>
      <c r="P240" s="20">
        <f t="shared" si="86"/>
        <v>2010.6888533333333</v>
      </c>
      <c r="Q240" s="20">
        <f t="shared" si="87"/>
        <v>60.320665599999998</v>
      </c>
      <c r="R240" s="20"/>
      <c r="S240" s="20">
        <f t="shared" si="88"/>
        <v>14.102399999999999</v>
      </c>
      <c r="T240" s="20">
        <f t="shared" si="89"/>
        <v>94.016000000000005</v>
      </c>
      <c r="U240" s="20">
        <f t="shared" si="90"/>
        <v>30.359646719999997</v>
      </c>
      <c r="V240" s="20">
        <f t="shared" si="91"/>
        <v>31.093911680000001</v>
      </c>
      <c r="W240" s="20"/>
      <c r="X240" s="20">
        <v>0</v>
      </c>
      <c r="Y240" s="20">
        <v>0</v>
      </c>
      <c r="Z240" s="20">
        <v>0</v>
      </c>
      <c r="AA240" s="20">
        <v>0</v>
      </c>
      <c r="AB240" s="20">
        <v>0</v>
      </c>
    </row>
    <row r="241" spans="1:28">
      <c r="A241" s="32"/>
      <c r="B241" s="31" t="s">
        <v>84</v>
      </c>
      <c r="C241" s="30"/>
      <c r="D241" s="29">
        <v>0.4</v>
      </c>
      <c r="E241" s="29">
        <v>0.6</v>
      </c>
      <c r="F241" s="28"/>
      <c r="G241" s="27">
        <v>47.14</v>
      </c>
      <c r="H241" s="26" t="s">
        <v>73</v>
      </c>
      <c r="I241" s="24"/>
      <c r="J241" s="131">
        <f>((D241+E241+D241+E241)*G241/0.15)*2*J197</f>
        <v>627.27626666666674</v>
      </c>
      <c r="K241" s="25"/>
      <c r="L241" s="21"/>
      <c r="M241" s="23"/>
      <c r="N241" s="23"/>
      <c r="O241" s="25">
        <f>(4*G241)+(6*G241/4)*O197</f>
        <v>461.00563000000005</v>
      </c>
      <c r="P241" s="20">
        <f t="shared" si="86"/>
        <v>1088.2818966666669</v>
      </c>
      <c r="Q241" s="20">
        <f t="shared" si="87"/>
        <v>32.648456900000006</v>
      </c>
      <c r="R241" s="20"/>
      <c r="S241" s="20">
        <f t="shared" si="88"/>
        <v>11.313599999999999</v>
      </c>
      <c r="T241" s="20">
        <f t="shared" si="89"/>
        <v>75.424000000000007</v>
      </c>
      <c r="U241" s="20">
        <f t="shared" si="90"/>
        <v>24.355918080000002</v>
      </c>
      <c r="V241" s="20">
        <f t="shared" si="91"/>
        <v>24.944979520000004</v>
      </c>
      <c r="W241" s="20"/>
      <c r="X241" s="20">
        <v>0</v>
      </c>
      <c r="Y241" s="20">
        <v>0</v>
      </c>
      <c r="Z241" s="20">
        <v>0</v>
      </c>
      <c r="AA241" s="20">
        <v>0</v>
      </c>
      <c r="AB241" s="20">
        <v>0</v>
      </c>
    </row>
    <row r="242" spans="1:28">
      <c r="A242" s="32"/>
      <c r="B242" s="31" t="s">
        <v>83</v>
      </c>
      <c r="C242" s="30"/>
      <c r="D242" s="29">
        <v>0.4</v>
      </c>
      <c r="E242" s="29">
        <v>0.6</v>
      </c>
      <c r="F242" s="28"/>
      <c r="G242" s="27">
        <v>32.4</v>
      </c>
      <c r="H242" s="26" t="s">
        <v>73</v>
      </c>
      <c r="I242" s="24"/>
      <c r="J242" s="131">
        <f>((D242+E242+D242+E242)*G242/0.15)*2*J197</f>
        <v>431.13600000000002</v>
      </c>
      <c r="K242" s="25"/>
      <c r="L242" s="21"/>
      <c r="M242" s="23"/>
      <c r="N242" s="23"/>
      <c r="O242" s="25">
        <f>(20*G242)*O197</f>
        <v>2496.7440000000001</v>
      </c>
      <c r="P242" s="20">
        <f t="shared" si="86"/>
        <v>2927.88</v>
      </c>
      <c r="Q242" s="20">
        <f t="shared" si="87"/>
        <v>87.836399999999998</v>
      </c>
      <c r="R242" s="20"/>
      <c r="S242" s="20">
        <f t="shared" si="88"/>
        <v>7.7759999999999998</v>
      </c>
      <c r="T242" s="20">
        <f t="shared" si="89"/>
        <v>51.84</v>
      </c>
      <c r="U242" s="20">
        <f t="shared" si="90"/>
        <v>16.7401728</v>
      </c>
      <c r="V242" s="20">
        <f t="shared" si="91"/>
        <v>17.1450432</v>
      </c>
      <c r="W242" s="20"/>
      <c r="X242" s="20">
        <v>0</v>
      </c>
      <c r="Y242" s="20">
        <v>0</v>
      </c>
      <c r="Z242" s="20">
        <v>0</v>
      </c>
      <c r="AA242" s="20">
        <v>0</v>
      </c>
      <c r="AB242" s="20">
        <v>0</v>
      </c>
    </row>
    <row r="243" spans="1:28">
      <c r="A243" s="32"/>
      <c r="B243" s="31" t="s">
        <v>77</v>
      </c>
      <c r="C243" s="30"/>
      <c r="D243" s="29">
        <v>0.4</v>
      </c>
      <c r="E243" s="29">
        <v>0.6</v>
      </c>
      <c r="F243" s="28">
        <v>4</v>
      </c>
      <c r="G243" s="27">
        <v>9</v>
      </c>
      <c r="H243" s="26" t="s">
        <v>73</v>
      </c>
      <c r="I243" s="21">
        <f>(((D243+E243+D243+E243)*F243/0.29)*G243)*2*I197</f>
        <v>110.2344827586207</v>
      </c>
      <c r="J243" s="131"/>
      <c r="K243" s="25"/>
      <c r="L243" s="21"/>
      <c r="M243" s="23"/>
      <c r="N243" s="23"/>
      <c r="O243" s="25">
        <f>(G243*8*F243)*O197</f>
        <v>1109.664</v>
      </c>
      <c r="P243" s="20">
        <f t="shared" si="86"/>
        <v>1219.8984827586207</v>
      </c>
      <c r="Q243" s="20">
        <f t="shared" si="87"/>
        <v>36.596954482758619</v>
      </c>
      <c r="R243" s="20"/>
      <c r="S243" s="20">
        <f>(D243*E243*F243)*G243</f>
        <v>8.64</v>
      </c>
      <c r="T243" s="20">
        <f t="shared" ref="T243:T249" si="92">(D243+E243+E243+D243)*G243</f>
        <v>18</v>
      </c>
      <c r="U243" s="20">
        <f t="shared" si="90"/>
        <v>5.8125600000000004</v>
      </c>
      <c r="V243" s="20">
        <f t="shared" si="91"/>
        <v>5.9531400000000003</v>
      </c>
      <c r="W243" s="20"/>
      <c r="X243" s="20">
        <v>0</v>
      </c>
      <c r="Y243" s="20">
        <v>0</v>
      </c>
      <c r="Z243" s="20">
        <v>0</v>
      </c>
      <c r="AA243" s="20">
        <v>0</v>
      </c>
      <c r="AB243" s="20">
        <v>0</v>
      </c>
    </row>
    <row r="244" spans="1:28">
      <c r="A244" s="32"/>
      <c r="B244" s="31" t="s">
        <v>76</v>
      </c>
      <c r="C244" s="30"/>
      <c r="D244" s="29">
        <v>0.4</v>
      </c>
      <c r="E244" s="29">
        <v>0.6</v>
      </c>
      <c r="F244" s="28">
        <v>4</v>
      </c>
      <c r="G244" s="27">
        <v>24</v>
      </c>
      <c r="H244" s="26" t="s">
        <v>73</v>
      </c>
      <c r="I244" s="21">
        <f>(((D244+E244+D244+E244)*F244/0.29)*G244)*2*I197</f>
        <v>293.95862068965516</v>
      </c>
      <c r="J244" s="131"/>
      <c r="K244" s="25"/>
      <c r="L244" s="21"/>
      <c r="M244" s="23"/>
      <c r="N244" s="23"/>
      <c r="O244" s="25">
        <f>(G244*8*F244)*O197</f>
        <v>2959.1040000000003</v>
      </c>
      <c r="P244" s="20">
        <f t="shared" si="86"/>
        <v>3253.0626206896554</v>
      </c>
      <c r="Q244" s="20">
        <f t="shared" si="87"/>
        <v>97.591878620689656</v>
      </c>
      <c r="R244" s="20"/>
      <c r="S244" s="20">
        <f>(D244*E244*F244)*G244</f>
        <v>23.04</v>
      </c>
      <c r="T244" s="20">
        <f t="shared" si="92"/>
        <v>48</v>
      </c>
      <c r="U244" s="20">
        <f t="shared" si="90"/>
        <v>15.500159999999999</v>
      </c>
      <c r="V244" s="20">
        <f t="shared" si="91"/>
        <v>15.87504</v>
      </c>
      <c r="W244" s="20"/>
      <c r="X244" s="20">
        <v>0</v>
      </c>
      <c r="Y244" s="20">
        <v>0</v>
      </c>
      <c r="Z244" s="20">
        <v>0</v>
      </c>
      <c r="AA244" s="20">
        <v>0</v>
      </c>
      <c r="AB244" s="20">
        <v>0</v>
      </c>
    </row>
    <row r="245" spans="1:28">
      <c r="A245" s="32"/>
      <c r="B245" s="31" t="s">
        <v>75</v>
      </c>
      <c r="C245" s="30"/>
      <c r="D245" s="29">
        <v>0.4</v>
      </c>
      <c r="E245" s="29">
        <v>0.6</v>
      </c>
      <c r="F245" s="28">
        <v>4</v>
      </c>
      <c r="G245" s="27">
        <v>34</v>
      </c>
      <c r="H245" s="26" t="s">
        <v>73</v>
      </c>
      <c r="I245" s="21">
        <f>(((D245+E245+D245+E245)*F245/0.29)*G245)*2*I197</f>
        <v>416.44137931034487</v>
      </c>
      <c r="J245" s="131"/>
      <c r="K245" s="25"/>
      <c r="L245" s="21"/>
      <c r="M245" s="23"/>
      <c r="N245" s="23"/>
      <c r="O245" s="25">
        <f>(G245*8*F245)*O197</f>
        <v>4192.0640000000003</v>
      </c>
      <c r="P245" s="20">
        <f t="shared" si="86"/>
        <v>4608.5053793103452</v>
      </c>
      <c r="Q245" s="20">
        <f t="shared" si="87"/>
        <v>138.25516137931035</v>
      </c>
      <c r="R245" s="20"/>
      <c r="S245" s="20">
        <f>(D245*E245*F245)*G245</f>
        <v>32.64</v>
      </c>
      <c r="T245" s="20">
        <f t="shared" si="92"/>
        <v>68</v>
      </c>
      <c r="U245" s="20">
        <f t="shared" si="90"/>
        <v>21.958559999999999</v>
      </c>
      <c r="V245" s="20">
        <f t="shared" si="91"/>
        <v>22.489640000000001</v>
      </c>
      <c r="W245" s="20"/>
      <c r="X245" s="20">
        <v>0</v>
      </c>
      <c r="Y245" s="20">
        <v>0</v>
      </c>
      <c r="Z245" s="20">
        <v>0</v>
      </c>
      <c r="AA245" s="20">
        <v>0</v>
      </c>
      <c r="AB245" s="20">
        <v>0</v>
      </c>
    </row>
    <row r="246" spans="1:28">
      <c r="A246" s="32"/>
      <c r="B246" s="31" t="s">
        <v>74</v>
      </c>
      <c r="C246" s="30"/>
      <c r="D246" s="29">
        <v>0.4</v>
      </c>
      <c r="E246" s="29">
        <v>0.6</v>
      </c>
      <c r="F246" s="28">
        <v>4</v>
      </c>
      <c r="G246" s="27">
        <v>3</v>
      </c>
      <c r="H246" s="26" t="s">
        <v>73</v>
      </c>
      <c r="I246" s="21">
        <f>(((D246+E246+D246+E246)*F246/0.29)*G246)*2*I197</f>
        <v>36.744827586206895</v>
      </c>
      <c r="J246" s="131"/>
      <c r="K246" s="25"/>
      <c r="L246" s="21"/>
      <c r="M246" s="23"/>
      <c r="N246" s="23"/>
      <c r="O246" s="25">
        <f>(G246*8*F246)*O197</f>
        <v>369.88800000000003</v>
      </c>
      <c r="P246" s="20">
        <f t="shared" si="86"/>
        <v>406.63282758620693</v>
      </c>
      <c r="Q246" s="20">
        <f t="shared" si="87"/>
        <v>12.198984827586207</v>
      </c>
      <c r="R246" s="20"/>
      <c r="S246" s="20">
        <f>(D246*E246*F246)*G246</f>
        <v>2.88</v>
      </c>
      <c r="T246" s="20">
        <f t="shared" si="92"/>
        <v>6</v>
      </c>
      <c r="U246" s="20">
        <f t="shared" si="90"/>
        <v>1.9375199999999999</v>
      </c>
      <c r="V246" s="20">
        <f t="shared" si="91"/>
        <v>1.98438</v>
      </c>
      <c r="W246" s="20"/>
      <c r="X246" s="20">
        <v>0</v>
      </c>
      <c r="Y246" s="20">
        <v>0</v>
      </c>
      <c r="Z246" s="20">
        <v>0</v>
      </c>
      <c r="AA246" s="20">
        <v>0</v>
      </c>
      <c r="AB246" s="20">
        <v>0</v>
      </c>
    </row>
    <row r="247" spans="1:28">
      <c r="A247" s="32"/>
      <c r="B247" s="31" t="s">
        <v>313</v>
      </c>
      <c r="C247" s="30"/>
      <c r="D247" s="29">
        <v>0.25</v>
      </c>
      <c r="E247" s="29">
        <v>0.5</v>
      </c>
      <c r="F247" s="28"/>
      <c r="G247" s="27">
        <f>3*2</f>
        <v>6</v>
      </c>
      <c r="H247" s="26" t="s">
        <v>73</v>
      </c>
      <c r="I247" s="21"/>
      <c r="J247" s="131"/>
      <c r="K247" s="25"/>
      <c r="L247" s="21"/>
      <c r="M247" s="23"/>
      <c r="N247" s="23"/>
      <c r="O247" s="25">
        <f>(6*G247)*O197</f>
        <v>138.708</v>
      </c>
      <c r="P247" s="20">
        <f t="shared" si="86"/>
        <v>138.708</v>
      </c>
      <c r="Q247" s="20">
        <f t="shared" si="87"/>
        <v>4.1612399999999994</v>
      </c>
      <c r="R247" s="20"/>
      <c r="S247" s="20">
        <f>D247*E247*G247</f>
        <v>0.75</v>
      </c>
      <c r="T247" s="20">
        <f t="shared" si="92"/>
        <v>9</v>
      </c>
      <c r="U247" s="20">
        <f>T247*30%</f>
        <v>2.6999999999999997</v>
      </c>
      <c r="V247" s="20">
        <f t="shared" si="91"/>
        <v>2.9249999999999998</v>
      </c>
      <c r="W247" s="20"/>
      <c r="X247" s="20"/>
      <c r="Y247" s="20"/>
      <c r="Z247" s="20"/>
      <c r="AA247" s="20"/>
      <c r="AB247" s="20"/>
    </row>
    <row r="248" spans="1:28">
      <c r="A248" s="32"/>
      <c r="B248" s="31" t="s">
        <v>314</v>
      </c>
      <c r="C248" s="30"/>
      <c r="D248" s="29">
        <v>0.25</v>
      </c>
      <c r="E248" s="29">
        <v>0.5</v>
      </c>
      <c r="F248" s="28"/>
      <c r="G248" s="27">
        <f>3.8*2</f>
        <v>7.6</v>
      </c>
      <c r="H248" s="26" t="s">
        <v>73</v>
      </c>
      <c r="I248" s="21"/>
      <c r="J248" s="131"/>
      <c r="K248" s="25"/>
      <c r="L248" s="21"/>
      <c r="M248" s="23"/>
      <c r="N248" s="23"/>
      <c r="O248" s="25">
        <f>(6*G248)*O197</f>
        <v>175.6968</v>
      </c>
      <c r="P248" s="20">
        <f t="shared" si="86"/>
        <v>175.6968</v>
      </c>
      <c r="Q248" s="20">
        <f t="shared" si="87"/>
        <v>5.2709039999999998</v>
      </c>
      <c r="R248" s="20"/>
      <c r="S248" s="20">
        <f>D248*E248*G248</f>
        <v>0.95</v>
      </c>
      <c r="T248" s="20">
        <f t="shared" si="92"/>
        <v>11.399999999999999</v>
      </c>
      <c r="U248" s="20">
        <f>T248*30%</f>
        <v>3.4199999999999995</v>
      </c>
      <c r="V248" s="20">
        <f t="shared" si="91"/>
        <v>3.7049999999999996</v>
      </c>
      <c r="W248" s="20"/>
      <c r="X248" s="20"/>
      <c r="Y248" s="20"/>
      <c r="Z248" s="20"/>
      <c r="AA248" s="20"/>
      <c r="AB248" s="20"/>
    </row>
    <row r="249" spans="1:28">
      <c r="A249" s="32"/>
      <c r="B249" s="31" t="s">
        <v>315</v>
      </c>
      <c r="C249" s="30"/>
      <c r="D249" s="29">
        <v>0.25</v>
      </c>
      <c r="E249" s="29">
        <v>0.5</v>
      </c>
      <c r="F249" s="28"/>
      <c r="G249" s="27">
        <f>2.7*2</f>
        <v>5.4</v>
      </c>
      <c r="H249" s="26" t="s">
        <v>73</v>
      </c>
      <c r="I249" s="21"/>
      <c r="J249" s="131"/>
      <c r="K249" s="25"/>
      <c r="L249" s="21"/>
      <c r="M249" s="23"/>
      <c r="N249" s="23"/>
      <c r="O249" s="25">
        <f>(6*G249)*O197</f>
        <v>124.83720000000002</v>
      </c>
      <c r="P249" s="20">
        <f t="shared" si="86"/>
        <v>124.83720000000002</v>
      </c>
      <c r="Q249" s="20">
        <f t="shared" si="87"/>
        <v>3.7451160000000008</v>
      </c>
      <c r="R249" s="20"/>
      <c r="S249" s="20">
        <f>D249*E249*G249</f>
        <v>0.67500000000000004</v>
      </c>
      <c r="T249" s="20">
        <f t="shared" si="92"/>
        <v>8.1000000000000014</v>
      </c>
      <c r="U249" s="20">
        <f>T249*30%</f>
        <v>2.4300000000000002</v>
      </c>
      <c r="V249" s="20">
        <f t="shared" si="91"/>
        <v>2.6325000000000003</v>
      </c>
      <c r="W249" s="20"/>
      <c r="X249" s="20"/>
      <c r="Y249" s="20"/>
      <c r="Z249" s="20"/>
      <c r="AA249" s="20"/>
      <c r="AB249" s="20"/>
    </row>
    <row r="250" spans="1:28">
      <c r="A250" s="32"/>
      <c r="B250" s="31" t="s">
        <v>285</v>
      </c>
      <c r="C250" s="24" t="s">
        <v>94</v>
      </c>
      <c r="D250" s="29"/>
      <c r="E250" s="29"/>
      <c r="F250" s="28">
        <v>0.05</v>
      </c>
      <c r="G250" s="27">
        <f>'Architecture '!T99</f>
        <v>161</v>
      </c>
      <c r="H250" s="26" t="s">
        <v>72</v>
      </c>
      <c r="I250" s="24"/>
      <c r="J250" s="36"/>
      <c r="K250" s="25"/>
      <c r="L250" s="21"/>
      <c r="M250" s="23"/>
      <c r="N250" s="23"/>
      <c r="O250" s="25"/>
      <c r="P250" s="20">
        <f t="shared" si="86"/>
        <v>0</v>
      </c>
      <c r="Q250" s="20">
        <f t="shared" si="87"/>
        <v>0</v>
      </c>
      <c r="R250" s="20"/>
      <c r="S250" s="20">
        <f>+F250*G250</f>
        <v>8.0500000000000007</v>
      </c>
      <c r="T250" s="20">
        <f>G250</f>
        <v>161</v>
      </c>
      <c r="U250" s="20">
        <f t="shared" ref="U250:U256" si="93">(T250*0.03)*10.764</f>
        <v>51.990119999999997</v>
      </c>
      <c r="V250" s="20">
        <f t="shared" si="91"/>
        <v>53.247529999999998</v>
      </c>
      <c r="W250" s="20">
        <f>+D250*G250*0.1</f>
        <v>0</v>
      </c>
      <c r="X250" s="20">
        <v>0</v>
      </c>
      <c r="Y250" s="20">
        <v>0</v>
      </c>
      <c r="Z250" s="20">
        <v>0</v>
      </c>
      <c r="AA250" s="20">
        <v>0</v>
      </c>
      <c r="AB250" s="20">
        <f>G250</f>
        <v>161</v>
      </c>
    </row>
    <row r="251" spans="1:28">
      <c r="A251" s="32"/>
      <c r="B251" s="31" t="s">
        <v>278</v>
      </c>
      <c r="C251" s="30"/>
      <c r="D251" s="29">
        <v>0.3</v>
      </c>
      <c r="E251" s="29">
        <v>0.6</v>
      </c>
      <c r="F251" s="28"/>
      <c r="G251" s="27">
        <v>84.04</v>
      </c>
      <c r="H251" s="26" t="s">
        <v>73</v>
      </c>
      <c r="I251" s="24"/>
      <c r="J251" s="36">
        <f>((D251+E251+D251+E251)*G251/0.25)*J197</f>
        <v>301.93891199999996</v>
      </c>
      <c r="K251" s="25"/>
      <c r="L251" s="21">
        <f>(4*G251)*L197</f>
        <v>298.51008000000002</v>
      </c>
      <c r="M251" s="23"/>
      <c r="N251" s="23"/>
      <c r="O251" s="22">
        <f>(G251/0.75)+(4*(G251/4))*O197</f>
        <v>435.85945333333336</v>
      </c>
      <c r="P251" s="20">
        <f t="shared" ref="P251:P256" si="94">SUM(E251:O251)</f>
        <v>1120.9484453333334</v>
      </c>
      <c r="Q251" s="20">
        <f t="shared" si="87"/>
        <v>33.628453360000002</v>
      </c>
      <c r="R251" s="20"/>
      <c r="S251" s="20">
        <f t="shared" ref="S251:S260" si="95">D251*E251*G251</f>
        <v>15.1272</v>
      </c>
      <c r="T251" s="20">
        <f t="shared" ref="T251:T260" si="96">(D251+E251+E251)*G251</f>
        <v>126.06</v>
      </c>
      <c r="U251" s="20">
        <f t="shared" si="93"/>
        <v>40.707295199999997</v>
      </c>
      <c r="V251" s="20">
        <f t="shared" si="91"/>
        <v>41.691823800000002</v>
      </c>
      <c r="W251" s="20"/>
      <c r="X251" s="20"/>
      <c r="Y251" s="20"/>
      <c r="Z251" s="20"/>
      <c r="AA251" s="20"/>
      <c r="AB251" s="20"/>
    </row>
    <row r="252" spans="1:28">
      <c r="A252" s="32"/>
      <c r="B252" s="31" t="s">
        <v>279</v>
      </c>
      <c r="C252" s="30"/>
      <c r="D252" s="29">
        <v>0.3</v>
      </c>
      <c r="E252" s="29">
        <v>0.6</v>
      </c>
      <c r="F252" s="28"/>
      <c r="G252" s="27">
        <v>41.64</v>
      </c>
      <c r="H252" s="26" t="s">
        <v>73</v>
      </c>
      <c r="I252" s="24"/>
      <c r="J252" s="36">
        <f>((D252+E252+D252+E252)*G252/0.25)*J197</f>
        <v>149.60419199999998</v>
      </c>
      <c r="K252" s="25"/>
      <c r="L252" s="21">
        <f>(4*G252)*L197</f>
        <v>147.90528</v>
      </c>
      <c r="M252" s="23"/>
      <c r="N252" s="23"/>
      <c r="O252" s="22">
        <f>(G252/0.75)+(4*(G252/4))*O197</f>
        <v>215.95892000000003</v>
      </c>
      <c r="P252" s="20">
        <f t="shared" si="94"/>
        <v>555.708392</v>
      </c>
      <c r="Q252" s="20">
        <f t="shared" si="87"/>
        <v>16.671251760000001</v>
      </c>
      <c r="R252" s="20"/>
      <c r="S252" s="20">
        <f t="shared" si="95"/>
        <v>7.4951999999999996</v>
      </c>
      <c r="T252" s="20">
        <f t="shared" si="96"/>
        <v>62.46</v>
      </c>
      <c r="U252" s="20">
        <f t="shared" si="93"/>
        <v>20.169583199999998</v>
      </c>
      <c r="V252" s="20">
        <f t="shared" si="91"/>
        <v>20.6573958</v>
      </c>
      <c r="W252" s="20"/>
      <c r="X252" s="20"/>
      <c r="Y252" s="20"/>
      <c r="Z252" s="20"/>
      <c r="AA252" s="20"/>
      <c r="AB252" s="20"/>
    </row>
    <row r="253" spans="1:28">
      <c r="A253" s="32"/>
      <c r="B253" s="31" t="s">
        <v>280</v>
      </c>
      <c r="C253" s="30"/>
      <c r="D253" s="29">
        <v>0.3</v>
      </c>
      <c r="E253" s="29">
        <v>0.6</v>
      </c>
      <c r="F253" s="28"/>
      <c r="G253" s="27">
        <v>143</v>
      </c>
      <c r="H253" s="26" t="s">
        <v>73</v>
      </c>
      <c r="I253" s="24"/>
      <c r="J253" s="36">
        <f>((D253+E253+D253+E253)*G253/0.25)*J197</f>
        <v>513.7704</v>
      </c>
      <c r="K253" s="25"/>
      <c r="L253" s="21">
        <f>(4*G253)*L197</f>
        <v>507.93599999999998</v>
      </c>
      <c r="M253" s="23"/>
      <c r="N253" s="23"/>
      <c r="O253" s="22">
        <f>(2*G253/0.75)+(4*(G253/4))*O197</f>
        <v>932.3123333333333</v>
      </c>
      <c r="P253" s="20">
        <f t="shared" si="94"/>
        <v>2097.6187333333332</v>
      </c>
      <c r="Q253" s="20">
        <f t="shared" si="87"/>
        <v>62.928561999999992</v>
      </c>
      <c r="R253" s="20"/>
      <c r="S253" s="20">
        <f t="shared" si="95"/>
        <v>25.74</v>
      </c>
      <c r="T253" s="20">
        <f t="shared" si="96"/>
        <v>214.5</v>
      </c>
      <c r="U253" s="20">
        <f t="shared" si="93"/>
        <v>69.266339999999985</v>
      </c>
      <c r="V253" s="20">
        <f t="shared" si="91"/>
        <v>70.941585000000003</v>
      </c>
      <c r="W253" s="20"/>
      <c r="X253" s="20"/>
      <c r="Y253" s="20"/>
      <c r="Z253" s="20"/>
      <c r="AA253" s="20"/>
      <c r="AB253" s="20"/>
    </row>
    <row r="254" spans="1:28">
      <c r="A254" s="32"/>
      <c r="B254" s="31" t="s">
        <v>281</v>
      </c>
      <c r="C254" s="30"/>
      <c r="D254" s="29">
        <v>0.4</v>
      </c>
      <c r="E254" s="29">
        <v>0.7</v>
      </c>
      <c r="F254" s="28"/>
      <c r="G254" s="27">
        <v>24.5</v>
      </c>
      <c r="H254" s="26" t="s">
        <v>73</v>
      </c>
      <c r="I254" s="24"/>
      <c r="J254" s="36">
        <f>((D254+E254+D254+E254)*G254/0.25)*2*J197</f>
        <v>215.16880000000003</v>
      </c>
      <c r="K254" s="25"/>
      <c r="L254" s="21"/>
      <c r="M254" s="23"/>
      <c r="N254" s="23"/>
      <c r="O254" s="22">
        <f>(4*G254)+(8*G254/0.75)+(8*G254/4)*O197</f>
        <v>548.13033333333328</v>
      </c>
      <c r="P254" s="20">
        <f t="shared" si="94"/>
        <v>788.49913333333325</v>
      </c>
      <c r="Q254" s="20">
        <f t="shared" si="87"/>
        <v>23.654973999999996</v>
      </c>
      <c r="R254" s="20"/>
      <c r="S254" s="20">
        <f t="shared" si="95"/>
        <v>6.8599999999999994</v>
      </c>
      <c r="T254" s="20">
        <f t="shared" si="96"/>
        <v>44.1</v>
      </c>
      <c r="U254" s="20">
        <f t="shared" si="93"/>
        <v>14.240771999999998</v>
      </c>
      <c r="V254" s="20">
        <f t="shared" si="91"/>
        <v>14.585193</v>
      </c>
      <c r="W254" s="20"/>
      <c r="X254" s="20"/>
      <c r="Y254" s="20"/>
      <c r="Z254" s="20"/>
      <c r="AA254" s="20"/>
      <c r="AB254" s="20"/>
    </row>
    <row r="255" spans="1:28">
      <c r="A255" s="32"/>
      <c r="B255" s="31" t="s">
        <v>282</v>
      </c>
      <c r="C255" s="30"/>
      <c r="D255" s="29">
        <v>0.3</v>
      </c>
      <c r="E255" s="29">
        <v>0.6</v>
      </c>
      <c r="F255" s="28"/>
      <c r="G255" s="27">
        <v>17.09</v>
      </c>
      <c r="H255" s="26" t="s">
        <v>73</v>
      </c>
      <c r="I255" s="24"/>
      <c r="J255" s="36">
        <f>((D255+E255+D255+E255)*G255/0.25)*J197</f>
        <v>61.400951999999997</v>
      </c>
      <c r="K255" s="25"/>
      <c r="L255" s="21">
        <f>(4*G255)*L197</f>
        <v>60.703679999999999</v>
      </c>
      <c r="M255" s="23"/>
      <c r="N255" s="23"/>
      <c r="O255" s="22">
        <f>(G255/0.75)+(2*(G255/4))*O197</f>
        <v>55.71055166666666</v>
      </c>
      <c r="P255" s="20">
        <f t="shared" si="94"/>
        <v>195.50518366666665</v>
      </c>
      <c r="Q255" s="20">
        <f t="shared" si="87"/>
        <v>5.8651555099999992</v>
      </c>
      <c r="R255" s="20"/>
      <c r="S255" s="20">
        <f t="shared" si="95"/>
        <v>3.0762</v>
      </c>
      <c r="T255" s="20">
        <f t="shared" si="96"/>
        <v>25.634999999999998</v>
      </c>
      <c r="U255" s="20">
        <f t="shared" si="93"/>
        <v>8.2780541999999979</v>
      </c>
      <c r="V255" s="20">
        <f t="shared" si="91"/>
        <v>8.4782635499999994</v>
      </c>
      <c r="W255" s="20"/>
      <c r="X255" s="20"/>
      <c r="Y255" s="20"/>
      <c r="Z255" s="20"/>
      <c r="AA255" s="20"/>
      <c r="AB255" s="20"/>
    </row>
    <row r="256" spans="1:28">
      <c r="A256" s="32"/>
      <c r="B256" s="31" t="s">
        <v>283</v>
      </c>
      <c r="C256" s="30"/>
      <c r="D256" s="29">
        <v>0.3</v>
      </c>
      <c r="E256" s="29">
        <v>0.6</v>
      </c>
      <c r="F256" s="28"/>
      <c r="G256" s="27">
        <v>52.12</v>
      </c>
      <c r="H256" s="26" t="s">
        <v>73</v>
      </c>
      <c r="I256" s="24"/>
      <c r="J256" s="36">
        <f>((D256+E256+D256+E256)*G256/0.2)*J197</f>
        <v>234.07091999999997</v>
      </c>
      <c r="K256" s="25"/>
      <c r="L256" s="21"/>
      <c r="M256" s="23"/>
      <c r="N256" s="23"/>
      <c r="O256" s="22">
        <f>(8*G256)*O197</f>
        <v>1606.5468800000001</v>
      </c>
      <c r="P256" s="20">
        <f t="shared" si="94"/>
        <v>1893.3378</v>
      </c>
      <c r="Q256" s="20">
        <f t="shared" si="87"/>
        <v>56.800134</v>
      </c>
      <c r="R256" s="20"/>
      <c r="S256" s="20">
        <f t="shared" si="95"/>
        <v>9.3815999999999988</v>
      </c>
      <c r="T256" s="20">
        <f t="shared" si="96"/>
        <v>78.179999999999993</v>
      </c>
      <c r="U256" s="20">
        <f t="shared" si="93"/>
        <v>25.245885599999994</v>
      </c>
      <c r="V256" s="20">
        <f t="shared" si="91"/>
        <v>25.856471399999997</v>
      </c>
      <c r="W256" s="20"/>
      <c r="X256" s="20"/>
      <c r="Y256" s="20"/>
      <c r="Z256" s="20"/>
      <c r="AA256" s="20"/>
      <c r="AB256" s="20"/>
    </row>
    <row r="257" spans="1:28">
      <c r="A257" s="32"/>
      <c r="B257" s="31" t="s">
        <v>317</v>
      </c>
      <c r="C257" s="30"/>
      <c r="D257" s="29">
        <v>0.3</v>
      </c>
      <c r="E257" s="29">
        <v>0.3</v>
      </c>
      <c r="F257" s="28"/>
      <c r="G257" s="27">
        <v>21.5</v>
      </c>
      <c r="H257" s="26" t="s">
        <v>73</v>
      </c>
      <c r="I257" s="23"/>
      <c r="J257" s="36">
        <f>((D257+E257+D257+E257)*G257/0.19)*J197</f>
        <v>67.758947368421047</v>
      </c>
      <c r="K257" s="25"/>
      <c r="L257" s="21">
        <f>(G257*8)*L197</f>
        <v>152.73599999999999</v>
      </c>
      <c r="M257" s="23"/>
      <c r="N257" s="23"/>
      <c r="O257" s="22"/>
      <c r="P257" s="20">
        <f>SUM(I257:O257)</f>
        <v>220.49494736842104</v>
      </c>
      <c r="Q257" s="20">
        <f t="shared" si="87"/>
        <v>6.6148484210526313</v>
      </c>
      <c r="R257" s="20"/>
      <c r="S257" s="20">
        <f t="shared" si="95"/>
        <v>1.9349999999999998</v>
      </c>
      <c r="T257" s="20">
        <f t="shared" si="96"/>
        <v>19.349999999999998</v>
      </c>
      <c r="U257" s="20">
        <f>T257*30%</f>
        <v>5.8049999999999988</v>
      </c>
      <c r="V257" s="20">
        <f t="shared" si="91"/>
        <v>6.2887499999999994</v>
      </c>
      <c r="W257" s="20"/>
      <c r="X257" s="20"/>
      <c r="Y257" s="20"/>
      <c r="Z257" s="20"/>
      <c r="AA257" s="20"/>
      <c r="AB257" s="20"/>
    </row>
    <row r="258" spans="1:28">
      <c r="A258" s="283"/>
      <c r="B258" s="31" t="s">
        <v>318</v>
      </c>
      <c r="C258" s="30"/>
      <c r="D258" s="29">
        <v>0.45</v>
      </c>
      <c r="E258" s="29">
        <v>0.45</v>
      </c>
      <c r="F258" s="28"/>
      <c r="G258" s="27">
        <v>12.9</v>
      </c>
      <c r="H258" s="26" t="s">
        <v>73</v>
      </c>
      <c r="I258" s="23"/>
      <c r="J258" s="36">
        <f>((D258+E258+D258+E258)*G258/0.25)*J197</f>
        <v>46.347120000000004</v>
      </c>
      <c r="K258" s="25"/>
      <c r="L258" s="21"/>
      <c r="M258" s="23">
        <f>(G258*8)*M197</f>
        <v>162.84960000000001</v>
      </c>
      <c r="N258" s="23"/>
      <c r="O258" s="22"/>
      <c r="P258" s="20">
        <f>SUM(I258:O258)</f>
        <v>209.19672000000003</v>
      </c>
      <c r="Q258" s="20">
        <f t="shared" si="87"/>
        <v>6.275901600000001</v>
      </c>
      <c r="R258" s="20"/>
      <c r="S258" s="20">
        <f t="shared" si="95"/>
        <v>2.6122500000000004</v>
      </c>
      <c r="T258" s="20">
        <f t="shared" si="96"/>
        <v>17.415000000000003</v>
      </c>
      <c r="U258" s="20">
        <f>T258*30%</f>
        <v>5.2245000000000008</v>
      </c>
      <c r="V258" s="20">
        <f t="shared" si="91"/>
        <v>5.6598750000000013</v>
      </c>
      <c r="W258" s="20"/>
      <c r="X258" s="20"/>
      <c r="Y258" s="20"/>
      <c r="Z258" s="20"/>
      <c r="AA258" s="20"/>
      <c r="AB258" s="20"/>
    </row>
    <row r="259" spans="1:28">
      <c r="A259" s="283"/>
      <c r="B259" s="31" t="s">
        <v>319</v>
      </c>
      <c r="C259" s="30"/>
      <c r="D259" s="29">
        <v>0.5</v>
      </c>
      <c r="E259" s="29">
        <v>0.5</v>
      </c>
      <c r="F259" s="28"/>
      <c r="G259" s="27">
        <v>172</v>
      </c>
      <c r="H259" s="26" t="s">
        <v>73</v>
      </c>
      <c r="I259" s="23"/>
      <c r="J259" s="36">
        <f>((D259+E259+D259+E259)*G259/0.3)*J197</f>
        <v>572.18666666666672</v>
      </c>
      <c r="K259" s="25"/>
      <c r="L259" s="21"/>
      <c r="M259" s="23"/>
      <c r="N259" s="23">
        <f>(G259*8)*N197</f>
        <v>3393.2160000000003</v>
      </c>
      <c r="O259" s="22"/>
      <c r="P259" s="20">
        <f>SUM(I259:O259)</f>
        <v>3965.4026666666668</v>
      </c>
      <c r="Q259" s="20">
        <f t="shared" si="87"/>
        <v>118.96208</v>
      </c>
      <c r="R259" s="20"/>
      <c r="S259" s="20">
        <f t="shared" si="95"/>
        <v>43</v>
      </c>
      <c r="T259" s="20">
        <f t="shared" si="96"/>
        <v>258</v>
      </c>
      <c r="U259" s="20">
        <f>T259*30%</f>
        <v>77.399999999999991</v>
      </c>
      <c r="V259" s="20">
        <f t="shared" si="91"/>
        <v>83.85</v>
      </c>
      <c r="W259" s="20"/>
      <c r="X259" s="20"/>
      <c r="Y259" s="20"/>
      <c r="Z259" s="20"/>
      <c r="AA259" s="20"/>
      <c r="AB259" s="20"/>
    </row>
    <row r="260" spans="1:28">
      <c r="A260" s="283"/>
      <c r="B260" s="31" t="s">
        <v>320</v>
      </c>
      <c r="C260" s="30"/>
      <c r="D260" s="29">
        <v>0.5</v>
      </c>
      <c r="E260" s="29">
        <v>0.5</v>
      </c>
      <c r="F260" s="28"/>
      <c r="G260" s="27">
        <v>142</v>
      </c>
      <c r="H260" s="26" t="s">
        <v>73</v>
      </c>
      <c r="I260" s="23"/>
      <c r="J260" s="36">
        <f>((D260+E260+D260+E260)*G260/0.3)*J197</f>
        <v>472.38666666666671</v>
      </c>
      <c r="K260" s="25"/>
      <c r="L260" s="21"/>
      <c r="M260" s="23"/>
      <c r="N260" s="23">
        <f>(G260*8)*N197</f>
        <v>2801.3760000000002</v>
      </c>
      <c r="O260" s="22"/>
      <c r="P260" s="20">
        <f>SUM(I260:O260)</f>
        <v>3273.762666666667</v>
      </c>
      <c r="Q260" s="20">
        <f t="shared" si="87"/>
        <v>98.212880000000013</v>
      </c>
      <c r="R260" s="20"/>
      <c r="S260" s="20">
        <f t="shared" si="95"/>
        <v>35.5</v>
      </c>
      <c r="T260" s="20">
        <f t="shared" si="96"/>
        <v>213</v>
      </c>
      <c r="U260" s="20">
        <f>T260*30%</f>
        <v>63.9</v>
      </c>
      <c r="V260" s="20">
        <f t="shared" si="91"/>
        <v>69.224999999999994</v>
      </c>
      <c r="W260" s="20"/>
      <c r="X260" s="20"/>
      <c r="Y260" s="20"/>
      <c r="Z260" s="20"/>
      <c r="AA260" s="20"/>
      <c r="AB260" s="20"/>
    </row>
    <row r="261" spans="1:28">
      <c r="A261" s="283"/>
      <c r="B261" s="31" t="s">
        <v>284</v>
      </c>
      <c r="C261" s="24" t="s">
        <v>94</v>
      </c>
      <c r="D261" s="29"/>
      <c r="E261" s="29"/>
      <c r="F261" s="28">
        <v>0.05</v>
      </c>
      <c r="G261" s="27">
        <f>'Architecture '!T153</f>
        <v>161</v>
      </c>
      <c r="H261" s="26" t="s">
        <v>72</v>
      </c>
      <c r="I261" s="24"/>
      <c r="J261" s="36"/>
      <c r="K261" s="25"/>
      <c r="L261" s="21"/>
      <c r="M261" s="23"/>
      <c r="N261" s="23"/>
      <c r="O261" s="22"/>
      <c r="P261" s="20">
        <f>SUM(E261:O261)</f>
        <v>161.05000000000001</v>
      </c>
      <c r="Q261" s="20">
        <f t="shared" si="87"/>
        <v>4.8315000000000001</v>
      </c>
      <c r="R261" s="20"/>
      <c r="S261" s="20">
        <f>+F261*G261</f>
        <v>8.0500000000000007</v>
      </c>
      <c r="T261" s="20">
        <f>G261</f>
        <v>161</v>
      </c>
      <c r="U261" s="20">
        <f>(T261*0.03)*10.764</f>
        <v>51.990119999999997</v>
      </c>
      <c r="V261" s="20">
        <f t="shared" si="91"/>
        <v>53.247529999999998</v>
      </c>
      <c r="W261" s="20"/>
      <c r="X261" s="20"/>
      <c r="Y261" s="20"/>
      <c r="Z261" s="20"/>
      <c r="AA261" s="20"/>
      <c r="AB261" s="20">
        <f>G261</f>
        <v>161</v>
      </c>
    </row>
    <row r="262" spans="1:28">
      <c r="A262" s="283"/>
      <c r="B262" s="31" t="s">
        <v>273</v>
      </c>
      <c r="C262" s="30"/>
      <c r="D262" s="29"/>
      <c r="E262" s="29"/>
      <c r="F262" s="28"/>
      <c r="G262" s="27"/>
      <c r="H262" s="26"/>
      <c r="I262" s="24"/>
      <c r="J262" s="36"/>
      <c r="K262" s="25"/>
      <c r="L262" s="21"/>
      <c r="M262" s="23"/>
      <c r="N262" s="23"/>
      <c r="O262" s="22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</row>
    <row r="263" spans="1:28">
      <c r="A263" s="283"/>
      <c r="B263" s="31" t="s">
        <v>25</v>
      </c>
      <c r="C263" s="30"/>
      <c r="D263" s="29"/>
      <c r="E263" s="29"/>
      <c r="F263" s="28"/>
      <c r="G263" s="27"/>
      <c r="H263" s="26"/>
      <c r="I263" s="24"/>
      <c r="J263" s="36"/>
      <c r="K263" s="25"/>
      <c r="L263" s="21"/>
      <c r="M263" s="23"/>
      <c r="N263" s="23"/>
      <c r="O263" s="22"/>
      <c r="P263" s="20">
        <f t="shared" ref="P263:P269" si="97">SUM(I263:O263)</f>
        <v>0</v>
      </c>
      <c r="Q263" s="20">
        <f t="shared" ref="Q263:Q269" si="98">(P263*0.03)</f>
        <v>0</v>
      </c>
      <c r="R263" s="20">
        <f t="shared" ref="R263:R269" si="99">D263*G263*0.05</f>
        <v>0</v>
      </c>
      <c r="S263" s="20">
        <f t="shared" ref="S263:S269" si="100">D263*E263*G263</f>
        <v>0</v>
      </c>
      <c r="T263" s="20">
        <f t="shared" ref="T263:T269" si="101">(D263+E263+E263)*G263</f>
        <v>0</v>
      </c>
      <c r="U263" s="20">
        <f t="shared" ref="U263:U269" si="102">T263*30%</f>
        <v>0</v>
      </c>
      <c r="V263" s="20">
        <f t="shared" ref="V263:V269" si="103">(T263+U263)*0.25</f>
        <v>0</v>
      </c>
      <c r="W263" s="20">
        <f t="shared" ref="W263:W269" si="104">+D263*G263*0.1</f>
        <v>0</v>
      </c>
      <c r="X263" s="20"/>
      <c r="Y263" s="20"/>
      <c r="Z263" s="20"/>
      <c r="AA263" s="20"/>
      <c r="AB263" s="20"/>
    </row>
    <row r="264" spans="1:28">
      <c r="A264" s="283"/>
      <c r="B264" s="31" t="s">
        <v>70</v>
      </c>
      <c r="C264" s="30"/>
      <c r="D264" s="29"/>
      <c r="E264" s="29"/>
      <c r="F264" s="28"/>
      <c r="G264" s="27">
        <v>33087.910000000003</v>
      </c>
      <c r="H264" s="26" t="s">
        <v>65</v>
      </c>
      <c r="I264" s="24"/>
      <c r="J264" s="36"/>
      <c r="K264" s="25"/>
      <c r="L264" s="21"/>
      <c r="M264" s="23"/>
      <c r="N264" s="23"/>
      <c r="O264" s="22"/>
      <c r="P264" s="20">
        <f t="shared" si="97"/>
        <v>0</v>
      </c>
      <c r="Q264" s="20">
        <f t="shared" si="98"/>
        <v>0</v>
      </c>
      <c r="R264" s="20">
        <f t="shared" si="99"/>
        <v>0</v>
      </c>
      <c r="S264" s="20">
        <f t="shared" si="100"/>
        <v>0</v>
      </c>
      <c r="T264" s="20">
        <f t="shared" si="101"/>
        <v>0</v>
      </c>
      <c r="U264" s="20">
        <f t="shared" si="102"/>
        <v>0</v>
      </c>
      <c r="V264" s="20">
        <f t="shared" si="103"/>
        <v>0</v>
      </c>
      <c r="W264" s="20">
        <f t="shared" si="104"/>
        <v>0</v>
      </c>
      <c r="X264" s="20"/>
      <c r="Y264" s="20"/>
      <c r="Z264" s="20"/>
      <c r="AA264" s="20"/>
      <c r="AB264" s="20"/>
    </row>
    <row r="265" spans="1:28">
      <c r="A265" s="283"/>
      <c r="B265" s="31" t="s">
        <v>69</v>
      </c>
      <c r="C265" s="30"/>
      <c r="D265" s="29"/>
      <c r="E265" s="29"/>
      <c r="F265" s="28"/>
      <c r="G265" s="27">
        <v>3043.26</v>
      </c>
      <c r="H265" s="26" t="s">
        <v>65</v>
      </c>
      <c r="I265" s="24"/>
      <c r="J265" s="36"/>
      <c r="K265" s="25"/>
      <c r="L265" s="21"/>
      <c r="M265" s="23"/>
      <c r="N265" s="23"/>
      <c r="O265" s="22"/>
      <c r="P265" s="20">
        <f t="shared" si="97"/>
        <v>0</v>
      </c>
      <c r="Q265" s="20">
        <f t="shared" si="98"/>
        <v>0</v>
      </c>
      <c r="R265" s="20">
        <f t="shared" si="99"/>
        <v>0</v>
      </c>
      <c r="S265" s="20">
        <f t="shared" si="100"/>
        <v>0</v>
      </c>
      <c r="T265" s="20">
        <f t="shared" si="101"/>
        <v>0</v>
      </c>
      <c r="U265" s="20">
        <f t="shared" si="102"/>
        <v>0</v>
      </c>
      <c r="V265" s="20">
        <f t="shared" si="103"/>
        <v>0</v>
      </c>
      <c r="W265" s="20">
        <f t="shared" si="104"/>
        <v>0</v>
      </c>
      <c r="X265" s="20"/>
      <c r="Y265" s="20"/>
      <c r="Z265" s="20"/>
      <c r="AA265" s="20"/>
      <c r="AB265" s="20"/>
    </row>
    <row r="266" spans="1:28">
      <c r="A266" s="283"/>
      <c r="B266" s="31" t="s">
        <v>68</v>
      </c>
      <c r="C266" s="30"/>
      <c r="D266" s="29"/>
      <c r="E266" s="29"/>
      <c r="F266" s="28"/>
      <c r="G266" s="27">
        <v>15142.1</v>
      </c>
      <c r="H266" s="26" t="s">
        <v>65</v>
      </c>
      <c r="I266" s="24"/>
      <c r="J266" s="36"/>
      <c r="K266" s="25"/>
      <c r="L266" s="21"/>
      <c r="M266" s="23"/>
      <c r="N266" s="23"/>
      <c r="O266" s="22"/>
      <c r="P266" s="20">
        <f t="shared" si="97"/>
        <v>0</v>
      </c>
      <c r="Q266" s="20">
        <f t="shared" si="98"/>
        <v>0</v>
      </c>
      <c r="R266" s="20">
        <f t="shared" si="99"/>
        <v>0</v>
      </c>
      <c r="S266" s="20">
        <f t="shared" si="100"/>
        <v>0</v>
      </c>
      <c r="T266" s="20">
        <f t="shared" si="101"/>
        <v>0</v>
      </c>
      <c r="U266" s="20">
        <f t="shared" si="102"/>
        <v>0</v>
      </c>
      <c r="V266" s="20">
        <f t="shared" si="103"/>
        <v>0</v>
      </c>
      <c r="W266" s="20">
        <f t="shared" si="104"/>
        <v>0</v>
      </c>
      <c r="X266" s="20"/>
      <c r="Y266" s="20"/>
      <c r="Z266" s="20"/>
      <c r="AA266" s="20"/>
      <c r="AB266" s="20"/>
    </row>
    <row r="267" spans="1:28">
      <c r="A267" s="283"/>
      <c r="B267" s="31" t="s">
        <v>26</v>
      </c>
      <c r="C267" s="30"/>
      <c r="D267" s="29"/>
      <c r="E267" s="29"/>
      <c r="F267" s="28"/>
      <c r="G267" s="27"/>
      <c r="H267" s="26"/>
      <c r="I267" s="24"/>
      <c r="J267" s="36"/>
      <c r="K267" s="25"/>
      <c r="L267" s="21"/>
      <c r="M267" s="23"/>
      <c r="N267" s="23"/>
      <c r="O267" s="22"/>
      <c r="P267" s="20">
        <f t="shared" si="97"/>
        <v>0</v>
      </c>
      <c r="Q267" s="20">
        <f t="shared" si="98"/>
        <v>0</v>
      </c>
      <c r="R267" s="20">
        <f t="shared" si="99"/>
        <v>0</v>
      </c>
      <c r="S267" s="20">
        <f t="shared" si="100"/>
        <v>0</v>
      </c>
      <c r="T267" s="20">
        <f t="shared" si="101"/>
        <v>0</v>
      </c>
      <c r="U267" s="20">
        <f t="shared" si="102"/>
        <v>0</v>
      </c>
      <c r="V267" s="20">
        <f t="shared" si="103"/>
        <v>0</v>
      </c>
      <c r="W267" s="20">
        <f t="shared" si="104"/>
        <v>0</v>
      </c>
      <c r="X267" s="20"/>
      <c r="Y267" s="20"/>
      <c r="Z267" s="20"/>
      <c r="AA267" s="20"/>
      <c r="AB267" s="20"/>
    </row>
    <row r="268" spans="1:28">
      <c r="A268" s="283"/>
      <c r="B268" s="35" t="s">
        <v>67</v>
      </c>
      <c r="C268" s="34"/>
      <c r="D268" s="33"/>
      <c r="E268" s="33"/>
      <c r="F268" s="28"/>
      <c r="G268" s="27">
        <v>5273.73</v>
      </c>
      <c r="H268" s="26" t="s">
        <v>65</v>
      </c>
      <c r="I268" s="24"/>
      <c r="J268" s="36"/>
      <c r="K268" s="25"/>
      <c r="L268" s="21"/>
      <c r="M268" s="23"/>
      <c r="N268" s="23"/>
      <c r="O268" s="22"/>
      <c r="P268" s="20">
        <f t="shared" si="97"/>
        <v>0</v>
      </c>
      <c r="Q268" s="20">
        <f t="shared" si="98"/>
        <v>0</v>
      </c>
      <c r="R268" s="20">
        <f t="shared" si="99"/>
        <v>0</v>
      </c>
      <c r="S268" s="20">
        <f t="shared" si="100"/>
        <v>0</v>
      </c>
      <c r="T268" s="20">
        <f t="shared" si="101"/>
        <v>0</v>
      </c>
      <c r="U268" s="20">
        <f t="shared" si="102"/>
        <v>0</v>
      </c>
      <c r="V268" s="20">
        <f t="shared" si="103"/>
        <v>0</v>
      </c>
      <c r="W268" s="20">
        <f t="shared" si="104"/>
        <v>0</v>
      </c>
      <c r="X268" s="20"/>
      <c r="Y268" s="20"/>
      <c r="Z268" s="20"/>
      <c r="AA268" s="20"/>
      <c r="AB268" s="20"/>
    </row>
    <row r="269" spans="1:28">
      <c r="A269" s="283"/>
      <c r="B269" s="35" t="s">
        <v>66</v>
      </c>
      <c r="C269" s="34"/>
      <c r="D269" s="33"/>
      <c r="E269" s="33"/>
      <c r="F269" s="28"/>
      <c r="G269" s="27">
        <v>1897.45</v>
      </c>
      <c r="H269" s="26" t="s">
        <v>65</v>
      </c>
      <c r="I269" s="24"/>
      <c r="J269" s="36"/>
      <c r="K269" s="25"/>
      <c r="L269" s="21"/>
      <c r="M269" s="23"/>
      <c r="N269" s="23"/>
      <c r="O269" s="22"/>
      <c r="P269" s="20">
        <f t="shared" si="97"/>
        <v>0</v>
      </c>
      <c r="Q269" s="20">
        <f t="shared" si="98"/>
        <v>0</v>
      </c>
      <c r="R269" s="20">
        <f t="shared" si="99"/>
        <v>0</v>
      </c>
      <c r="S269" s="20">
        <f t="shared" si="100"/>
        <v>0</v>
      </c>
      <c r="T269" s="20">
        <f t="shared" si="101"/>
        <v>0</v>
      </c>
      <c r="U269" s="20">
        <f t="shared" si="102"/>
        <v>0</v>
      </c>
      <c r="V269" s="20">
        <f t="shared" si="103"/>
        <v>0</v>
      </c>
      <c r="W269" s="20">
        <f t="shared" si="104"/>
        <v>0</v>
      </c>
      <c r="X269" s="20"/>
      <c r="Y269" s="20"/>
      <c r="Z269" s="20"/>
      <c r="AA269" s="20"/>
      <c r="AB269" s="20"/>
    </row>
    <row r="270" spans="1:28">
      <c r="A270" s="283"/>
      <c r="B270" s="35"/>
      <c r="C270" s="34"/>
      <c r="D270" s="33"/>
      <c r="E270" s="33"/>
      <c r="F270" s="28"/>
      <c r="G270" s="27"/>
      <c r="H270" s="26"/>
      <c r="I270" s="24"/>
      <c r="J270" s="36"/>
      <c r="K270" s="25"/>
      <c r="L270" s="21"/>
      <c r="M270" s="23"/>
      <c r="N270" s="23"/>
      <c r="O270" s="22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</row>
    <row r="271" spans="1:28">
      <c r="A271" s="283"/>
      <c r="B271" s="35"/>
      <c r="C271" s="34"/>
      <c r="D271" s="33"/>
      <c r="E271" s="33"/>
      <c r="F271" s="28"/>
      <c r="G271" s="27"/>
      <c r="H271" s="26"/>
      <c r="I271" s="24"/>
      <c r="J271" s="36"/>
      <c r="K271" s="25"/>
      <c r="L271" s="21"/>
      <c r="M271" s="23"/>
      <c r="N271" s="23"/>
      <c r="O271" s="22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</row>
    <row r="272" spans="1:28">
      <c r="A272" s="283"/>
      <c r="B272" s="35"/>
      <c r="C272" s="34"/>
      <c r="D272" s="33"/>
      <c r="E272" s="33"/>
      <c r="F272" s="28"/>
      <c r="G272" s="27"/>
      <c r="H272" s="26"/>
      <c r="I272" s="24"/>
      <c r="J272" s="36"/>
      <c r="K272" s="25"/>
      <c r="L272" s="21"/>
      <c r="M272" s="23"/>
      <c r="N272" s="23"/>
      <c r="O272" s="22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</row>
    <row r="273" spans="1:28">
      <c r="A273" s="283"/>
      <c r="B273" s="35"/>
      <c r="C273" s="34"/>
      <c r="D273" s="33"/>
      <c r="E273" s="33"/>
      <c r="F273" s="28"/>
      <c r="G273" s="27"/>
      <c r="H273" s="26"/>
      <c r="I273" s="24"/>
      <c r="J273" s="36"/>
      <c r="K273" s="25"/>
      <c r="L273" s="21"/>
      <c r="M273" s="23"/>
      <c r="N273" s="23"/>
      <c r="O273" s="22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</row>
    <row r="274" spans="1:28">
      <c r="A274" s="283"/>
      <c r="B274" s="35"/>
      <c r="C274" s="34"/>
      <c r="D274" s="33"/>
      <c r="E274" s="33"/>
      <c r="F274" s="28"/>
      <c r="G274" s="27"/>
      <c r="H274" s="26"/>
      <c r="I274" s="24"/>
      <c r="J274" s="36"/>
      <c r="K274" s="25"/>
      <c r="L274" s="21"/>
      <c r="M274" s="23"/>
      <c r="N274" s="23"/>
      <c r="O274" s="22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</row>
    <row r="275" spans="1:28">
      <c r="A275" s="283"/>
      <c r="B275" s="35"/>
      <c r="C275" s="34"/>
      <c r="D275" s="33"/>
      <c r="E275" s="33"/>
      <c r="F275" s="28"/>
      <c r="G275" s="27"/>
      <c r="H275" s="26"/>
      <c r="I275" s="24"/>
      <c r="J275" s="36"/>
      <c r="K275" s="25"/>
      <c r="L275" s="21"/>
      <c r="M275" s="23"/>
      <c r="N275" s="23"/>
      <c r="O275" s="22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</row>
    <row r="276" spans="1:28">
      <c r="A276" s="283"/>
      <c r="B276" s="35"/>
      <c r="C276" s="34"/>
      <c r="D276" s="33"/>
      <c r="E276" s="33"/>
      <c r="F276" s="28"/>
      <c r="G276" s="27"/>
      <c r="H276" s="26"/>
      <c r="I276" s="24"/>
      <c r="J276" s="36"/>
      <c r="K276" s="25"/>
      <c r="L276" s="21"/>
      <c r="M276" s="23"/>
      <c r="N276" s="23"/>
      <c r="O276" s="22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</row>
    <row r="277" spans="1:28">
      <c r="A277" s="283"/>
      <c r="B277" s="35"/>
      <c r="C277" s="34"/>
      <c r="D277" s="33"/>
      <c r="E277" s="33"/>
      <c r="F277" s="28"/>
      <c r="G277" s="27"/>
      <c r="H277" s="26"/>
      <c r="I277" s="24"/>
      <c r="J277" s="36"/>
      <c r="K277" s="25"/>
      <c r="L277" s="21"/>
      <c r="M277" s="23"/>
      <c r="N277" s="23"/>
      <c r="O277" s="22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</row>
    <row r="278" spans="1:28">
      <c r="A278" s="283"/>
      <c r="B278" s="1642" t="s">
        <v>64</v>
      </c>
      <c r="C278" s="1643"/>
      <c r="D278" s="1643"/>
      <c r="E278" s="1643"/>
      <c r="F278" s="1644"/>
      <c r="G278" s="27"/>
      <c r="H278" s="26"/>
      <c r="I278" s="24"/>
      <c r="J278" s="36"/>
      <c r="K278" s="25"/>
      <c r="L278" s="21"/>
      <c r="M278" s="23"/>
      <c r="N278" s="23"/>
      <c r="O278" s="22"/>
      <c r="P278" s="20">
        <f>SUM(I278:O278)</f>
        <v>0</v>
      </c>
      <c r="Q278" s="20">
        <f>(P278*0.03)</f>
        <v>0</v>
      </c>
      <c r="R278" s="20">
        <f>D278*G278*0.05</f>
        <v>0</v>
      </c>
      <c r="S278" s="20">
        <f>D278*E278*G278</f>
        <v>0</v>
      </c>
      <c r="T278" s="20">
        <f>(D278+E278+E278)*G278</f>
        <v>0</v>
      </c>
      <c r="U278" s="20">
        <f>T278*30%</f>
        <v>0</v>
      </c>
      <c r="V278" s="20">
        <f>(T278+U278)*0.25</f>
        <v>0</v>
      </c>
      <c r="W278" s="20">
        <f>+D278*G278*0.1</f>
        <v>0</v>
      </c>
      <c r="X278" s="20"/>
      <c r="Y278" s="20"/>
      <c r="Z278" s="20"/>
      <c r="AA278" s="20"/>
      <c r="AB278" s="20"/>
    </row>
    <row r="279" spans="1:28">
      <c r="A279" s="283"/>
      <c r="B279" s="31" t="s">
        <v>274</v>
      </c>
      <c r="C279" s="30"/>
      <c r="D279" s="29">
        <v>1.3</v>
      </c>
      <c r="E279" s="29">
        <f>4.75*4</f>
        <v>19</v>
      </c>
      <c r="F279" s="28">
        <v>0.3</v>
      </c>
      <c r="G279" s="27">
        <v>3</v>
      </c>
      <c r="H279" s="26" t="s">
        <v>63</v>
      </c>
      <c r="I279" s="24">
        <f>(D279*E279/0.25)+(E279*D279/0.25)*I197</f>
        <v>120.7336</v>
      </c>
      <c r="J279" s="36">
        <f>(D279*E279/0.25)*J197</f>
        <v>49.301200000000001</v>
      </c>
      <c r="K279" s="25"/>
      <c r="L279" s="21">
        <f>(E279*D279/0.25)*L197</f>
        <v>87.734399999999994</v>
      </c>
      <c r="M279" s="23"/>
      <c r="N279" s="23"/>
      <c r="O279" s="22"/>
      <c r="P279" s="20">
        <f>SUM(I279:O279)</f>
        <v>257.76919999999996</v>
      </c>
      <c r="Q279" s="20">
        <f>(P279*0.03)</f>
        <v>7.7330759999999987</v>
      </c>
      <c r="R279" s="20"/>
      <c r="S279" s="20">
        <f>(D279*E279*F279)*G279</f>
        <v>22.229999999999997</v>
      </c>
      <c r="T279" s="20">
        <f>(D279+E279+E279)*G279</f>
        <v>117.89999999999999</v>
      </c>
      <c r="U279" s="20">
        <f>(T279*0.03)*10.764</f>
        <v>38.072267999999994</v>
      </c>
      <c r="V279" s="20">
        <f>(T279+U279)*0.25</f>
        <v>38.993066999999996</v>
      </c>
      <c r="W279" s="20"/>
      <c r="X279" s="20"/>
      <c r="Y279" s="20"/>
      <c r="Z279" s="20"/>
      <c r="AA279" s="20"/>
      <c r="AB279" s="20"/>
    </row>
    <row r="280" spans="1:28">
      <c r="A280" s="283"/>
      <c r="B280" s="31" t="s">
        <v>275</v>
      </c>
      <c r="C280" s="30"/>
      <c r="D280" s="29">
        <v>1.6</v>
      </c>
      <c r="E280" s="29">
        <f>4.65*4</f>
        <v>18.600000000000001</v>
      </c>
      <c r="F280" s="28">
        <v>0.3</v>
      </c>
      <c r="G280" s="27">
        <v>3</v>
      </c>
      <c r="H280" s="26" t="s">
        <v>63</v>
      </c>
      <c r="I280" s="24">
        <f>(D280*E280/0.25)+(E280*D280/0.25)*I118</f>
        <v>119.04000000000002</v>
      </c>
      <c r="J280" s="36">
        <f>(D280*E280/0.25)*J197</f>
        <v>59.400960000000012</v>
      </c>
      <c r="K280" s="25"/>
      <c r="L280" s="21">
        <f>(E280*D280/0.25)*L197</f>
        <v>105.70752000000002</v>
      </c>
      <c r="M280" s="23"/>
      <c r="N280" s="23"/>
      <c r="O280" s="22"/>
      <c r="P280" s="20">
        <f>SUM(I280:O280)</f>
        <v>284.14848000000006</v>
      </c>
      <c r="Q280" s="20">
        <f>(P280*0.03)</f>
        <v>8.5244544000000015</v>
      </c>
      <c r="R280" s="20"/>
      <c r="S280" s="20">
        <f>(D280*E280*F280)*G280</f>
        <v>26.784000000000002</v>
      </c>
      <c r="T280" s="20">
        <f>(D280+E280+E280)*G280</f>
        <v>116.4</v>
      </c>
      <c r="U280" s="20">
        <f>(T280*0.03)*10.764</f>
        <v>37.587888</v>
      </c>
      <c r="V280" s="20">
        <f>(T280+U280)*0.25</f>
        <v>38.496972</v>
      </c>
      <c r="W280" s="20"/>
      <c r="X280" s="20"/>
      <c r="Y280" s="20"/>
      <c r="Z280" s="20"/>
      <c r="AA280" s="20"/>
      <c r="AB280" s="20"/>
    </row>
    <row r="281" spans="1:28">
      <c r="A281" s="283"/>
      <c r="B281" s="31" t="s">
        <v>276</v>
      </c>
      <c r="C281" s="30"/>
      <c r="D281" s="29">
        <v>1.2</v>
      </c>
      <c r="E281" s="29">
        <f>3.95*4</f>
        <v>15.8</v>
      </c>
      <c r="F281" s="28">
        <v>0.3</v>
      </c>
      <c r="G281" s="27">
        <v>3</v>
      </c>
      <c r="H281" s="26" t="s">
        <v>63</v>
      </c>
      <c r="I281" s="24">
        <f>(D281*E281/0.25)+(E281*D281/0.25)*I197</f>
        <v>92.676479999999998</v>
      </c>
      <c r="J281" s="36">
        <f>(D281*E281/0.25)*J197</f>
        <v>37.844160000000002</v>
      </c>
      <c r="K281" s="25"/>
      <c r="L281" s="21">
        <f>(E281*D281/0.25)*L197</f>
        <v>67.345920000000007</v>
      </c>
      <c r="M281" s="23"/>
      <c r="N281" s="23"/>
      <c r="O281" s="22"/>
      <c r="P281" s="20">
        <f>SUM(I281:O281)</f>
        <v>197.86656000000002</v>
      </c>
      <c r="Q281" s="20">
        <f>(P281*0.03)</f>
        <v>5.9359968000000007</v>
      </c>
      <c r="R281" s="20"/>
      <c r="S281" s="20">
        <f>(D281*E281*F281)*G281</f>
        <v>17.064</v>
      </c>
      <c r="T281" s="20">
        <f>(D281+E281+E281)*G281</f>
        <v>98.399999999999991</v>
      </c>
      <c r="U281" s="20">
        <f>(T281*0.03)*10.764</f>
        <v>31.775327999999991</v>
      </c>
      <c r="V281" s="20">
        <f>(T281+U281)*0.25</f>
        <v>32.543831999999995</v>
      </c>
      <c r="W281" s="20"/>
      <c r="X281" s="20"/>
      <c r="Y281" s="20"/>
      <c r="Z281" s="20"/>
      <c r="AA281" s="20"/>
      <c r="AB281" s="20"/>
    </row>
    <row r="282" spans="1:28">
      <c r="A282" s="283"/>
      <c r="B282" s="31" t="s">
        <v>293</v>
      </c>
      <c r="C282" s="30"/>
      <c r="D282" s="29"/>
      <c r="E282" s="29"/>
      <c r="F282" s="28"/>
      <c r="G282" s="27"/>
      <c r="H282" s="26"/>
      <c r="I282" s="24"/>
      <c r="J282" s="36"/>
      <c r="K282" s="25"/>
      <c r="L282" s="21"/>
      <c r="M282" s="23"/>
      <c r="N282" s="23"/>
      <c r="O282" s="22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</row>
    <row r="283" spans="1:28">
      <c r="A283" s="283"/>
      <c r="B283" s="31"/>
      <c r="C283" s="30"/>
      <c r="D283" s="29"/>
      <c r="E283" s="29"/>
      <c r="F283" s="28"/>
      <c r="G283" s="27"/>
      <c r="H283" s="26"/>
      <c r="I283" s="24"/>
      <c r="J283" s="36"/>
      <c r="K283" s="25"/>
      <c r="L283" s="21"/>
      <c r="M283" s="23"/>
      <c r="N283" s="23"/>
      <c r="O283" s="22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</row>
    <row r="284" spans="1:28">
      <c r="A284" s="283"/>
      <c r="B284" s="31"/>
      <c r="C284" s="30"/>
      <c r="D284" s="29"/>
      <c r="E284" s="29"/>
      <c r="F284" s="28"/>
      <c r="G284" s="27"/>
      <c r="H284" s="26"/>
      <c r="I284" s="24"/>
      <c r="J284" s="36"/>
      <c r="K284" s="25"/>
      <c r="L284" s="21"/>
      <c r="M284" s="23"/>
      <c r="N284" s="23"/>
      <c r="O284" s="22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</row>
    <row r="285" spans="1:28">
      <c r="A285" s="283"/>
      <c r="B285" s="31" t="s">
        <v>288</v>
      </c>
      <c r="C285" s="30"/>
      <c r="D285" s="29"/>
      <c r="E285" s="29"/>
      <c r="F285" s="28"/>
      <c r="G285" s="27"/>
      <c r="H285" s="26"/>
      <c r="I285" s="24"/>
      <c r="J285" s="36"/>
      <c r="K285" s="25"/>
      <c r="L285" s="21"/>
      <c r="M285" s="23"/>
      <c r="N285" s="23"/>
      <c r="O285" s="22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</row>
    <row r="286" spans="1:28">
      <c r="A286" s="283"/>
      <c r="B286" s="31" t="s">
        <v>286</v>
      </c>
      <c r="C286" s="30"/>
      <c r="D286" s="29">
        <v>2.2999999999999998</v>
      </c>
      <c r="E286" s="29">
        <v>2.2999999999999998</v>
      </c>
      <c r="F286" s="28">
        <v>0.2</v>
      </c>
      <c r="G286" s="27">
        <v>24</v>
      </c>
      <c r="H286" s="26" t="s">
        <v>73</v>
      </c>
      <c r="I286" s="24"/>
      <c r="J286" s="36">
        <f>(((0.15*4)*6)*G286/0.25)*J197</f>
        <v>172.45439999999999</v>
      </c>
      <c r="K286" s="25"/>
      <c r="L286" s="21">
        <f>((((D286+E286+0.58+0.58)*2)*G286/0.2)+(((D286+E286+0.58+0.58)/0.2)*G286)*2)+((2.6*4)*2)*L197</f>
        <v>2783.2704000000003</v>
      </c>
      <c r="M286" s="23">
        <f>((4*G286)*6)*M197</f>
        <v>908.928</v>
      </c>
      <c r="N286" s="23"/>
      <c r="O286" s="22">
        <f>((0.7+2.6+0.7)*25+(0.7+2.6+0.7)*35)*O197</f>
        <v>924.72</v>
      </c>
      <c r="P286" s="20">
        <f>SUM(I286:O286)</f>
        <v>4789.3728000000001</v>
      </c>
      <c r="Q286" s="20">
        <f>(P286*0.03)</f>
        <v>143.681184</v>
      </c>
      <c r="R286" s="20">
        <f>D286*G286*0.1</f>
        <v>5.52</v>
      </c>
      <c r="S286" s="20">
        <f>((D286*E286*F286)*G286)+(D286*E286*0.7)</f>
        <v>29.094999999999995</v>
      </c>
      <c r="T286" s="20">
        <f>(D286+E286+E286)*G286*2</f>
        <v>331.2</v>
      </c>
      <c r="U286" s="20">
        <f>(T286*0.03)*10.764</f>
        <v>106.95110399999999</v>
      </c>
      <c r="V286" s="20">
        <f>(T286+U286)*0.25</f>
        <v>109.53777599999999</v>
      </c>
      <c r="W286" s="20">
        <f>+D286*G286*0.1</f>
        <v>5.52</v>
      </c>
      <c r="X286" s="20"/>
      <c r="Y286" s="20"/>
      <c r="Z286" s="20"/>
      <c r="AA286" s="20"/>
      <c r="AB286" s="20"/>
    </row>
    <row r="287" spans="1:28">
      <c r="A287" s="283"/>
      <c r="B287" s="31" t="s">
        <v>287</v>
      </c>
      <c r="C287" s="30"/>
      <c r="D287" s="29">
        <v>4.2</v>
      </c>
      <c r="E287" s="29">
        <v>4.4000000000000004</v>
      </c>
      <c r="F287" s="28">
        <v>0.2</v>
      </c>
      <c r="G287" s="27">
        <v>12</v>
      </c>
      <c r="H287" s="26" t="s">
        <v>73</v>
      </c>
      <c r="I287" s="24"/>
      <c r="J287" s="36">
        <f>(((0.15*4)*6)*G287/0.25)*J197</f>
        <v>86.227199999999996</v>
      </c>
      <c r="K287" s="25"/>
      <c r="L287" s="21">
        <f>((((D287+E287+0.58+0.58)*2)*G287/0.2)+(((D287+E287+0.58+0.58)/0.2)*G287)*2)+((2.6*4)*2)*L197</f>
        <v>2360.8704000000002</v>
      </c>
      <c r="M287" s="23">
        <f>((4*G287)*6)*M197</f>
        <v>454.464</v>
      </c>
      <c r="N287" s="23"/>
      <c r="O287" s="22">
        <f>((0.7+4.5+0.7)*40+(0.7+4.7+0.7)*40)*O197</f>
        <v>1849.44</v>
      </c>
      <c r="P287" s="20">
        <f>SUM(I287:O287)</f>
        <v>4751.0015999999996</v>
      </c>
      <c r="Q287" s="20">
        <f>(P287*0.03)</f>
        <v>142.53004799999999</v>
      </c>
      <c r="R287" s="20">
        <f>D287*G287*0.1</f>
        <v>5.0400000000000009</v>
      </c>
      <c r="S287" s="20">
        <f>((D287*E287*F287)*G287)+(D287*E287*0.7)</f>
        <v>57.288000000000011</v>
      </c>
      <c r="T287" s="20">
        <f>(D287+E287+E287)*G287*2</f>
        <v>312.00000000000006</v>
      </c>
      <c r="U287" s="20">
        <f>(T287*0.03)*10.764</f>
        <v>100.75104</v>
      </c>
      <c r="V287" s="20">
        <f>(T287+U287)*0.25</f>
        <v>103.18776000000001</v>
      </c>
      <c r="W287" s="20">
        <f>+D287*G287*0.1</f>
        <v>5.0400000000000009</v>
      </c>
      <c r="X287" s="20"/>
      <c r="Y287" s="20"/>
      <c r="Z287" s="20"/>
      <c r="AA287" s="20"/>
      <c r="AB287" s="20"/>
    </row>
    <row r="288" spans="1:28">
      <c r="A288" s="283"/>
      <c r="B288" s="284"/>
      <c r="C288" s="30"/>
      <c r="D288" s="29"/>
      <c r="E288" s="29"/>
      <c r="F288" s="28"/>
      <c r="G288" s="285"/>
      <c r="H288" s="286"/>
      <c r="I288" s="287"/>
      <c r="J288" s="36"/>
      <c r="K288" s="25"/>
      <c r="L288" s="21"/>
      <c r="M288" s="23"/>
      <c r="N288" s="23"/>
      <c r="O288" s="22"/>
      <c r="P288" s="288"/>
      <c r="Q288" s="288"/>
      <c r="R288" s="288"/>
      <c r="S288" s="288"/>
      <c r="T288" s="288"/>
      <c r="U288" s="288"/>
      <c r="V288" s="288"/>
      <c r="W288" s="288"/>
      <c r="X288" s="288"/>
      <c r="Y288" s="288"/>
      <c r="Z288" s="288"/>
      <c r="AA288" s="288"/>
      <c r="AB288" s="288"/>
    </row>
    <row r="289" spans="1:28">
      <c r="A289" s="283"/>
      <c r="B289" s="284"/>
      <c r="C289" s="30"/>
      <c r="D289" s="29"/>
      <c r="E289" s="29"/>
      <c r="F289" s="28"/>
      <c r="G289" s="285"/>
      <c r="H289" s="286"/>
      <c r="I289" s="287"/>
      <c r="J289" s="36"/>
      <c r="K289" s="25"/>
      <c r="L289" s="21"/>
      <c r="M289" s="23"/>
      <c r="N289" s="23"/>
      <c r="O289" s="22"/>
      <c r="P289" s="288"/>
      <c r="Q289" s="288"/>
      <c r="R289" s="288"/>
      <c r="S289" s="288"/>
      <c r="T289" s="288"/>
      <c r="U289" s="288"/>
      <c r="V289" s="288"/>
      <c r="W289" s="288"/>
      <c r="X289" s="288"/>
      <c r="Y289" s="288"/>
      <c r="Z289" s="288"/>
      <c r="AA289" s="288"/>
      <c r="AB289" s="288"/>
    </row>
    <row r="290" spans="1:28">
      <c r="A290" s="283"/>
      <c r="B290" s="31"/>
      <c r="C290" s="30"/>
      <c r="D290" s="29"/>
      <c r="E290" s="29"/>
      <c r="F290" s="28"/>
      <c r="G290" s="27"/>
      <c r="H290" s="26"/>
      <c r="I290" s="24"/>
      <c r="J290" s="36"/>
      <c r="K290" s="25"/>
      <c r="L290" s="21"/>
      <c r="M290" s="23"/>
      <c r="N290" s="23"/>
      <c r="O290" s="22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</row>
    <row r="291" spans="1:28">
      <c r="A291" s="283"/>
      <c r="B291" s="284"/>
      <c r="C291" s="30"/>
      <c r="D291" s="29"/>
      <c r="E291" s="29"/>
      <c r="F291" s="28"/>
      <c r="G291" s="285"/>
      <c r="H291" s="286"/>
      <c r="I291" s="287"/>
      <c r="J291" s="23"/>
      <c r="K291" s="21"/>
      <c r="L291" s="287"/>
      <c r="M291" s="23"/>
      <c r="N291" s="23"/>
      <c r="O291" s="22"/>
      <c r="P291" s="288"/>
      <c r="Q291" s="288"/>
      <c r="R291" s="288"/>
      <c r="S291" s="288"/>
      <c r="T291" s="288"/>
      <c r="U291" s="288"/>
      <c r="V291" s="288"/>
      <c r="W291" s="288"/>
      <c r="X291" s="288"/>
      <c r="Y291" s="288"/>
      <c r="Z291" s="288"/>
      <c r="AA291" s="288"/>
      <c r="AB291" s="288"/>
    </row>
    <row r="292" spans="1:28">
      <c r="A292" s="32"/>
      <c r="B292" s="31"/>
      <c r="C292" s="30"/>
      <c r="D292" s="29"/>
      <c r="E292" s="29"/>
      <c r="F292" s="28"/>
      <c r="G292" s="27"/>
      <c r="H292" s="26"/>
      <c r="I292" s="24"/>
      <c r="J292" s="23"/>
      <c r="K292" s="21"/>
      <c r="L292" s="24"/>
      <c r="M292" s="23"/>
      <c r="N292" s="23"/>
      <c r="O292" s="22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</row>
    <row r="293" spans="1:28">
      <c r="A293" s="32"/>
      <c r="B293" s="31"/>
      <c r="C293" s="30"/>
      <c r="D293" s="29"/>
      <c r="E293" s="29"/>
      <c r="F293" s="28"/>
      <c r="G293" s="27"/>
      <c r="H293" s="26"/>
      <c r="I293" s="24"/>
      <c r="J293" s="23"/>
      <c r="K293" s="21"/>
      <c r="L293" s="24"/>
      <c r="M293" s="23"/>
      <c r="N293" s="23"/>
      <c r="O293" s="22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</row>
    <row r="294" spans="1:28">
      <c r="A294" s="32"/>
      <c r="B294" s="31"/>
      <c r="C294" s="30"/>
      <c r="D294" s="29"/>
      <c r="E294" s="29"/>
      <c r="F294" s="28"/>
      <c r="G294" s="27"/>
      <c r="H294" s="26"/>
      <c r="I294" s="24"/>
      <c r="J294" s="23"/>
      <c r="K294" s="21"/>
      <c r="L294" s="24"/>
      <c r="M294" s="23"/>
      <c r="N294" s="23"/>
      <c r="O294" s="22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</row>
    <row r="295" spans="1:28">
      <c r="A295" s="19"/>
      <c r="B295" s="1645" t="s">
        <v>62</v>
      </c>
      <c r="C295" s="1646"/>
      <c r="D295" s="1646"/>
      <c r="E295" s="1646"/>
      <c r="F295" s="1647"/>
      <c r="G295" s="16"/>
      <c r="H295" s="16"/>
      <c r="I295" s="14">
        <f t="shared" ref="I295:AB295" si="105">SUM(I200:I294)</f>
        <v>1202.4745103448276</v>
      </c>
      <c r="J295" s="15">
        <f t="shared" si="105"/>
        <v>26505.49267494736</v>
      </c>
      <c r="K295" s="304">
        <f t="shared" si="105"/>
        <v>448.67087999999995</v>
      </c>
      <c r="L295" s="303">
        <f t="shared" si="105"/>
        <v>22653.77216</v>
      </c>
      <c r="M295" s="15">
        <f t="shared" si="105"/>
        <v>7142.7854399999997</v>
      </c>
      <c r="N295" s="15">
        <f t="shared" si="105"/>
        <v>59872.109160000007</v>
      </c>
      <c r="O295" s="15">
        <f t="shared" si="105"/>
        <v>72162.935950799991</v>
      </c>
      <c r="P295" s="14">
        <f t="shared" si="105"/>
        <v>190749.66077609223</v>
      </c>
      <c r="Q295" s="14">
        <f t="shared" si="105"/>
        <v>5722.4898232827663</v>
      </c>
      <c r="R295" s="14">
        <f t="shared" si="105"/>
        <v>67.723375000000004</v>
      </c>
      <c r="S295" s="14">
        <f t="shared" si="105"/>
        <v>1751.067</v>
      </c>
      <c r="T295" s="14">
        <f t="shared" si="105"/>
        <v>7328.5234999999993</v>
      </c>
      <c r="U295" s="14">
        <f t="shared" si="105"/>
        <v>2275.1515873200005</v>
      </c>
      <c r="V295" s="14">
        <f t="shared" si="105"/>
        <v>2400.9187718299986</v>
      </c>
      <c r="W295" s="14">
        <f t="shared" si="105"/>
        <v>67.723375000000004</v>
      </c>
      <c r="X295" s="14">
        <f t="shared" si="105"/>
        <v>2204.5349999999999</v>
      </c>
      <c r="Y295" s="14">
        <f t="shared" si="105"/>
        <v>0</v>
      </c>
      <c r="Z295" s="14">
        <f t="shared" si="105"/>
        <v>300</v>
      </c>
      <c r="AA295" s="14">
        <f t="shared" si="105"/>
        <v>0</v>
      </c>
      <c r="AB295" s="13">
        <f t="shared" si="105"/>
        <v>483</v>
      </c>
    </row>
  </sheetData>
  <sheetProtection sheet="1" formatCells="0" formatColumns="0" formatRows="0" insertColumns="0" insertRows="0" insertHyperlinks="0" deleteColumns="0" deleteRows="0" sort="0" autoFilter="0" pivotTables="0"/>
  <mergeCells count="22">
    <mergeCell ref="B73:F73"/>
    <mergeCell ref="B10:E10"/>
    <mergeCell ref="T4:U4"/>
    <mergeCell ref="T5:U5"/>
    <mergeCell ref="L4:O4"/>
    <mergeCell ref="R4:S4"/>
    <mergeCell ref="B6:C6"/>
    <mergeCell ref="L82:O82"/>
    <mergeCell ref="R82:S82"/>
    <mergeCell ref="T82:U82"/>
    <mergeCell ref="T83:U83"/>
    <mergeCell ref="B84:C84"/>
    <mergeCell ref="B88:E88"/>
    <mergeCell ref="B174:F174"/>
    <mergeCell ref="L193:O193"/>
    <mergeCell ref="R193:S193"/>
    <mergeCell ref="T193:U193"/>
    <mergeCell ref="B278:F278"/>
    <mergeCell ref="B295:F295"/>
    <mergeCell ref="T194:U194"/>
    <mergeCell ref="B195:C195"/>
    <mergeCell ref="B199:E199"/>
  </mergeCells>
  <printOptions horizontalCentered="1"/>
  <pageMargins left="0.2" right="0.2" top="0.7" bottom="0.5" header="0.3" footer="0.3"/>
  <pageSetup paperSize="9" scale="70" orientation="landscape" r:id="rId1"/>
  <headerFooter alignWithMargins="0">
    <oddHeader>&amp;R&amp;12&amp;Z&amp;F</oddHeader>
    <oddFooter>&amp;C&amp;12&amp;P / &amp;N&amp;R&amp;11Recheck By : Chalermkiet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76"/>
  <sheetViews>
    <sheetView view="pageBreakPreview" zoomScale="70" zoomScaleNormal="120" zoomScaleSheetLayoutView="70" zoomScalePageLayoutView="120" workbookViewId="0">
      <pane ySplit="8" topLeftCell="A1050" activePane="bottomLeft" state="frozen"/>
      <selection pane="bottomLeft" activeCell="E866" sqref="E866"/>
    </sheetView>
  </sheetViews>
  <sheetFormatPr defaultColWidth="8.85546875" defaultRowHeight="24"/>
  <cols>
    <col min="1" max="1" width="9.140625" style="591" customWidth="1"/>
    <col min="2" max="2" width="80.7109375" style="591" customWidth="1"/>
    <col min="3" max="3" width="14.140625" style="592" customWidth="1"/>
    <col min="4" max="4" width="10" style="593" customWidth="1"/>
    <col min="5" max="5" width="15" style="594" customWidth="1"/>
    <col min="6" max="6" width="18.7109375" style="595" customWidth="1"/>
    <col min="7" max="7" width="14.42578125" style="595" customWidth="1"/>
    <col min="8" max="9" width="18.7109375" style="595" customWidth="1"/>
    <col min="10" max="10" width="15.7109375" style="595" customWidth="1"/>
    <col min="11" max="11" width="8.85546875" style="3"/>
    <col min="12" max="12" width="15" style="3" bestFit="1" customWidth="1"/>
    <col min="13" max="13" width="8.85546875" style="3"/>
    <col min="14" max="14" width="10.42578125" style="3" bestFit="1" customWidth="1"/>
    <col min="15" max="15" width="3.42578125" style="3" customWidth="1"/>
    <col min="16" max="16384" width="8.85546875" style="3"/>
  </cols>
  <sheetData>
    <row r="1" spans="1:10" s="1" customFormat="1" ht="30" customHeight="1">
      <c r="A1" s="1688" t="s">
        <v>1784</v>
      </c>
      <c r="B1" s="1688"/>
      <c r="C1" s="1688"/>
      <c r="D1" s="1688"/>
      <c r="E1" s="1688"/>
      <c r="F1" s="1688"/>
      <c r="G1" s="1688"/>
      <c r="H1" s="1688"/>
      <c r="I1" s="1688"/>
      <c r="J1" s="1688"/>
    </row>
    <row r="2" spans="1:10" s="1" customFormat="1" ht="30" customHeight="1">
      <c r="A2" s="1700" t="s">
        <v>1785</v>
      </c>
      <c r="B2" s="1700"/>
      <c r="C2" s="1700"/>
      <c r="D2" s="1700"/>
      <c r="E2" s="1700"/>
      <c r="F2" s="1700"/>
      <c r="G2" s="1700"/>
      <c r="H2" s="1700"/>
      <c r="I2" s="1700"/>
      <c r="J2" s="1210" t="s">
        <v>1293</v>
      </c>
    </row>
    <row r="3" spans="1:10" s="1" customFormat="1" ht="24.95" customHeight="1">
      <c r="A3" s="1696" t="s">
        <v>0</v>
      </c>
      <c r="B3" s="1696"/>
      <c r="C3" s="1696"/>
      <c r="D3" s="1696"/>
      <c r="E3" s="472"/>
      <c r="F3" s="472"/>
      <c r="G3" s="473"/>
      <c r="H3" s="473"/>
      <c r="I3" s="472"/>
      <c r="J3" s="472"/>
    </row>
    <row r="4" spans="1:10" s="1" customFormat="1" ht="24.95" customHeight="1">
      <c r="A4" s="1697" t="s">
        <v>478</v>
      </c>
      <c r="B4" s="1697"/>
      <c r="C4" s="1697"/>
      <c r="D4" s="1697"/>
      <c r="E4" s="1697"/>
      <c r="F4" s="474"/>
      <c r="G4" s="473"/>
      <c r="H4" s="473" t="s">
        <v>1</v>
      </c>
      <c r="I4" s="475"/>
      <c r="J4" s="476"/>
    </row>
    <row r="5" spans="1:10" s="2" customFormat="1" ht="24.95" customHeight="1">
      <c r="A5" s="1698" t="s">
        <v>2</v>
      </c>
      <c r="B5" s="1698"/>
      <c r="C5" s="1698"/>
      <c r="D5" s="1698"/>
      <c r="E5" s="1698"/>
      <c r="F5" s="1698"/>
      <c r="G5" s="1698"/>
      <c r="H5" s="1699">
        <f>ปร.6!C9</f>
        <v>0</v>
      </c>
      <c r="I5" s="1699"/>
      <c r="J5" s="1699"/>
    </row>
    <row r="6" spans="1:10" s="2" customFormat="1" ht="24.95" customHeight="1">
      <c r="A6" s="870"/>
      <c r="B6" s="870"/>
      <c r="C6" s="870"/>
      <c r="D6" s="870"/>
      <c r="E6" s="870"/>
      <c r="F6" s="870"/>
      <c r="G6" s="870"/>
      <c r="H6" s="871"/>
      <c r="I6" s="871"/>
      <c r="J6" s="871"/>
    </row>
    <row r="7" spans="1:10" s="2" customFormat="1">
      <c r="A7" s="1689" t="s">
        <v>3</v>
      </c>
      <c r="B7" s="1690" t="s">
        <v>4</v>
      </c>
      <c r="C7" s="1691" t="s">
        <v>5</v>
      </c>
      <c r="D7" s="1687" t="s">
        <v>6</v>
      </c>
      <c r="E7" s="1686" t="s">
        <v>7</v>
      </c>
      <c r="F7" s="1687"/>
      <c r="G7" s="1686" t="s">
        <v>8</v>
      </c>
      <c r="H7" s="1687"/>
      <c r="I7" s="1692" t="s">
        <v>9</v>
      </c>
      <c r="J7" s="1694" t="s">
        <v>10</v>
      </c>
    </row>
    <row r="8" spans="1:10" s="2" customFormat="1">
      <c r="A8" s="1689"/>
      <c r="B8" s="1690"/>
      <c r="C8" s="1691"/>
      <c r="D8" s="1687"/>
      <c r="E8" s="868" t="s">
        <v>11</v>
      </c>
      <c r="F8" s="869" t="s">
        <v>12</v>
      </c>
      <c r="G8" s="868" t="s">
        <v>11</v>
      </c>
      <c r="H8" s="869" t="s">
        <v>12</v>
      </c>
      <c r="I8" s="1693"/>
      <c r="J8" s="1695"/>
    </row>
    <row r="9" spans="1:10" s="2" customFormat="1">
      <c r="A9" s="477"/>
      <c r="B9" s="478"/>
      <c r="C9" s="479"/>
      <c r="D9" s="480"/>
      <c r="E9" s="479"/>
      <c r="F9" s="481"/>
      <c r="G9" s="482"/>
      <c r="H9" s="482"/>
      <c r="I9" s="483"/>
      <c r="J9" s="483"/>
    </row>
    <row r="10" spans="1:10" s="2" customFormat="1">
      <c r="A10" s="887"/>
      <c r="B10" s="888" t="s">
        <v>349</v>
      </c>
      <c r="C10" s="889"/>
      <c r="D10" s="890"/>
      <c r="E10" s="891"/>
      <c r="F10" s="891"/>
      <c r="G10" s="891"/>
      <c r="H10" s="891"/>
      <c r="I10" s="680"/>
      <c r="J10" s="679"/>
    </row>
    <row r="11" spans="1:10" s="2" customFormat="1">
      <c r="A11" s="484">
        <v>1</v>
      </c>
      <c r="B11" s="485" t="s">
        <v>651</v>
      </c>
      <c r="C11" s="486">
        <v>1</v>
      </c>
      <c r="D11" s="486" t="s">
        <v>44</v>
      </c>
      <c r="E11" s="487">
        <v>0</v>
      </c>
      <c r="F11" s="488">
        <f>F91</f>
        <v>9949100</v>
      </c>
      <c r="G11" s="487">
        <v>0</v>
      </c>
      <c r="H11" s="488">
        <f>H91</f>
        <v>3832391</v>
      </c>
      <c r="I11" s="488">
        <f>I91</f>
        <v>13781491</v>
      </c>
      <c r="J11" s="679"/>
    </row>
    <row r="12" spans="1:10" s="2" customFormat="1">
      <c r="A12" s="678">
        <v>2</v>
      </c>
      <c r="B12" s="485" t="s">
        <v>17</v>
      </c>
      <c r="C12" s="872">
        <v>1</v>
      </c>
      <c r="D12" s="486" t="s">
        <v>44</v>
      </c>
      <c r="E12" s="891">
        <v>0</v>
      </c>
      <c r="F12" s="680">
        <f>F344</f>
        <v>106169385.56771263</v>
      </c>
      <c r="G12" s="891">
        <v>0</v>
      </c>
      <c r="H12" s="680">
        <f>H344</f>
        <v>31249102.111711256</v>
      </c>
      <c r="I12" s="680">
        <f>I344</f>
        <v>137418487.67942393</v>
      </c>
      <c r="J12" s="679"/>
    </row>
    <row r="13" spans="1:10" s="2" customFormat="1">
      <c r="A13" s="678">
        <v>3</v>
      </c>
      <c r="B13" s="485" t="s">
        <v>247</v>
      </c>
      <c r="C13" s="872">
        <v>1</v>
      </c>
      <c r="D13" s="486" t="s">
        <v>44</v>
      </c>
      <c r="E13" s="891">
        <v>0</v>
      </c>
      <c r="F13" s="680">
        <f>F1362</f>
        <v>96091886.956</v>
      </c>
      <c r="G13" s="891">
        <v>0</v>
      </c>
      <c r="H13" s="680">
        <f>H1362</f>
        <v>25931431.68</v>
      </c>
      <c r="I13" s="680">
        <f>I1362</f>
        <v>122023318.63600001</v>
      </c>
      <c r="J13" s="679"/>
    </row>
    <row r="14" spans="1:10" s="2" customFormat="1">
      <c r="A14" s="678">
        <v>4</v>
      </c>
      <c r="B14" s="485" t="s">
        <v>58</v>
      </c>
      <c r="C14" s="872">
        <v>1</v>
      </c>
      <c r="D14" s="486" t="s">
        <v>44</v>
      </c>
      <c r="E14" s="891">
        <v>0</v>
      </c>
      <c r="F14" s="680">
        <f>F2221</f>
        <v>17366570</v>
      </c>
      <c r="G14" s="891">
        <v>0</v>
      </c>
      <c r="H14" s="680">
        <f>H2221</f>
        <v>5429354.7999999989</v>
      </c>
      <c r="I14" s="680">
        <f>I2221</f>
        <v>22795924.800000004</v>
      </c>
      <c r="J14" s="679"/>
    </row>
    <row r="15" spans="1:10" s="2" customFormat="1">
      <c r="A15" s="678">
        <v>5</v>
      </c>
      <c r="B15" s="485" t="s">
        <v>641</v>
      </c>
      <c r="C15" s="872">
        <v>1</v>
      </c>
      <c r="D15" s="486" t="s">
        <v>44</v>
      </c>
      <c r="E15" s="891">
        <v>0</v>
      </c>
      <c r="F15" s="680">
        <f>F2842</f>
        <v>31249382</v>
      </c>
      <c r="G15" s="891">
        <v>0</v>
      </c>
      <c r="H15" s="680">
        <f>H2842</f>
        <v>5360628</v>
      </c>
      <c r="I15" s="680">
        <f>I2842</f>
        <v>36610010</v>
      </c>
      <c r="J15" s="679"/>
    </row>
    <row r="16" spans="1:10" s="2" customFormat="1">
      <c r="A16" s="678">
        <v>6</v>
      </c>
      <c r="B16" s="485" t="s">
        <v>642</v>
      </c>
      <c r="C16" s="872">
        <v>1</v>
      </c>
      <c r="D16" s="486" t="s">
        <v>44</v>
      </c>
      <c r="E16" s="489">
        <v>0</v>
      </c>
      <c r="F16" s="680">
        <f>F2968</f>
        <v>2931348.5</v>
      </c>
      <c r="G16" s="490">
        <v>0</v>
      </c>
      <c r="H16" s="680">
        <f>H2968</f>
        <v>758217.25</v>
      </c>
      <c r="I16" s="892">
        <f>I2968</f>
        <v>3689565.75</v>
      </c>
      <c r="J16" s="679"/>
    </row>
    <row r="17" spans="1:10" s="2" customFormat="1">
      <c r="A17" s="678">
        <v>7</v>
      </c>
      <c r="B17" s="485" t="s">
        <v>248</v>
      </c>
      <c r="C17" s="872">
        <v>1</v>
      </c>
      <c r="D17" s="486" t="s">
        <v>44</v>
      </c>
      <c r="E17" s="489">
        <v>0</v>
      </c>
      <c r="F17" s="680">
        <f>F3176</f>
        <v>22165050</v>
      </c>
      <c r="G17" s="490">
        <v>0</v>
      </c>
      <c r="H17" s="680">
        <f>H3176</f>
        <v>588450</v>
      </c>
      <c r="I17" s="491">
        <f>I3176</f>
        <v>35253500</v>
      </c>
      <c r="J17" s="679"/>
    </row>
    <row r="18" spans="1:10" s="2" customFormat="1">
      <c r="A18" s="678"/>
      <c r="B18" s="687"/>
      <c r="C18" s="486"/>
      <c r="D18" s="486"/>
      <c r="E18" s="489"/>
      <c r="F18" s="680"/>
      <c r="G18" s="490"/>
      <c r="H18" s="680"/>
      <c r="I18" s="491"/>
      <c r="J18" s="679"/>
    </row>
    <row r="19" spans="1:10" s="2" customFormat="1">
      <c r="A19" s="678"/>
      <c r="B19" s="493"/>
      <c r="C19" s="512"/>
      <c r="D19" s="505"/>
      <c r="E19" s="492"/>
      <c r="F19" s="893"/>
      <c r="G19" s="490"/>
      <c r="H19" s="893"/>
      <c r="I19" s="893"/>
      <c r="J19" s="679"/>
    </row>
    <row r="20" spans="1:10" s="2" customFormat="1">
      <c r="A20" s="685"/>
      <c r="B20" s="511"/>
      <c r="C20" s="512"/>
      <c r="D20" s="505"/>
      <c r="E20" s="492"/>
      <c r="F20" s="893"/>
      <c r="G20" s="490"/>
      <c r="H20" s="893"/>
      <c r="I20" s="893"/>
      <c r="J20" s="494"/>
    </row>
    <row r="21" spans="1:10" s="2" customFormat="1" ht="30" customHeight="1">
      <c r="A21" s="846"/>
      <c r="B21" s="847" t="s">
        <v>1854</v>
      </c>
      <c r="C21" s="848"/>
      <c r="D21" s="849"/>
      <c r="E21" s="849"/>
      <c r="F21" s="850">
        <f>SUM(F11:F20)</f>
        <v>285922723.02371264</v>
      </c>
      <c r="G21" s="849"/>
      <c r="H21" s="850">
        <f>SUM(H11:H20)</f>
        <v>73149574.841711253</v>
      </c>
      <c r="I21" s="850">
        <f>SUM(I10:I20)</f>
        <v>371572297.86542398</v>
      </c>
      <c r="J21" s="851"/>
    </row>
    <row r="22" spans="1:10" s="2" customFormat="1">
      <c r="A22" s="894"/>
      <c r="B22" s="894"/>
      <c r="C22" s="895"/>
      <c r="D22" s="895"/>
      <c r="E22" s="895"/>
      <c r="F22" s="895"/>
      <c r="G22" s="895"/>
      <c r="H22" s="895"/>
      <c r="I22" s="896"/>
      <c r="J22" s="495"/>
    </row>
    <row r="23" spans="1:10">
      <c r="A23" s="661">
        <v>1</v>
      </c>
      <c r="B23" s="661" t="s">
        <v>651</v>
      </c>
      <c r="C23" s="682"/>
      <c r="D23" s="685"/>
      <c r="E23" s="660"/>
      <c r="F23" s="660"/>
      <c r="G23" s="660"/>
      <c r="H23" s="660"/>
      <c r="I23" s="660"/>
      <c r="J23" s="660"/>
    </row>
    <row r="24" spans="1:10">
      <c r="A24" s="496">
        <v>1.1000000000000001</v>
      </c>
      <c r="B24" s="497" t="s">
        <v>13</v>
      </c>
      <c r="C24" s="498"/>
      <c r="D24" s="499"/>
      <c r="E24" s="500"/>
      <c r="F24" s="897"/>
      <c r="G24" s="501"/>
      <c r="H24" s="898"/>
      <c r="I24" s="898"/>
      <c r="J24" s="489"/>
    </row>
    <row r="25" spans="1:10">
      <c r="A25" s="502"/>
      <c r="B25" s="503" t="s">
        <v>1058</v>
      </c>
      <c r="C25" s="498">
        <v>10656</v>
      </c>
      <c r="D25" s="499" t="s">
        <v>14</v>
      </c>
      <c r="E25" s="500">
        <v>70</v>
      </c>
      <c r="F25" s="897">
        <f>E25*C25</f>
        <v>745920</v>
      </c>
      <c r="G25" s="501">
        <v>50</v>
      </c>
      <c r="H25" s="898">
        <f>G25*C25</f>
        <v>532800</v>
      </c>
      <c r="I25" s="489">
        <f>F25+H25</f>
        <v>1278720</v>
      </c>
      <c r="J25" s="489"/>
    </row>
    <row r="26" spans="1:10">
      <c r="A26" s="502"/>
      <c r="B26" s="503" t="s">
        <v>1059</v>
      </c>
      <c r="C26" s="498">
        <v>1</v>
      </c>
      <c r="D26" s="499" t="s">
        <v>508</v>
      </c>
      <c r="E26" s="500">
        <v>30000</v>
      </c>
      <c r="F26" s="897">
        <f>E26*C26</f>
        <v>30000</v>
      </c>
      <c r="G26" s="501">
        <v>20000</v>
      </c>
      <c r="H26" s="898">
        <f>G26*C26</f>
        <v>20000</v>
      </c>
      <c r="I26" s="489">
        <f>F26+H26</f>
        <v>50000</v>
      </c>
      <c r="J26" s="489"/>
    </row>
    <row r="27" spans="1:10">
      <c r="A27" s="502"/>
      <c r="B27" s="503" t="s">
        <v>1135</v>
      </c>
      <c r="C27" s="498">
        <f>ROUNDUP(18000*0.2,0)</f>
        <v>3600</v>
      </c>
      <c r="D27" s="499" t="s">
        <v>1060</v>
      </c>
      <c r="E27" s="500">
        <v>350</v>
      </c>
      <c r="F27" s="897">
        <f>E27*C27</f>
        <v>1260000</v>
      </c>
      <c r="G27" s="501">
        <v>100</v>
      </c>
      <c r="H27" s="898">
        <f>G27*C27</f>
        <v>360000</v>
      </c>
      <c r="I27" s="489">
        <f>F27+H27</f>
        <v>1620000</v>
      </c>
      <c r="J27" s="489"/>
    </row>
    <row r="28" spans="1:10">
      <c r="A28" s="504">
        <v>1.2</v>
      </c>
      <c r="B28" s="887" t="s">
        <v>1294</v>
      </c>
      <c r="C28" s="889"/>
      <c r="D28" s="890" t="s">
        <v>1</v>
      </c>
      <c r="E28" s="891" t="s">
        <v>1</v>
      </c>
      <c r="F28" s="891"/>
      <c r="G28" s="891" t="s">
        <v>1</v>
      </c>
      <c r="H28" s="891"/>
      <c r="I28" s="680" t="s">
        <v>1</v>
      </c>
      <c r="J28" s="489"/>
    </row>
    <row r="29" spans="1:10">
      <c r="A29" s="504" t="s">
        <v>1064</v>
      </c>
      <c r="B29" s="899" t="s">
        <v>496</v>
      </c>
      <c r="C29" s="899"/>
      <c r="D29" s="900" t="s">
        <v>1</v>
      </c>
      <c r="E29" s="895" t="s">
        <v>1</v>
      </c>
      <c r="F29" s="901"/>
      <c r="G29" s="902" t="s">
        <v>1</v>
      </c>
      <c r="H29" s="902"/>
      <c r="I29" s="896" t="s">
        <v>1</v>
      </c>
      <c r="J29" s="489"/>
    </row>
    <row r="30" spans="1:10">
      <c r="A30" s="504"/>
      <c r="B30" s="903" t="s">
        <v>603</v>
      </c>
      <c r="C30" s="895"/>
      <c r="D30" s="900"/>
      <c r="E30" s="895"/>
      <c r="F30" s="901"/>
      <c r="G30" s="902"/>
      <c r="H30" s="902"/>
      <c r="I30" s="896"/>
      <c r="J30" s="489"/>
    </row>
    <row r="31" spans="1:10">
      <c r="A31" s="504"/>
      <c r="B31" s="903" t="s">
        <v>604</v>
      </c>
      <c r="C31" s="489">
        <v>200</v>
      </c>
      <c r="D31" s="866" t="s">
        <v>14</v>
      </c>
      <c r="E31" s="489">
        <v>746</v>
      </c>
      <c r="F31" s="489">
        <f>C31*E31</f>
        <v>149200</v>
      </c>
      <c r="G31" s="489">
        <v>150</v>
      </c>
      <c r="H31" s="489">
        <f>C31*G31</f>
        <v>30000</v>
      </c>
      <c r="I31" s="489">
        <f>F31+H31</f>
        <v>179200</v>
      </c>
      <c r="J31" s="489"/>
    </row>
    <row r="32" spans="1:10">
      <c r="A32" s="504"/>
      <c r="B32" s="903" t="s">
        <v>605</v>
      </c>
      <c r="C32" s="489">
        <v>1</v>
      </c>
      <c r="D32" s="866" t="s">
        <v>508</v>
      </c>
      <c r="E32" s="489">
        <f>FLOOR(SUM(F31:F31)*0.5,10)</f>
        <v>74600</v>
      </c>
      <c r="F32" s="489">
        <f>E32*C32</f>
        <v>74600</v>
      </c>
      <c r="G32" s="489">
        <f>E32*0.3</f>
        <v>22380</v>
      </c>
      <c r="H32" s="489">
        <f>G32*C32</f>
        <v>22380</v>
      </c>
      <c r="I32" s="489">
        <f t="shared" ref="I32:I52" si="0">F32+H32</f>
        <v>96980</v>
      </c>
      <c r="J32" s="489"/>
    </row>
    <row r="33" spans="1:10">
      <c r="A33" s="504"/>
      <c r="B33" s="903" t="s">
        <v>606</v>
      </c>
      <c r="C33" s="489">
        <v>1</v>
      </c>
      <c r="D33" s="866" t="s">
        <v>508</v>
      </c>
      <c r="E33" s="489">
        <f>FLOOR(SUM(F31:F31)*0.2,10)</f>
        <v>29840</v>
      </c>
      <c r="F33" s="489">
        <f>E33*C33</f>
        <v>29840</v>
      </c>
      <c r="G33" s="489">
        <f>E33*0.3</f>
        <v>8952</v>
      </c>
      <c r="H33" s="489">
        <f>G33*C33</f>
        <v>8952</v>
      </c>
      <c r="I33" s="489">
        <f t="shared" si="0"/>
        <v>38792</v>
      </c>
      <c r="J33" s="489"/>
    </row>
    <row r="34" spans="1:10">
      <c r="A34" s="504"/>
      <c r="B34" s="903" t="s">
        <v>607</v>
      </c>
      <c r="C34" s="489">
        <v>1</v>
      </c>
      <c r="D34" s="866" t="s">
        <v>508</v>
      </c>
      <c r="E34" s="489">
        <f>FLOOR(SUM(F31:F31)*0.1,10)</f>
        <v>14920</v>
      </c>
      <c r="F34" s="489">
        <f>E34*C34</f>
        <v>14920</v>
      </c>
      <c r="G34" s="489">
        <f>E34*0.3</f>
        <v>4476</v>
      </c>
      <c r="H34" s="489">
        <f>G34*C34</f>
        <v>4476</v>
      </c>
      <c r="I34" s="489">
        <f t="shared" si="0"/>
        <v>19396</v>
      </c>
      <c r="J34" s="489"/>
    </row>
    <row r="35" spans="1:10">
      <c r="A35" s="504"/>
      <c r="B35" s="903" t="s">
        <v>608</v>
      </c>
      <c r="C35" s="895"/>
      <c r="D35" s="900"/>
      <c r="E35" s="895"/>
      <c r="F35" s="901"/>
      <c r="G35" s="902"/>
      <c r="H35" s="902"/>
      <c r="I35" s="489"/>
      <c r="J35" s="489"/>
    </row>
    <row r="36" spans="1:10">
      <c r="A36" s="504"/>
      <c r="B36" s="903" t="s">
        <v>604</v>
      </c>
      <c r="C36" s="489">
        <v>5</v>
      </c>
      <c r="D36" s="499" t="s">
        <v>15</v>
      </c>
      <c r="E36" s="489">
        <v>7070</v>
      </c>
      <c r="F36" s="489">
        <f>C36*E36</f>
        <v>35350</v>
      </c>
      <c r="G36" s="489">
        <v>800</v>
      </c>
      <c r="H36" s="489">
        <f>C36*G36</f>
        <v>4000</v>
      </c>
      <c r="I36" s="489">
        <f t="shared" si="0"/>
        <v>39350</v>
      </c>
      <c r="J36" s="489"/>
    </row>
    <row r="37" spans="1:10">
      <c r="A37" s="504"/>
      <c r="B37" s="903" t="s">
        <v>596</v>
      </c>
      <c r="C37" s="489"/>
      <c r="D37" s="506"/>
      <c r="E37" s="489"/>
      <c r="F37" s="489"/>
      <c r="G37" s="489"/>
      <c r="H37" s="489"/>
      <c r="I37" s="489"/>
      <c r="J37" s="489"/>
    </row>
    <row r="38" spans="1:10">
      <c r="A38" s="504"/>
      <c r="B38" s="903" t="s">
        <v>604</v>
      </c>
      <c r="C38" s="489">
        <v>4</v>
      </c>
      <c r="D38" s="499" t="s">
        <v>15</v>
      </c>
      <c r="E38" s="489">
        <v>12250</v>
      </c>
      <c r="F38" s="489">
        <f>C38*E38</f>
        <v>49000</v>
      </c>
      <c r="G38" s="489">
        <v>800</v>
      </c>
      <c r="H38" s="489">
        <f>C38*G38</f>
        <v>3200</v>
      </c>
      <c r="I38" s="489">
        <f t="shared" si="0"/>
        <v>52200</v>
      </c>
      <c r="J38" s="489"/>
    </row>
    <row r="39" spans="1:10">
      <c r="A39" s="504"/>
      <c r="B39" s="903" t="s">
        <v>601</v>
      </c>
      <c r="C39" s="489"/>
      <c r="D39" s="506"/>
      <c r="E39" s="489"/>
      <c r="F39" s="489"/>
      <c r="G39" s="489"/>
      <c r="H39" s="489"/>
      <c r="I39" s="489"/>
      <c r="J39" s="489"/>
    </row>
    <row r="40" spans="1:10">
      <c r="A40" s="504"/>
      <c r="B40" s="903" t="s">
        <v>604</v>
      </c>
      <c r="C40" s="489">
        <v>4</v>
      </c>
      <c r="D40" s="499" t="s">
        <v>15</v>
      </c>
      <c r="E40" s="489">
        <v>6060</v>
      </c>
      <c r="F40" s="489">
        <f>C40*E40</f>
        <v>24240</v>
      </c>
      <c r="G40" s="489">
        <v>800</v>
      </c>
      <c r="H40" s="489">
        <f>C40*G40</f>
        <v>3200</v>
      </c>
      <c r="I40" s="489">
        <f t="shared" si="0"/>
        <v>27440</v>
      </c>
      <c r="J40" s="489"/>
    </row>
    <row r="41" spans="1:10">
      <c r="A41" s="504"/>
      <c r="B41" s="903" t="s">
        <v>609</v>
      </c>
      <c r="C41" s="489"/>
      <c r="D41" s="506"/>
      <c r="E41" s="489"/>
      <c r="F41" s="489"/>
      <c r="G41" s="489"/>
      <c r="H41" s="489"/>
      <c r="I41" s="489"/>
      <c r="J41" s="489"/>
    </row>
    <row r="42" spans="1:10">
      <c r="A42" s="504"/>
      <c r="B42" s="903" t="s">
        <v>610</v>
      </c>
      <c r="C42" s="489">
        <v>8</v>
      </c>
      <c r="D42" s="499" t="s">
        <v>15</v>
      </c>
      <c r="E42" s="489">
        <v>4200</v>
      </c>
      <c r="F42" s="489">
        <f>C42*E42</f>
        <v>33600</v>
      </c>
      <c r="G42" s="489">
        <v>800</v>
      </c>
      <c r="H42" s="489">
        <f>C42*G42</f>
        <v>6400</v>
      </c>
      <c r="I42" s="489">
        <f t="shared" si="0"/>
        <v>40000</v>
      </c>
      <c r="J42" s="489"/>
    </row>
    <row r="43" spans="1:10">
      <c r="A43" s="504"/>
      <c r="B43" s="903" t="s">
        <v>611</v>
      </c>
      <c r="C43" s="489"/>
      <c r="D43" s="506" t="s">
        <v>1</v>
      </c>
      <c r="E43" s="489"/>
      <c r="F43" s="489"/>
      <c r="G43" s="489"/>
      <c r="H43" s="489"/>
      <c r="I43" s="489"/>
      <c r="J43" s="489"/>
    </row>
    <row r="44" spans="1:10">
      <c r="A44" s="504"/>
      <c r="B44" s="903" t="s">
        <v>612</v>
      </c>
      <c r="C44" s="489">
        <v>5</v>
      </c>
      <c r="D44" s="499" t="s">
        <v>15</v>
      </c>
      <c r="E44" s="489">
        <v>700</v>
      </c>
      <c r="F44" s="489">
        <f>C44*E44</f>
        <v>3500</v>
      </c>
      <c r="G44" s="489">
        <v>50</v>
      </c>
      <c r="H44" s="489">
        <f>C44*G44</f>
        <v>250</v>
      </c>
      <c r="I44" s="489">
        <f t="shared" si="0"/>
        <v>3750</v>
      </c>
      <c r="J44" s="489"/>
    </row>
    <row r="45" spans="1:10">
      <c r="A45" s="504"/>
      <c r="B45" s="903" t="s">
        <v>1663</v>
      </c>
      <c r="C45" s="489">
        <v>1</v>
      </c>
      <c r="D45" s="499" t="s">
        <v>15</v>
      </c>
      <c r="E45" s="489">
        <v>23490</v>
      </c>
      <c r="F45" s="489">
        <f>C45*E45</f>
        <v>23490</v>
      </c>
      <c r="G45" s="489">
        <v>800</v>
      </c>
      <c r="H45" s="489">
        <f>C45*G45</f>
        <v>800</v>
      </c>
      <c r="I45" s="489">
        <f t="shared" si="0"/>
        <v>24290</v>
      </c>
      <c r="J45" s="489"/>
    </row>
    <row r="46" spans="1:10">
      <c r="A46" s="504" t="s">
        <v>1065</v>
      </c>
      <c r="B46" s="903" t="s">
        <v>613</v>
      </c>
      <c r="C46" s="489"/>
      <c r="D46" s="506"/>
      <c r="E46" s="489"/>
      <c r="F46" s="489"/>
      <c r="G46" s="489"/>
      <c r="H46" s="489"/>
      <c r="I46" s="489"/>
      <c r="J46" s="489"/>
    </row>
    <row r="47" spans="1:10">
      <c r="A47" s="504"/>
      <c r="B47" s="793" t="s">
        <v>615</v>
      </c>
      <c r="C47" s="506"/>
      <c r="D47" s="499"/>
      <c r="E47" s="489"/>
      <c r="F47" s="489"/>
      <c r="G47" s="507"/>
      <c r="H47" s="490"/>
      <c r="I47" s="489"/>
      <c r="J47" s="489"/>
    </row>
    <row r="48" spans="1:10">
      <c r="A48" s="504"/>
      <c r="B48" s="793" t="s">
        <v>616</v>
      </c>
      <c r="C48" s="506"/>
      <c r="D48" s="499"/>
      <c r="E48" s="489"/>
      <c r="F48" s="489"/>
      <c r="G48" s="507"/>
      <c r="H48" s="490"/>
      <c r="I48" s="489"/>
      <c r="J48" s="489"/>
    </row>
    <row r="49" spans="1:10">
      <c r="A49" s="504"/>
      <c r="B49" s="793" t="s">
        <v>617</v>
      </c>
      <c r="C49" s="506"/>
      <c r="D49" s="499"/>
      <c r="E49" s="489"/>
      <c r="F49" s="489"/>
      <c r="G49" s="507"/>
      <c r="H49" s="490"/>
      <c r="I49" s="489"/>
      <c r="J49" s="489"/>
    </row>
    <row r="50" spans="1:10">
      <c r="A50" s="504"/>
      <c r="B50" s="793" t="s">
        <v>618</v>
      </c>
      <c r="C50" s="506"/>
      <c r="D50" s="499"/>
      <c r="E50" s="489"/>
      <c r="F50" s="489"/>
      <c r="G50" s="507"/>
      <c r="H50" s="490"/>
      <c r="I50" s="489"/>
      <c r="J50" s="489"/>
    </row>
    <row r="51" spans="1:10">
      <c r="A51" s="504"/>
      <c r="B51" s="903" t="s">
        <v>619</v>
      </c>
      <c r="C51" s="489">
        <v>4</v>
      </c>
      <c r="D51" s="499" t="s">
        <v>15</v>
      </c>
      <c r="E51" s="489">
        <v>38000</v>
      </c>
      <c r="F51" s="489">
        <f>C51*E51</f>
        <v>152000</v>
      </c>
      <c r="G51" s="489">
        <v>600</v>
      </c>
      <c r="H51" s="489">
        <f>C51*G51</f>
        <v>2400</v>
      </c>
      <c r="I51" s="489">
        <f t="shared" si="0"/>
        <v>154400</v>
      </c>
      <c r="J51" s="489"/>
    </row>
    <row r="52" spans="1:10">
      <c r="A52" s="504"/>
      <c r="B52" s="903" t="s">
        <v>620</v>
      </c>
      <c r="C52" s="489">
        <v>4</v>
      </c>
      <c r="D52" s="499" t="s">
        <v>15</v>
      </c>
      <c r="E52" s="489">
        <v>32000</v>
      </c>
      <c r="F52" s="489">
        <f>C52*E52</f>
        <v>128000</v>
      </c>
      <c r="G52" s="489">
        <v>600</v>
      </c>
      <c r="H52" s="489">
        <f>C52*G52</f>
        <v>2400</v>
      </c>
      <c r="I52" s="489">
        <f t="shared" si="0"/>
        <v>130400</v>
      </c>
      <c r="J52" s="489"/>
    </row>
    <row r="53" spans="1:10">
      <c r="A53" s="504">
        <v>1.3</v>
      </c>
      <c r="B53" s="491" t="s">
        <v>621</v>
      </c>
      <c r="C53" s="489"/>
      <c r="D53" s="506"/>
      <c r="E53" s="489"/>
      <c r="F53" s="489"/>
      <c r="G53" s="489"/>
      <c r="H53" s="489"/>
      <c r="I53" s="489"/>
      <c r="J53" s="489"/>
    </row>
    <row r="54" spans="1:10">
      <c r="A54" s="504"/>
      <c r="B54" s="489" t="s">
        <v>622</v>
      </c>
      <c r="C54" s="489">
        <v>50</v>
      </c>
      <c r="D54" s="506" t="s">
        <v>14</v>
      </c>
      <c r="E54" s="489">
        <v>1624</v>
      </c>
      <c r="F54" s="489">
        <f>C54*E54</f>
        <v>81200</v>
      </c>
      <c r="G54" s="489">
        <v>250</v>
      </c>
      <c r="H54" s="489">
        <f>C54*G54</f>
        <v>12500</v>
      </c>
      <c r="I54" s="489">
        <f>F54+H54</f>
        <v>93700</v>
      </c>
      <c r="J54" s="489"/>
    </row>
    <row r="55" spans="1:10">
      <c r="A55" s="504"/>
      <c r="B55" s="489" t="s">
        <v>623</v>
      </c>
      <c r="C55" s="489">
        <v>1</v>
      </c>
      <c r="D55" s="506" t="s">
        <v>508</v>
      </c>
      <c r="E55" s="489">
        <f>FLOOR(SUM(F54)*0.5,1)</f>
        <v>40600</v>
      </c>
      <c r="F55" s="489">
        <f>E55*C55</f>
        <v>40600</v>
      </c>
      <c r="G55" s="489">
        <f>E55*0.3</f>
        <v>12180</v>
      </c>
      <c r="H55" s="489">
        <f>G55*C55</f>
        <v>12180</v>
      </c>
      <c r="I55" s="489">
        <f>H55+F55</f>
        <v>52780</v>
      </c>
      <c r="J55" s="489"/>
    </row>
    <row r="56" spans="1:10">
      <c r="A56" s="504"/>
      <c r="B56" s="489" t="s">
        <v>624</v>
      </c>
      <c r="C56" s="489">
        <v>1</v>
      </c>
      <c r="D56" s="506" t="s">
        <v>508</v>
      </c>
      <c r="E56" s="489">
        <f>FLOOR(SUM(F54)*0.2,1)</f>
        <v>16240</v>
      </c>
      <c r="F56" s="489">
        <f>E56*C56</f>
        <v>16240</v>
      </c>
      <c r="G56" s="489">
        <f>E56*0.3</f>
        <v>4872</v>
      </c>
      <c r="H56" s="489">
        <f>G56*C56</f>
        <v>4872</v>
      </c>
      <c r="I56" s="489">
        <f>H56+F56</f>
        <v>21112</v>
      </c>
      <c r="J56" s="489"/>
    </row>
    <row r="57" spans="1:10">
      <c r="A57" s="504"/>
      <c r="B57" s="489" t="s">
        <v>625</v>
      </c>
      <c r="C57" s="489">
        <v>1</v>
      </c>
      <c r="D57" s="506" t="s">
        <v>508</v>
      </c>
      <c r="E57" s="489">
        <f>FLOOR(SUM(F54:F54)*0.1,1)</f>
        <v>8120</v>
      </c>
      <c r="F57" s="489">
        <f>E57*C57</f>
        <v>8120</v>
      </c>
      <c r="G57" s="489">
        <f>E57*0.3</f>
        <v>2436</v>
      </c>
      <c r="H57" s="489">
        <f>G57*C57</f>
        <v>2436</v>
      </c>
      <c r="I57" s="489">
        <f>H57+F57</f>
        <v>10556</v>
      </c>
      <c r="J57" s="489"/>
    </row>
    <row r="58" spans="1:10">
      <c r="A58" s="504"/>
      <c r="B58" s="489" t="s">
        <v>626</v>
      </c>
      <c r="C58" s="489"/>
      <c r="D58" s="506"/>
      <c r="E58" s="489"/>
      <c r="F58" s="489"/>
      <c r="G58" s="489"/>
      <c r="H58" s="489"/>
      <c r="I58" s="489"/>
      <c r="J58" s="489"/>
    </row>
    <row r="59" spans="1:10">
      <c r="A59" s="504"/>
      <c r="B59" s="489" t="s">
        <v>627</v>
      </c>
      <c r="C59" s="489">
        <v>350</v>
      </c>
      <c r="D59" s="506" t="s">
        <v>14</v>
      </c>
      <c r="E59" s="489">
        <v>430</v>
      </c>
      <c r="F59" s="489">
        <f>C59*E59</f>
        <v>150500</v>
      </c>
      <c r="G59" s="489">
        <v>550</v>
      </c>
      <c r="H59" s="489">
        <f>SUM(C59*G59)</f>
        <v>192500</v>
      </c>
      <c r="I59" s="489">
        <f>SUM(F59,H59)</f>
        <v>343000</v>
      </c>
      <c r="J59" s="489"/>
    </row>
    <row r="60" spans="1:10">
      <c r="A60" s="504"/>
      <c r="B60" s="489" t="s">
        <v>628</v>
      </c>
      <c r="C60" s="489">
        <v>500</v>
      </c>
      <c r="D60" s="506" t="s">
        <v>14</v>
      </c>
      <c r="E60" s="489">
        <v>1100</v>
      </c>
      <c r="F60" s="489">
        <f>C60*E60</f>
        <v>550000</v>
      </c>
      <c r="G60" s="489">
        <v>551</v>
      </c>
      <c r="H60" s="489">
        <f>SUM(C60*G60)</f>
        <v>275500</v>
      </c>
      <c r="I60" s="489">
        <f>SUM(F60,H60)</f>
        <v>825500</v>
      </c>
      <c r="J60" s="489"/>
    </row>
    <row r="61" spans="1:10">
      <c r="A61" s="504"/>
      <c r="B61" s="489" t="s">
        <v>629</v>
      </c>
      <c r="C61" s="489">
        <v>750</v>
      </c>
      <c r="D61" s="506" t="s">
        <v>14</v>
      </c>
      <c r="E61" s="489">
        <v>1450</v>
      </c>
      <c r="F61" s="489">
        <f>C61*E61</f>
        <v>1087500</v>
      </c>
      <c r="G61" s="489">
        <v>552</v>
      </c>
      <c r="H61" s="489">
        <f>SUM(C61*G61)</f>
        <v>414000</v>
      </c>
      <c r="I61" s="489">
        <f>SUM(F61,H61)</f>
        <v>1501500</v>
      </c>
      <c r="J61" s="489"/>
    </row>
    <row r="62" spans="1:10">
      <c r="A62" s="504" t="s">
        <v>1136</v>
      </c>
      <c r="B62" s="489" t="s">
        <v>630</v>
      </c>
      <c r="C62" s="489"/>
      <c r="D62" s="506"/>
      <c r="E62" s="489"/>
      <c r="F62" s="489"/>
      <c r="G62" s="489"/>
      <c r="H62" s="489"/>
      <c r="I62" s="489"/>
      <c r="J62" s="489"/>
    </row>
    <row r="63" spans="1:10">
      <c r="A63" s="504"/>
      <c r="B63" s="489" t="s">
        <v>631</v>
      </c>
      <c r="C63" s="489">
        <v>45</v>
      </c>
      <c r="D63" s="506" t="s">
        <v>15</v>
      </c>
      <c r="E63" s="489">
        <v>2900</v>
      </c>
      <c r="F63" s="489">
        <f>C63*E63</f>
        <v>130500</v>
      </c>
      <c r="G63" s="489">
        <v>5800</v>
      </c>
      <c r="H63" s="489">
        <f>SUM(C63*G63)</f>
        <v>261000</v>
      </c>
      <c r="I63" s="489">
        <f>SUM(F63,H63)</f>
        <v>391500</v>
      </c>
      <c r="J63" s="489"/>
    </row>
    <row r="64" spans="1:10">
      <c r="A64" s="504"/>
      <c r="B64" s="489" t="s">
        <v>632</v>
      </c>
      <c r="C64" s="489">
        <v>65</v>
      </c>
      <c r="D64" s="506" t="s">
        <v>15</v>
      </c>
      <c r="E64" s="489">
        <v>7100</v>
      </c>
      <c r="F64" s="489">
        <f>C64*E64</f>
        <v>461500</v>
      </c>
      <c r="G64" s="489">
        <v>5801</v>
      </c>
      <c r="H64" s="489">
        <f>SUM(C64*G64)</f>
        <v>377065</v>
      </c>
      <c r="I64" s="489">
        <f>SUM(F64,H64)</f>
        <v>838565</v>
      </c>
      <c r="J64" s="489"/>
    </row>
    <row r="65" spans="1:10">
      <c r="A65" s="504"/>
      <c r="B65" s="489" t="s">
        <v>633</v>
      </c>
      <c r="C65" s="489">
        <v>100</v>
      </c>
      <c r="D65" s="506" t="s">
        <v>15</v>
      </c>
      <c r="E65" s="489">
        <v>12000</v>
      </c>
      <c r="F65" s="489">
        <f>C65*E65</f>
        <v>1200000</v>
      </c>
      <c r="G65" s="489">
        <v>5802</v>
      </c>
      <c r="H65" s="489">
        <f>SUM(C65*G65)</f>
        <v>580200</v>
      </c>
      <c r="I65" s="489">
        <f>SUM(F65,H65)</f>
        <v>1780200</v>
      </c>
      <c r="J65" s="489"/>
    </row>
    <row r="66" spans="1:10">
      <c r="A66" s="504">
        <v>1.4</v>
      </c>
      <c r="B66" s="491" t="s">
        <v>536</v>
      </c>
      <c r="C66" s="508"/>
      <c r="D66" s="506"/>
      <c r="E66" s="489"/>
      <c r="F66" s="489"/>
      <c r="G66" s="489"/>
      <c r="H66" s="489"/>
      <c r="I66" s="489"/>
      <c r="J66" s="489"/>
    </row>
    <row r="67" spans="1:10">
      <c r="A67" s="504"/>
      <c r="B67" s="489" t="s">
        <v>638</v>
      </c>
      <c r="C67" s="904"/>
      <c r="D67" s="905"/>
      <c r="E67" s="673"/>
      <c r="F67" s="673"/>
      <c r="G67" s="673"/>
      <c r="H67" s="673"/>
      <c r="I67" s="673"/>
      <c r="J67" s="489"/>
    </row>
    <row r="68" spans="1:10">
      <c r="A68" s="504"/>
      <c r="B68" s="489" t="s">
        <v>527</v>
      </c>
      <c r="C68" s="489">
        <v>450</v>
      </c>
      <c r="D68" s="506" t="s">
        <v>14</v>
      </c>
      <c r="E68" s="489">
        <v>440</v>
      </c>
      <c r="F68" s="489">
        <f>E68*C68</f>
        <v>198000</v>
      </c>
      <c r="G68" s="489">
        <v>100</v>
      </c>
      <c r="H68" s="489">
        <f>G68*C68</f>
        <v>45000</v>
      </c>
      <c r="I68" s="489">
        <f>H68+F68</f>
        <v>243000</v>
      </c>
      <c r="J68" s="489"/>
    </row>
    <row r="69" spans="1:10">
      <c r="A69" s="504"/>
      <c r="B69" s="489" t="s">
        <v>507</v>
      </c>
      <c r="C69" s="489">
        <v>1</v>
      </c>
      <c r="D69" s="506" t="s">
        <v>508</v>
      </c>
      <c r="E69" s="489">
        <f>FLOOR(SUM(F68)*0.4,10)</f>
        <v>79200</v>
      </c>
      <c r="F69" s="489">
        <f>E69*C69</f>
        <v>79200</v>
      </c>
      <c r="G69" s="489">
        <f>E69*0.3</f>
        <v>23760</v>
      </c>
      <c r="H69" s="489">
        <f>G69*C69</f>
        <v>23760</v>
      </c>
      <c r="I69" s="489">
        <f>H69+F69</f>
        <v>102960</v>
      </c>
      <c r="J69" s="489"/>
    </row>
    <row r="70" spans="1:10">
      <c r="A70" s="504"/>
      <c r="B70" s="489" t="s">
        <v>509</v>
      </c>
      <c r="C70" s="489">
        <v>1</v>
      </c>
      <c r="D70" s="506" t="s">
        <v>508</v>
      </c>
      <c r="E70" s="489">
        <f>FLOOR(SUM(F68)*0.3,10)</f>
        <v>59400</v>
      </c>
      <c r="F70" s="489">
        <f>E70*C70</f>
        <v>59400</v>
      </c>
      <c r="G70" s="489">
        <f>E70*0.3</f>
        <v>17820</v>
      </c>
      <c r="H70" s="489">
        <f>G70*C70</f>
        <v>17820</v>
      </c>
      <c r="I70" s="489">
        <f>H70+F70</f>
        <v>77220</v>
      </c>
      <c r="J70" s="489"/>
    </row>
    <row r="71" spans="1:10">
      <c r="A71" s="504"/>
      <c r="B71" s="489" t="s">
        <v>535</v>
      </c>
      <c r="C71" s="489">
        <v>1</v>
      </c>
      <c r="D71" s="506" t="s">
        <v>508</v>
      </c>
      <c r="E71" s="489">
        <f>FLOOR(SUM(F68)*0.1,10)</f>
        <v>19800</v>
      </c>
      <c r="F71" s="489">
        <f>E71*C71</f>
        <v>19800</v>
      </c>
      <c r="G71" s="489">
        <f>E71*0.3</f>
        <v>5940</v>
      </c>
      <c r="H71" s="489">
        <f>G71*C71</f>
        <v>5940</v>
      </c>
      <c r="I71" s="489">
        <f>H71+F71</f>
        <v>25740</v>
      </c>
      <c r="J71" s="489"/>
    </row>
    <row r="72" spans="1:10">
      <c r="A72" s="504">
        <v>1.5</v>
      </c>
      <c r="B72" s="547" t="s">
        <v>543</v>
      </c>
      <c r="C72" s="489"/>
      <c r="D72" s="506"/>
      <c r="E72" s="489"/>
      <c r="F72" s="489"/>
      <c r="G72" s="489"/>
      <c r="H72" s="489"/>
      <c r="I72" s="489"/>
      <c r="J72" s="489"/>
    </row>
    <row r="73" spans="1:10">
      <c r="A73" s="504"/>
      <c r="B73" s="489" t="s">
        <v>639</v>
      </c>
      <c r="C73" s="489"/>
      <c r="D73" s="506"/>
      <c r="E73" s="489"/>
      <c r="F73" s="489"/>
      <c r="G73" s="489"/>
      <c r="H73" s="489"/>
      <c r="I73" s="489"/>
      <c r="J73" s="489"/>
    </row>
    <row r="74" spans="1:10">
      <c r="A74" s="504"/>
      <c r="B74" s="489" t="s">
        <v>640</v>
      </c>
      <c r="C74" s="489">
        <v>5</v>
      </c>
      <c r="D74" s="506" t="s">
        <v>574</v>
      </c>
      <c r="E74" s="489">
        <f>18600+2800</f>
        <v>21400</v>
      </c>
      <c r="F74" s="489">
        <f>C74*E74</f>
        <v>107000</v>
      </c>
      <c r="G74" s="489">
        <v>900</v>
      </c>
      <c r="H74" s="489">
        <f>C74*G74</f>
        <v>4500</v>
      </c>
      <c r="I74" s="489">
        <f>F74+H74</f>
        <v>111500</v>
      </c>
      <c r="J74" s="489"/>
    </row>
    <row r="75" spans="1:10">
      <c r="A75" s="504">
        <v>1.6</v>
      </c>
      <c r="B75" s="906" t="s">
        <v>652</v>
      </c>
      <c r="C75" s="907"/>
      <c r="D75" s="890" t="s">
        <v>1</v>
      </c>
      <c r="E75" s="891" t="s">
        <v>1</v>
      </c>
      <c r="F75" s="891"/>
      <c r="G75" s="891" t="s">
        <v>1</v>
      </c>
      <c r="H75" s="891"/>
      <c r="I75" s="680" t="s">
        <v>1</v>
      </c>
      <c r="J75" s="489"/>
    </row>
    <row r="76" spans="1:10">
      <c r="A76" s="504"/>
      <c r="B76" s="620" t="s">
        <v>653</v>
      </c>
      <c r="C76" s="486"/>
      <c r="D76" s="486"/>
      <c r="E76" s="487"/>
      <c r="F76" s="488"/>
      <c r="G76" s="487"/>
      <c r="H76" s="488"/>
      <c r="I76" s="488"/>
      <c r="J76" s="489"/>
    </row>
    <row r="77" spans="1:10">
      <c r="A77" s="504"/>
      <c r="B77" s="829" t="s">
        <v>655</v>
      </c>
      <c r="C77" s="908">
        <v>1</v>
      </c>
      <c r="D77" s="510" t="s">
        <v>15</v>
      </c>
      <c r="E77" s="909">
        <v>50000</v>
      </c>
      <c r="F77" s="674">
        <f>E77*C77</f>
        <v>50000</v>
      </c>
      <c r="G77" s="909">
        <v>20000</v>
      </c>
      <c r="H77" s="674">
        <f t="shared" ref="H77:H88" si="1">G77*C77</f>
        <v>20000</v>
      </c>
      <c r="I77" s="674">
        <f t="shared" ref="I77:I88" si="2">F77+H77</f>
        <v>70000</v>
      </c>
      <c r="J77" s="489"/>
    </row>
    <row r="78" spans="1:10">
      <c r="A78" s="504"/>
      <c r="B78" s="503" t="s">
        <v>656</v>
      </c>
      <c r="C78" s="512">
        <v>1</v>
      </c>
      <c r="D78" s="499" t="s">
        <v>15</v>
      </c>
      <c r="E78" s="830">
        <v>8000</v>
      </c>
      <c r="F78" s="674">
        <f t="shared" ref="F78:F88" si="3">E78*C78</f>
        <v>8000</v>
      </c>
      <c r="G78" s="490">
        <v>2000</v>
      </c>
      <c r="H78" s="674">
        <f t="shared" si="1"/>
        <v>2000</v>
      </c>
      <c r="I78" s="674">
        <f t="shared" si="2"/>
        <v>10000</v>
      </c>
      <c r="J78" s="489"/>
    </row>
    <row r="79" spans="1:10">
      <c r="A79" s="504"/>
      <c r="B79" s="503" t="s">
        <v>657</v>
      </c>
      <c r="C79" s="512">
        <v>12</v>
      </c>
      <c r="D79" s="510" t="s">
        <v>15</v>
      </c>
      <c r="E79" s="830">
        <v>5000</v>
      </c>
      <c r="F79" s="674">
        <f t="shared" si="3"/>
        <v>60000</v>
      </c>
      <c r="G79" s="490">
        <v>1000</v>
      </c>
      <c r="H79" s="674">
        <f t="shared" si="1"/>
        <v>12000</v>
      </c>
      <c r="I79" s="674">
        <f t="shared" si="2"/>
        <v>72000</v>
      </c>
      <c r="J79" s="489"/>
    </row>
    <row r="80" spans="1:10">
      <c r="A80" s="504"/>
      <c r="B80" s="503" t="s">
        <v>658</v>
      </c>
      <c r="C80" s="512">
        <v>6</v>
      </c>
      <c r="D80" s="510" t="s">
        <v>15</v>
      </c>
      <c r="E80" s="830">
        <v>4500</v>
      </c>
      <c r="F80" s="674">
        <f t="shared" si="3"/>
        <v>27000</v>
      </c>
      <c r="G80" s="490">
        <v>1000</v>
      </c>
      <c r="H80" s="674">
        <f t="shared" si="1"/>
        <v>6000</v>
      </c>
      <c r="I80" s="674">
        <f t="shared" si="2"/>
        <v>33000</v>
      </c>
      <c r="J80" s="489"/>
    </row>
    <row r="81" spans="1:10">
      <c r="A81" s="504"/>
      <c r="B81" s="503" t="s">
        <v>659</v>
      </c>
      <c r="C81" s="512">
        <v>6</v>
      </c>
      <c r="D81" s="499" t="s">
        <v>15</v>
      </c>
      <c r="E81" s="830">
        <v>1000</v>
      </c>
      <c r="F81" s="674">
        <f t="shared" si="3"/>
        <v>6000</v>
      </c>
      <c r="G81" s="490">
        <v>500</v>
      </c>
      <c r="H81" s="674">
        <f t="shared" si="1"/>
        <v>3000</v>
      </c>
      <c r="I81" s="674">
        <f t="shared" si="2"/>
        <v>9000</v>
      </c>
      <c r="J81" s="489"/>
    </row>
    <row r="82" spans="1:10">
      <c r="A82" s="504"/>
      <c r="B82" s="503" t="s">
        <v>660</v>
      </c>
      <c r="C82" s="512">
        <v>12</v>
      </c>
      <c r="D82" s="499" t="s">
        <v>15</v>
      </c>
      <c r="E82" s="830">
        <v>700</v>
      </c>
      <c r="F82" s="674">
        <f t="shared" si="3"/>
        <v>8400</v>
      </c>
      <c r="G82" s="490">
        <v>200</v>
      </c>
      <c r="H82" s="674">
        <f t="shared" si="1"/>
        <v>2400</v>
      </c>
      <c r="I82" s="674">
        <f t="shared" si="2"/>
        <v>10800</v>
      </c>
      <c r="J82" s="489"/>
    </row>
    <row r="83" spans="1:10">
      <c r="A83" s="504"/>
      <c r="B83" s="503" t="s">
        <v>661</v>
      </c>
      <c r="C83" s="512">
        <v>2460</v>
      </c>
      <c r="D83" s="910" t="s">
        <v>57</v>
      </c>
      <c r="E83" s="830">
        <v>620</v>
      </c>
      <c r="F83" s="674">
        <f t="shared" si="3"/>
        <v>1525200</v>
      </c>
      <c r="G83" s="490">
        <v>70</v>
      </c>
      <c r="H83" s="674">
        <f t="shared" si="1"/>
        <v>172200</v>
      </c>
      <c r="I83" s="674">
        <f t="shared" si="2"/>
        <v>1697400</v>
      </c>
      <c r="J83" s="489"/>
    </row>
    <row r="84" spans="1:10">
      <c r="A84" s="504"/>
      <c r="B84" s="662" t="s">
        <v>662</v>
      </c>
      <c r="C84" s="506">
        <v>12</v>
      </c>
      <c r="D84" s="499" t="s">
        <v>15</v>
      </c>
      <c r="E84" s="489">
        <v>6000</v>
      </c>
      <c r="F84" s="674">
        <f t="shared" si="3"/>
        <v>72000</v>
      </c>
      <c r="G84" s="672">
        <v>2000</v>
      </c>
      <c r="H84" s="674">
        <f t="shared" si="1"/>
        <v>24000</v>
      </c>
      <c r="I84" s="674">
        <f t="shared" si="2"/>
        <v>96000</v>
      </c>
      <c r="J84" s="489"/>
    </row>
    <row r="85" spans="1:10">
      <c r="A85" s="504"/>
      <c r="B85" s="662" t="s">
        <v>663</v>
      </c>
      <c r="C85" s="506">
        <v>400</v>
      </c>
      <c r="D85" s="910" t="s">
        <v>57</v>
      </c>
      <c r="E85" s="489">
        <v>1500</v>
      </c>
      <c r="F85" s="674">
        <f t="shared" si="3"/>
        <v>600000</v>
      </c>
      <c r="G85" s="672">
        <v>500</v>
      </c>
      <c r="H85" s="674">
        <f t="shared" si="1"/>
        <v>200000</v>
      </c>
      <c r="I85" s="674">
        <f t="shared" si="2"/>
        <v>800000</v>
      </c>
      <c r="J85" s="489"/>
    </row>
    <row r="86" spans="1:10">
      <c r="A86" s="504"/>
      <c r="B86" s="662" t="s">
        <v>664</v>
      </c>
      <c r="C86" s="506">
        <v>40</v>
      </c>
      <c r="D86" s="910" t="s">
        <v>57</v>
      </c>
      <c r="E86" s="489">
        <v>546</v>
      </c>
      <c r="F86" s="674">
        <f t="shared" si="3"/>
        <v>21840</v>
      </c>
      <c r="G86" s="672">
        <v>85</v>
      </c>
      <c r="H86" s="674">
        <f t="shared" si="1"/>
        <v>3400</v>
      </c>
      <c r="I86" s="674">
        <f t="shared" si="2"/>
        <v>25240</v>
      </c>
      <c r="J86" s="489"/>
    </row>
    <row r="87" spans="1:10">
      <c r="A87" s="504"/>
      <c r="B87" s="662" t="s">
        <v>665</v>
      </c>
      <c r="C87" s="506">
        <v>6</v>
      </c>
      <c r="D87" s="499" t="s">
        <v>15</v>
      </c>
      <c r="E87" s="489">
        <v>80000</v>
      </c>
      <c r="F87" s="674">
        <f t="shared" si="3"/>
        <v>480000</v>
      </c>
      <c r="G87" s="672">
        <v>20000</v>
      </c>
      <c r="H87" s="674">
        <f t="shared" si="1"/>
        <v>120000</v>
      </c>
      <c r="I87" s="674">
        <f t="shared" si="2"/>
        <v>600000</v>
      </c>
      <c r="J87" s="489"/>
    </row>
    <row r="88" spans="1:10">
      <c r="A88" s="504"/>
      <c r="B88" s="662" t="s">
        <v>666</v>
      </c>
      <c r="C88" s="506">
        <v>1</v>
      </c>
      <c r="D88" s="499" t="s">
        <v>15</v>
      </c>
      <c r="E88" s="489">
        <v>10000</v>
      </c>
      <c r="F88" s="674">
        <f t="shared" si="3"/>
        <v>10000</v>
      </c>
      <c r="G88" s="672">
        <v>2500</v>
      </c>
      <c r="H88" s="674">
        <f t="shared" si="1"/>
        <v>2500</v>
      </c>
      <c r="I88" s="674">
        <f t="shared" si="2"/>
        <v>12500</v>
      </c>
      <c r="J88" s="489"/>
    </row>
    <row r="89" spans="1:10">
      <c r="A89" s="513"/>
      <c r="B89" s="911" t="s">
        <v>667</v>
      </c>
      <c r="C89" s="682">
        <v>1</v>
      </c>
      <c r="D89" s="912" t="s">
        <v>508</v>
      </c>
      <c r="E89" s="660">
        <f>I89*0.8</f>
        <v>137440</v>
      </c>
      <c r="F89" s="913">
        <f>C89*E89</f>
        <v>137440</v>
      </c>
      <c r="G89" s="913">
        <f>I89*0.2</f>
        <v>34360</v>
      </c>
      <c r="H89" s="674">
        <f>C89*G89</f>
        <v>34360</v>
      </c>
      <c r="I89" s="674">
        <f>ROUNDUP(SUM(I77:I88)*5%,-2)</f>
        <v>171800</v>
      </c>
      <c r="J89" s="489"/>
    </row>
    <row r="90" spans="1:10">
      <c r="A90" s="504"/>
      <c r="B90" s="511"/>
      <c r="C90" s="506"/>
      <c r="D90" s="505"/>
      <c r="E90" s="489"/>
      <c r="F90" s="660"/>
      <c r="G90" s="490"/>
      <c r="H90" s="665"/>
      <c r="I90" s="665"/>
      <c r="J90" s="489"/>
    </row>
    <row r="91" spans="1:10">
      <c r="A91" s="838"/>
      <c r="B91" s="833" t="s">
        <v>668</v>
      </c>
      <c r="C91" s="840"/>
      <c r="D91" s="845"/>
      <c r="E91" s="837"/>
      <c r="F91" s="842">
        <f>SUM(F24:F90)</f>
        <v>9949100</v>
      </c>
      <c r="G91" s="842"/>
      <c r="H91" s="842">
        <f>SUM(H24:H90)</f>
        <v>3832391</v>
      </c>
      <c r="I91" s="842">
        <f>SUM(I24:I90)</f>
        <v>13781491</v>
      </c>
      <c r="J91" s="837"/>
    </row>
    <row r="92" spans="1:10">
      <c r="A92" s="504"/>
      <c r="B92" s="511"/>
      <c r="C92" s="506"/>
      <c r="D92" s="505"/>
      <c r="E92" s="489"/>
      <c r="F92" s="660"/>
      <c r="G92" s="490"/>
      <c r="H92" s="665"/>
      <c r="I92" s="665"/>
      <c r="J92" s="489"/>
    </row>
    <row r="93" spans="1:10">
      <c r="A93" s="504">
        <v>2</v>
      </c>
      <c r="B93" s="515" t="s">
        <v>17</v>
      </c>
      <c r="C93" s="506"/>
      <c r="D93" s="505"/>
      <c r="E93" s="489"/>
      <c r="F93" s="489"/>
      <c r="G93" s="490"/>
      <c r="H93" s="490"/>
      <c r="I93" s="490"/>
      <c r="J93" s="489"/>
    </row>
    <row r="94" spans="1:10">
      <c r="A94" s="504">
        <v>2.1</v>
      </c>
      <c r="B94" s="875" t="s">
        <v>1772</v>
      </c>
      <c r="C94" s="506"/>
      <c r="D94" s="505"/>
      <c r="E94" s="489"/>
      <c r="F94" s="489"/>
      <c r="G94" s="507"/>
      <c r="H94" s="490"/>
      <c r="I94" s="490"/>
      <c r="J94" s="489"/>
    </row>
    <row r="95" spans="1:10">
      <c r="A95" s="504"/>
      <c r="B95" s="914" t="s">
        <v>1061</v>
      </c>
      <c r="C95" s="915">
        <v>3</v>
      </c>
      <c r="D95" s="499" t="s">
        <v>1062</v>
      </c>
      <c r="E95" s="590">
        <v>13400</v>
      </c>
      <c r="F95" s="663">
        <f>E95*C95</f>
        <v>40200</v>
      </c>
      <c r="G95" s="916">
        <v>0</v>
      </c>
      <c r="H95" s="917">
        <f>G95*C95</f>
        <v>0</v>
      </c>
      <c r="I95" s="897">
        <f>H95+F95</f>
        <v>40200</v>
      </c>
      <c r="J95" s="489"/>
    </row>
    <row r="96" spans="1:10">
      <c r="A96" s="496">
        <v>2.2000000000000002</v>
      </c>
      <c r="B96" s="497" t="s">
        <v>1759</v>
      </c>
      <c r="C96" s="506"/>
      <c r="D96" s="499"/>
      <c r="E96" s="489"/>
      <c r="F96" s="489"/>
      <c r="G96" s="507"/>
      <c r="H96" s="490"/>
      <c r="I96" s="490"/>
      <c r="J96" s="489"/>
    </row>
    <row r="97" spans="1:10">
      <c r="A97" s="496" t="s">
        <v>1773</v>
      </c>
      <c r="B97" s="497" t="s">
        <v>669</v>
      </c>
      <c r="C97" s="506"/>
      <c r="D97" s="499"/>
      <c r="E97" s="489"/>
      <c r="F97" s="1185"/>
      <c r="G97" s="1186"/>
      <c r="H97" s="1187"/>
      <c r="I97" s="1187"/>
      <c r="J97" s="489"/>
    </row>
    <row r="98" spans="1:10">
      <c r="A98" s="1188"/>
      <c r="B98" s="1189" t="s">
        <v>1138</v>
      </c>
      <c r="C98" s="1190">
        <v>1235</v>
      </c>
      <c r="D98" s="1191" t="s">
        <v>670</v>
      </c>
      <c r="E98" s="1192">
        <v>3925</v>
      </c>
      <c r="F98" s="1192">
        <f>C98*E98</f>
        <v>4847375</v>
      </c>
      <c r="G98" s="1186">
        <v>591</v>
      </c>
      <c r="H98" s="1187">
        <f>G98*C98</f>
        <v>729885</v>
      </c>
      <c r="I98" s="1187">
        <f>F98+H98</f>
        <v>5577260</v>
      </c>
      <c r="J98" s="660"/>
    </row>
    <row r="99" spans="1:10">
      <c r="A99" s="1188"/>
      <c r="B99" s="1189" t="s">
        <v>1760</v>
      </c>
      <c r="C99" s="1190">
        <v>12</v>
      </c>
      <c r="D99" s="1191" t="s">
        <v>670</v>
      </c>
      <c r="E99" s="1192">
        <v>0</v>
      </c>
      <c r="F99" s="1192">
        <f t="shared" ref="F99:F122" si="4">C99*E99</f>
        <v>0</v>
      </c>
      <c r="G99" s="1186">
        <v>26500</v>
      </c>
      <c r="H99" s="1187">
        <f t="shared" ref="H99:H122" si="5">G99*C99</f>
        <v>318000</v>
      </c>
      <c r="I99" s="1187">
        <f t="shared" ref="I99:I122" si="6">F99+H99</f>
        <v>318000</v>
      </c>
      <c r="J99" s="660"/>
    </row>
    <row r="100" spans="1:10">
      <c r="A100" s="1188"/>
      <c r="B100" s="1189" t="s">
        <v>1761</v>
      </c>
      <c r="C100" s="1190">
        <v>1230</v>
      </c>
      <c r="D100" s="1191" t="s">
        <v>670</v>
      </c>
      <c r="E100" s="1192">
        <v>0</v>
      </c>
      <c r="F100" s="1192">
        <f t="shared" si="4"/>
        <v>0</v>
      </c>
      <c r="G100" s="1186">
        <v>350</v>
      </c>
      <c r="H100" s="1187">
        <f t="shared" si="5"/>
        <v>430500</v>
      </c>
      <c r="I100" s="1187">
        <f t="shared" si="6"/>
        <v>430500</v>
      </c>
      <c r="J100" s="660"/>
    </row>
    <row r="101" spans="1:10">
      <c r="A101" s="1188"/>
      <c r="B101" s="1189" t="s">
        <v>671</v>
      </c>
      <c r="C101" s="1190">
        <v>1230</v>
      </c>
      <c r="D101" s="1191" t="s">
        <v>670</v>
      </c>
      <c r="E101" s="1192">
        <v>0</v>
      </c>
      <c r="F101" s="1192">
        <f t="shared" si="4"/>
        <v>0</v>
      </c>
      <c r="G101" s="1186">
        <v>350</v>
      </c>
      <c r="H101" s="1187">
        <f t="shared" si="5"/>
        <v>430500</v>
      </c>
      <c r="I101" s="1187">
        <f t="shared" si="6"/>
        <v>430500</v>
      </c>
      <c r="J101" s="660"/>
    </row>
    <row r="102" spans="1:10">
      <c r="A102" s="1188"/>
      <c r="B102" s="1193" t="s">
        <v>672</v>
      </c>
      <c r="C102" s="1190">
        <v>4184.8682200000003</v>
      </c>
      <c r="D102" s="1191" t="s">
        <v>43</v>
      </c>
      <c r="E102" s="1192">
        <v>0</v>
      </c>
      <c r="F102" s="1192">
        <f t="shared" si="4"/>
        <v>0</v>
      </c>
      <c r="G102" s="1186">
        <v>125</v>
      </c>
      <c r="H102" s="1187">
        <f t="shared" si="5"/>
        <v>523108.52750000003</v>
      </c>
      <c r="I102" s="1187">
        <f t="shared" si="6"/>
        <v>523108.52750000003</v>
      </c>
      <c r="J102" s="660"/>
    </row>
    <row r="103" spans="1:10">
      <c r="A103" s="1188"/>
      <c r="B103" s="1193" t="s">
        <v>673</v>
      </c>
      <c r="C103" s="1190">
        <v>1856.8579499999996</v>
      </c>
      <c r="D103" s="1191" t="s">
        <v>43</v>
      </c>
      <c r="E103" s="1192">
        <v>0</v>
      </c>
      <c r="F103" s="1192">
        <f t="shared" si="4"/>
        <v>0</v>
      </c>
      <c r="G103" s="1186">
        <v>99</v>
      </c>
      <c r="H103" s="1187">
        <f t="shared" si="5"/>
        <v>183828.93704999995</v>
      </c>
      <c r="I103" s="1187">
        <f t="shared" si="6"/>
        <v>183828.93704999995</v>
      </c>
      <c r="J103" s="660"/>
    </row>
    <row r="104" spans="1:10">
      <c r="A104" s="1188"/>
      <c r="B104" s="1193" t="s">
        <v>674</v>
      </c>
      <c r="C104" s="1190">
        <v>1780.2518818694771</v>
      </c>
      <c r="D104" s="1191" t="s">
        <v>43</v>
      </c>
      <c r="E104" s="1192">
        <v>2287</v>
      </c>
      <c r="F104" s="1192">
        <f t="shared" si="4"/>
        <v>4071436.053835494</v>
      </c>
      <c r="G104" s="1186">
        <v>485</v>
      </c>
      <c r="H104" s="1187">
        <f t="shared" si="5"/>
        <v>863422.16270669643</v>
      </c>
      <c r="I104" s="1187">
        <f t="shared" si="6"/>
        <v>4934858.2165421899</v>
      </c>
      <c r="J104" s="660"/>
    </row>
    <row r="105" spans="1:10">
      <c r="A105" s="1188"/>
      <c r="B105" s="1193" t="s">
        <v>1664</v>
      </c>
      <c r="C105" s="1190">
        <v>4850.9773960735092</v>
      </c>
      <c r="D105" s="1194" t="s">
        <v>1665</v>
      </c>
      <c r="E105" s="1192">
        <v>0</v>
      </c>
      <c r="F105" s="1192">
        <f t="shared" si="4"/>
        <v>0</v>
      </c>
      <c r="G105" s="1186">
        <v>115</v>
      </c>
      <c r="H105" s="1187">
        <f t="shared" si="5"/>
        <v>557862.40054845356</v>
      </c>
      <c r="I105" s="1187">
        <f t="shared" si="6"/>
        <v>557862.40054845356</v>
      </c>
      <c r="J105" s="660"/>
    </row>
    <row r="106" spans="1:10">
      <c r="A106" s="1188"/>
      <c r="B106" s="1193" t="s">
        <v>675</v>
      </c>
      <c r="C106" s="1190">
        <v>2910.5864376441059</v>
      </c>
      <c r="D106" s="1194" t="s">
        <v>1665</v>
      </c>
      <c r="E106" s="1192">
        <v>400</v>
      </c>
      <c r="F106" s="1192">
        <f t="shared" si="4"/>
        <v>1164234.5750576423</v>
      </c>
      <c r="G106" s="1186">
        <v>0</v>
      </c>
      <c r="H106" s="1187">
        <f t="shared" si="5"/>
        <v>0</v>
      </c>
      <c r="I106" s="1187">
        <f t="shared" si="6"/>
        <v>1164234.5750576423</v>
      </c>
      <c r="J106" s="660"/>
    </row>
    <row r="107" spans="1:10">
      <c r="A107" s="1188"/>
      <c r="B107" s="1193" t="s">
        <v>1666</v>
      </c>
      <c r="C107" s="1190">
        <v>873.17593129323166</v>
      </c>
      <c r="D107" s="1194" t="s">
        <v>1665</v>
      </c>
      <c r="E107" s="1192">
        <v>400</v>
      </c>
      <c r="F107" s="1192">
        <f t="shared" si="4"/>
        <v>349270.37251729268</v>
      </c>
      <c r="G107" s="1186">
        <v>0</v>
      </c>
      <c r="H107" s="1187">
        <f t="shared" si="5"/>
        <v>0</v>
      </c>
      <c r="I107" s="1187">
        <f t="shared" si="6"/>
        <v>349270.37251729268</v>
      </c>
      <c r="J107" s="660"/>
    </row>
    <row r="108" spans="1:10">
      <c r="A108" s="1188"/>
      <c r="B108" s="1193" t="s">
        <v>676</v>
      </c>
      <c r="C108" s="1190">
        <v>1455.2932188220529</v>
      </c>
      <c r="D108" s="1194" t="s">
        <v>19</v>
      </c>
      <c r="E108" s="1192">
        <v>56.07</v>
      </c>
      <c r="F108" s="1192">
        <f t="shared" si="4"/>
        <v>81598.290779352508</v>
      </c>
      <c r="G108" s="1186">
        <v>0</v>
      </c>
      <c r="H108" s="1187">
        <f t="shared" si="5"/>
        <v>0</v>
      </c>
      <c r="I108" s="1187">
        <f t="shared" si="6"/>
        <v>81598.290779352508</v>
      </c>
      <c r="J108" s="660"/>
    </row>
    <row r="109" spans="1:10">
      <c r="A109" s="1188"/>
      <c r="B109" s="1193" t="s">
        <v>677</v>
      </c>
      <c r="C109" s="1190">
        <v>109.23962125000001</v>
      </c>
      <c r="D109" s="1194" t="s">
        <v>43</v>
      </c>
      <c r="E109" s="1192">
        <v>1989</v>
      </c>
      <c r="F109" s="1192">
        <f t="shared" si="4"/>
        <v>217277.60666625004</v>
      </c>
      <c r="G109" s="1186">
        <v>398</v>
      </c>
      <c r="H109" s="1187">
        <f t="shared" si="5"/>
        <v>43477.369257500002</v>
      </c>
      <c r="I109" s="1187">
        <f t="shared" si="6"/>
        <v>260754.97592375003</v>
      </c>
      <c r="J109" s="660"/>
    </row>
    <row r="110" spans="1:10">
      <c r="A110" s="1188"/>
      <c r="B110" s="1193" t="s">
        <v>678</v>
      </c>
      <c r="C110" s="1190">
        <v>142.48646250000002</v>
      </c>
      <c r="D110" s="1194" t="s">
        <v>43</v>
      </c>
      <c r="E110" s="1192">
        <v>406.5</v>
      </c>
      <c r="F110" s="1192">
        <f t="shared" si="4"/>
        <v>57920.747006250007</v>
      </c>
      <c r="G110" s="1186">
        <v>91</v>
      </c>
      <c r="H110" s="1187">
        <f t="shared" si="5"/>
        <v>12966.268087500001</v>
      </c>
      <c r="I110" s="1187">
        <f t="shared" si="6"/>
        <v>70887.01509375</v>
      </c>
      <c r="J110" s="660"/>
    </row>
    <row r="111" spans="1:10">
      <c r="A111" s="1188"/>
      <c r="B111" s="1193" t="s">
        <v>679</v>
      </c>
      <c r="C111" s="1190"/>
      <c r="D111" s="1194"/>
      <c r="E111" s="1192"/>
      <c r="F111" s="1192"/>
      <c r="G111" s="1186"/>
      <c r="H111" s="1187"/>
      <c r="I111" s="1187"/>
      <c r="J111" s="660"/>
    </row>
    <row r="112" spans="1:10">
      <c r="A112" s="1188"/>
      <c r="B112" s="1195" t="s">
        <v>1667</v>
      </c>
      <c r="C112" s="1118">
        <v>6968.2795414729635</v>
      </c>
      <c r="D112" s="1194" t="s">
        <v>19</v>
      </c>
      <c r="E112" s="1124">
        <v>18.2</v>
      </c>
      <c r="F112" s="1124">
        <f t="shared" si="4"/>
        <v>126822.68765480793</v>
      </c>
      <c r="G112" s="1186">
        <v>4.0999999999999996</v>
      </c>
      <c r="H112" s="1187">
        <f t="shared" si="5"/>
        <v>28569.946120039149</v>
      </c>
      <c r="I112" s="1187">
        <f t="shared" si="6"/>
        <v>155392.63377484708</v>
      </c>
      <c r="J112" s="660"/>
    </row>
    <row r="113" spans="1:10">
      <c r="A113" s="1073"/>
      <c r="B113" s="1195" t="s">
        <v>1668</v>
      </c>
      <c r="C113" s="1118">
        <v>9583.4791648000009</v>
      </c>
      <c r="D113" s="1194" t="s">
        <v>19</v>
      </c>
      <c r="E113" s="1124">
        <v>19.3</v>
      </c>
      <c r="F113" s="1124">
        <f t="shared" si="4"/>
        <v>184961.14788064003</v>
      </c>
      <c r="G113" s="1186">
        <v>3.3</v>
      </c>
      <c r="H113" s="1187">
        <f t="shared" si="5"/>
        <v>31625.48124384</v>
      </c>
      <c r="I113" s="1187">
        <f t="shared" si="6"/>
        <v>216586.62912448004</v>
      </c>
      <c r="J113" s="660"/>
    </row>
    <row r="114" spans="1:10">
      <c r="A114" s="1073"/>
      <c r="B114" s="1195" t="s">
        <v>1669</v>
      </c>
      <c r="C114" s="1118">
        <v>41481.05768640001</v>
      </c>
      <c r="D114" s="1194" t="s">
        <v>19</v>
      </c>
      <c r="E114" s="1124">
        <v>17.7</v>
      </c>
      <c r="F114" s="1124">
        <f t="shared" si="4"/>
        <v>734214.72104928014</v>
      </c>
      <c r="G114" s="1186">
        <v>3.3</v>
      </c>
      <c r="H114" s="1187">
        <f t="shared" si="5"/>
        <v>136887.49036512003</v>
      </c>
      <c r="I114" s="1187">
        <f t="shared" si="6"/>
        <v>871102.21141440014</v>
      </c>
      <c r="J114" s="660"/>
    </row>
    <row r="115" spans="1:10">
      <c r="A115" s="1073"/>
      <c r="B115" s="1195" t="s">
        <v>1670</v>
      </c>
      <c r="C115" s="1118">
        <v>49316.391255599992</v>
      </c>
      <c r="D115" s="1194" t="s">
        <v>19</v>
      </c>
      <c r="E115" s="1124">
        <v>16.100000000000001</v>
      </c>
      <c r="F115" s="1124">
        <f t="shared" si="4"/>
        <v>793993.89921515994</v>
      </c>
      <c r="G115" s="1186">
        <v>2.9</v>
      </c>
      <c r="H115" s="1187">
        <f t="shared" si="5"/>
        <v>143017.53464123997</v>
      </c>
      <c r="I115" s="1187">
        <f t="shared" si="6"/>
        <v>937011.43385639996</v>
      </c>
      <c r="J115" s="660"/>
    </row>
    <row r="116" spans="1:10">
      <c r="A116" s="1073"/>
      <c r="B116" s="1195" t="s">
        <v>1671</v>
      </c>
      <c r="C116" s="1118">
        <v>127176.98658658334</v>
      </c>
      <c r="D116" s="1194" t="s">
        <v>19</v>
      </c>
      <c r="E116" s="1124">
        <v>16.100000000000001</v>
      </c>
      <c r="F116" s="1124">
        <f t="shared" si="4"/>
        <v>2047549.4840439919</v>
      </c>
      <c r="G116" s="1186">
        <v>2.9</v>
      </c>
      <c r="H116" s="1187">
        <f t="shared" si="5"/>
        <v>368813.26110109169</v>
      </c>
      <c r="I116" s="1187">
        <f t="shared" si="6"/>
        <v>2416362.7451450834</v>
      </c>
      <c r="J116" s="660"/>
    </row>
    <row r="117" spans="1:10">
      <c r="A117" s="1073"/>
      <c r="B117" s="1195" t="s">
        <v>1672</v>
      </c>
      <c r="C117" s="1118">
        <v>6163.9300799999992</v>
      </c>
      <c r="D117" s="1194" t="s">
        <v>19</v>
      </c>
      <c r="E117" s="1124">
        <v>16.100000000000001</v>
      </c>
      <c r="F117" s="1124">
        <f t="shared" si="4"/>
        <v>99239.274288000001</v>
      </c>
      <c r="G117" s="1186">
        <v>2.9</v>
      </c>
      <c r="H117" s="1187">
        <f t="shared" si="5"/>
        <v>17875.397231999996</v>
      </c>
      <c r="I117" s="1187">
        <f t="shared" si="6"/>
        <v>117114.67152</v>
      </c>
      <c r="J117" s="660"/>
    </row>
    <row r="118" spans="1:10">
      <c r="A118" s="1073"/>
      <c r="B118" s="1196" t="s">
        <v>1673</v>
      </c>
      <c r="C118" s="1118">
        <v>7523.2079999999996</v>
      </c>
      <c r="D118" s="1194" t="s">
        <v>19</v>
      </c>
      <c r="E118" s="1124">
        <v>16.100000000000001</v>
      </c>
      <c r="F118" s="1124">
        <f t="shared" si="4"/>
        <v>121123.64880000001</v>
      </c>
      <c r="G118" s="1186">
        <v>2.9</v>
      </c>
      <c r="H118" s="1187">
        <f t="shared" si="5"/>
        <v>21817.303199999998</v>
      </c>
      <c r="I118" s="1187">
        <f t="shared" si="6"/>
        <v>142940.95200000002</v>
      </c>
      <c r="J118" s="660"/>
    </row>
    <row r="119" spans="1:10">
      <c r="A119" s="1073"/>
      <c r="B119" s="1197" t="s">
        <v>680</v>
      </c>
      <c r="C119" s="1118">
        <v>7446.3999694456888</v>
      </c>
      <c r="D119" s="1194" t="s">
        <v>19</v>
      </c>
      <c r="E119" s="1124">
        <v>47.2</v>
      </c>
      <c r="F119" s="1124">
        <f t="shared" si="4"/>
        <v>351470.07855783653</v>
      </c>
      <c r="G119" s="1186">
        <v>4.0999999999999996</v>
      </c>
      <c r="H119" s="1187">
        <f t="shared" si="5"/>
        <v>30530.239874727322</v>
      </c>
      <c r="I119" s="1187">
        <f t="shared" si="6"/>
        <v>382000.31843256386</v>
      </c>
      <c r="J119" s="660"/>
    </row>
    <row r="120" spans="1:10">
      <c r="A120" s="1073"/>
      <c r="B120" s="1198" t="s">
        <v>914</v>
      </c>
      <c r="C120" s="1118">
        <v>69</v>
      </c>
      <c r="D120" s="1194" t="s">
        <v>14</v>
      </c>
      <c r="E120" s="1124">
        <v>280</v>
      </c>
      <c r="F120" s="1124">
        <f t="shared" si="4"/>
        <v>19320</v>
      </c>
      <c r="G120" s="1186">
        <v>35</v>
      </c>
      <c r="H120" s="1187">
        <f t="shared" si="5"/>
        <v>2415</v>
      </c>
      <c r="I120" s="1187">
        <f t="shared" si="6"/>
        <v>21735</v>
      </c>
      <c r="J120" s="660"/>
    </row>
    <row r="121" spans="1:10">
      <c r="A121" s="1073"/>
      <c r="B121" s="1198" t="s">
        <v>1674</v>
      </c>
      <c r="C121" s="1118">
        <v>340</v>
      </c>
      <c r="D121" s="1194" t="s">
        <v>16</v>
      </c>
      <c r="E121" s="1124">
        <v>270</v>
      </c>
      <c r="F121" s="1124">
        <f t="shared" si="4"/>
        <v>91800</v>
      </c>
      <c r="G121" s="1186">
        <v>87</v>
      </c>
      <c r="H121" s="1187">
        <f t="shared" si="5"/>
        <v>29580</v>
      </c>
      <c r="I121" s="1187">
        <f t="shared" si="6"/>
        <v>121380</v>
      </c>
      <c r="J121" s="660"/>
    </row>
    <row r="122" spans="1:10">
      <c r="A122" s="1073"/>
      <c r="B122" s="1198" t="s">
        <v>1675</v>
      </c>
      <c r="C122" s="1118">
        <v>180</v>
      </c>
      <c r="D122" s="1194" t="s">
        <v>16</v>
      </c>
      <c r="E122" s="1124">
        <v>100</v>
      </c>
      <c r="F122" s="1124">
        <f t="shared" si="4"/>
        <v>18000</v>
      </c>
      <c r="G122" s="1186">
        <v>30</v>
      </c>
      <c r="H122" s="1187">
        <f t="shared" si="5"/>
        <v>5400</v>
      </c>
      <c r="I122" s="1187">
        <f t="shared" si="6"/>
        <v>23400</v>
      </c>
      <c r="J122" s="660"/>
    </row>
    <row r="123" spans="1:10">
      <c r="A123" s="1073" t="s">
        <v>1774</v>
      </c>
      <c r="B123" s="1199" t="s">
        <v>681</v>
      </c>
      <c r="C123" s="1118"/>
      <c r="D123" s="1194"/>
      <c r="E123" s="1124"/>
      <c r="F123" s="1124"/>
      <c r="G123" s="1186"/>
      <c r="H123" s="1187"/>
      <c r="I123" s="1187"/>
      <c r="J123" s="660"/>
    </row>
    <row r="124" spans="1:10">
      <c r="A124" s="1073"/>
      <c r="B124" s="1193" t="s">
        <v>674</v>
      </c>
      <c r="C124" s="1118">
        <v>3418.407584319772</v>
      </c>
      <c r="D124" s="1194" t="s">
        <v>43</v>
      </c>
      <c r="E124" s="1124">
        <v>2287</v>
      </c>
      <c r="F124" s="1124">
        <f>C124*E124</f>
        <v>7817898.1453393186</v>
      </c>
      <c r="G124" s="1186">
        <v>485</v>
      </c>
      <c r="H124" s="1187">
        <f>G124*C124</f>
        <v>1657927.6783950895</v>
      </c>
      <c r="I124" s="1187">
        <f>F124+H124</f>
        <v>9475825.8237344082</v>
      </c>
      <c r="J124" s="660"/>
    </row>
    <row r="125" spans="1:10">
      <c r="A125" s="1073"/>
      <c r="B125" s="1193" t="s">
        <v>1664</v>
      </c>
      <c r="C125" s="1118">
        <v>19913.2378982351</v>
      </c>
      <c r="D125" s="1194" t="s">
        <v>1665</v>
      </c>
      <c r="E125" s="1124">
        <v>0</v>
      </c>
      <c r="F125" s="1124">
        <f t="shared" ref="F125:F141" si="7">C125*E125</f>
        <v>0</v>
      </c>
      <c r="G125" s="1186">
        <v>115</v>
      </c>
      <c r="H125" s="1187">
        <f t="shared" ref="H125:H141" si="8">G125*C125</f>
        <v>2290022.3582970365</v>
      </c>
      <c r="I125" s="1187">
        <f t="shared" ref="I125:I141" si="9">F125+H125</f>
        <v>2290022.3582970365</v>
      </c>
      <c r="J125" s="660"/>
    </row>
    <row r="126" spans="1:10">
      <c r="A126" s="1073"/>
      <c r="B126" s="1193" t="s">
        <v>675</v>
      </c>
      <c r="C126" s="1118">
        <v>11947.942738941059</v>
      </c>
      <c r="D126" s="1194" t="s">
        <v>1665</v>
      </c>
      <c r="E126" s="1124">
        <v>400</v>
      </c>
      <c r="F126" s="1124">
        <f t="shared" si="7"/>
        <v>4779177.0955764242</v>
      </c>
      <c r="G126" s="1186">
        <v>0</v>
      </c>
      <c r="H126" s="1187">
        <f t="shared" si="8"/>
        <v>0</v>
      </c>
      <c r="I126" s="1187">
        <f t="shared" si="9"/>
        <v>4779177.0955764242</v>
      </c>
      <c r="J126" s="660"/>
    </row>
    <row r="127" spans="1:10">
      <c r="A127" s="1073"/>
      <c r="B127" s="1193" t="s">
        <v>1666</v>
      </c>
      <c r="C127" s="1118">
        <v>3584.3828216823176</v>
      </c>
      <c r="D127" s="1194" t="s">
        <v>1665</v>
      </c>
      <c r="E127" s="1124">
        <v>400</v>
      </c>
      <c r="F127" s="1124">
        <f t="shared" si="7"/>
        <v>1433753.1286729272</v>
      </c>
      <c r="G127" s="1186">
        <v>0</v>
      </c>
      <c r="H127" s="1187">
        <f t="shared" si="8"/>
        <v>0</v>
      </c>
      <c r="I127" s="1187">
        <f t="shared" si="9"/>
        <v>1433753.1286729272</v>
      </c>
      <c r="J127" s="660"/>
    </row>
    <row r="128" spans="1:10">
      <c r="A128" s="1073"/>
      <c r="B128" s="1193" t="s">
        <v>676</v>
      </c>
      <c r="C128" s="1118">
        <v>5973.9713694705297</v>
      </c>
      <c r="D128" s="1194" t="s">
        <v>19</v>
      </c>
      <c r="E128" s="1124">
        <v>56.07</v>
      </c>
      <c r="F128" s="1124">
        <f t="shared" si="7"/>
        <v>334960.57468621258</v>
      </c>
      <c r="G128" s="1186">
        <v>0</v>
      </c>
      <c r="H128" s="1187">
        <f t="shared" si="8"/>
        <v>0</v>
      </c>
      <c r="I128" s="1187">
        <f t="shared" si="9"/>
        <v>334960.57468621258</v>
      </c>
      <c r="J128" s="660"/>
    </row>
    <row r="129" spans="1:10">
      <c r="A129" s="1073"/>
      <c r="B129" s="1193" t="s">
        <v>677</v>
      </c>
      <c r="C129" s="1118">
        <v>6.21</v>
      </c>
      <c r="D129" s="1194" t="s">
        <v>43</v>
      </c>
      <c r="E129" s="1124">
        <v>1989</v>
      </c>
      <c r="F129" s="1124">
        <f t="shared" si="7"/>
        <v>12351.69</v>
      </c>
      <c r="G129" s="1186">
        <v>398</v>
      </c>
      <c r="H129" s="1187">
        <f t="shared" si="8"/>
        <v>2471.58</v>
      </c>
      <c r="I129" s="1187">
        <f t="shared" si="9"/>
        <v>14823.27</v>
      </c>
      <c r="J129" s="660"/>
    </row>
    <row r="130" spans="1:10">
      <c r="A130" s="1073"/>
      <c r="B130" s="1193" t="s">
        <v>678</v>
      </c>
      <c r="C130" s="1118">
        <v>8.1000000000000014</v>
      </c>
      <c r="D130" s="1194" t="s">
        <v>43</v>
      </c>
      <c r="E130" s="1124">
        <v>406.5</v>
      </c>
      <c r="F130" s="1124">
        <f t="shared" si="7"/>
        <v>3292.6500000000005</v>
      </c>
      <c r="G130" s="1186">
        <v>91</v>
      </c>
      <c r="H130" s="1187">
        <f t="shared" si="8"/>
        <v>737.10000000000014</v>
      </c>
      <c r="I130" s="1187">
        <f t="shared" si="9"/>
        <v>4029.7500000000009</v>
      </c>
      <c r="J130" s="660"/>
    </row>
    <row r="131" spans="1:10">
      <c r="A131" s="1073"/>
      <c r="B131" s="1193" t="s">
        <v>679</v>
      </c>
      <c r="C131" s="1118"/>
      <c r="D131" s="1194"/>
      <c r="E131" s="1124"/>
      <c r="F131" s="1124"/>
      <c r="G131" s="1186"/>
      <c r="H131" s="1187"/>
      <c r="I131" s="1187"/>
      <c r="J131" s="660"/>
    </row>
    <row r="132" spans="1:10">
      <c r="A132" s="1073"/>
      <c r="B132" s="1195" t="s">
        <v>1676</v>
      </c>
      <c r="C132" s="1118">
        <v>201.15912576374998</v>
      </c>
      <c r="D132" s="1194" t="s">
        <v>19</v>
      </c>
      <c r="E132" s="1124">
        <v>19.5</v>
      </c>
      <c r="F132" s="1124">
        <f t="shared" si="7"/>
        <v>3922.6029523931247</v>
      </c>
      <c r="G132" s="1186">
        <v>4.0999999999999996</v>
      </c>
      <c r="H132" s="1187">
        <f t="shared" si="8"/>
        <v>824.7524156313749</v>
      </c>
      <c r="I132" s="1187">
        <f t="shared" si="9"/>
        <v>4747.3553680244995</v>
      </c>
      <c r="J132" s="660"/>
    </row>
    <row r="133" spans="1:10">
      <c r="A133" s="1073"/>
      <c r="B133" s="1195" t="s">
        <v>1667</v>
      </c>
      <c r="C133" s="1118">
        <v>57765.321800931699</v>
      </c>
      <c r="D133" s="1194" t="s">
        <v>19</v>
      </c>
      <c r="E133" s="1124">
        <v>18.2</v>
      </c>
      <c r="F133" s="1124">
        <f t="shared" si="7"/>
        <v>1051328.8567769569</v>
      </c>
      <c r="G133" s="1186">
        <v>4.0999999999999996</v>
      </c>
      <c r="H133" s="1187">
        <f t="shared" si="8"/>
        <v>236837.81938381994</v>
      </c>
      <c r="I133" s="1187">
        <f t="shared" si="9"/>
        <v>1288166.676160777</v>
      </c>
      <c r="J133" s="660"/>
    </row>
    <row r="134" spans="1:10">
      <c r="A134" s="1073"/>
      <c r="B134" s="1195" t="s">
        <v>1668</v>
      </c>
      <c r="C134" s="1118">
        <v>105875.12023262907</v>
      </c>
      <c r="D134" s="1194" t="s">
        <v>19</v>
      </c>
      <c r="E134" s="1124">
        <v>19.3</v>
      </c>
      <c r="F134" s="1124">
        <f t="shared" si="7"/>
        <v>2043389.8204897409</v>
      </c>
      <c r="G134" s="1186">
        <v>3.3</v>
      </c>
      <c r="H134" s="1187">
        <f t="shared" si="8"/>
        <v>349387.89676767588</v>
      </c>
      <c r="I134" s="1187">
        <f t="shared" si="9"/>
        <v>2392777.7172574168</v>
      </c>
      <c r="J134" s="660"/>
    </row>
    <row r="135" spans="1:10">
      <c r="A135" s="1073"/>
      <c r="B135" s="1195" t="s">
        <v>1669</v>
      </c>
      <c r="C135" s="1118">
        <v>302890.23880787112</v>
      </c>
      <c r="D135" s="1194" t="s">
        <v>19</v>
      </c>
      <c r="E135" s="1124">
        <v>17.7</v>
      </c>
      <c r="F135" s="1124">
        <f t="shared" si="7"/>
        <v>5361157.2268993184</v>
      </c>
      <c r="G135" s="1186">
        <v>3.3</v>
      </c>
      <c r="H135" s="1187">
        <f t="shared" si="8"/>
        <v>999537.7880659746</v>
      </c>
      <c r="I135" s="1187">
        <f t="shared" si="9"/>
        <v>6360695.014965293</v>
      </c>
      <c r="J135" s="660"/>
    </row>
    <row r="136" spans="1:10">
      <c r="A136" s="1073"/>
      <c r="B136" s="1195" t="s">
        <v>1670</v>
      </c>
      <c r="C136" s="1118">
        <v>8271.2382192000005</v>
      </c>
      <c r="D136" s="1194" t="s">
        <v>19</v>
      </c>
      <c r="E136" s="1124">
        <v>16.100000000000001</v>
      </c>
      <c r="F136" s="1124">
        <f t="shared" si="7"/>
        <v>133166.93532912002</v>
      </c>
      <c r="G136" s="1186">
        <v>2.9</v>
      </c>
      <c r="H136" s="1187">
        <f t="shared" si="8"/>
        <v>23986.590835679999</v>
      </c>
      <c r="I136" s="1187">
        <f t="shared" si="9"/>
        <v>157153.52616480002</v>
      </c>
      <c r="J136" s="660"/>
    </row>
    <row r="137" spans="1:10">
      <c r="A137" s="1073"/>
      <c r="B137" s="1195" t="s">
        <v>1671</v>
      </c>
      <c r="C137" s="1118">
        <v>148958.00441637501</v>
      </c>
      <c r="D137" s="1194" t="s">
        <v>19</v>
      </c>
      <c r="E137" s="1124">
        <v>16.100000000000001</v>
      </c>
      <c r="F137" s="1124">
        <f t="shared" si="7"/>
        <v>2398223.8711036379</v>
      </c>
      <c r="G137" s="1186">
        <v>2.9</v>
      </c>
      <c r="H137" s="1187">
        <f t="shared" si="8"/>
        <v>431978.21280748752</v>
      </c>
      <c r="I137" s="1187">
        <f t="shared" si="9"/>
        <v>2830202.0839111255</v>
      </c>
      <c r="J137" s="660"/>
    </row>
    <row r="138" spans="1:10">
      <c r="A138" s="1073"/>
      <c r="B138" s="1195" t="s">
        <v>1672</v>
      </c>
      <c r="C138" s="1118">
        <v>81109.492639999997</v>
      </c>
      <c r="D138" s="1194" t="s">
        <v>19</v>
      </c>
      <c r="E138" s="1124">
        <v>16.100000000000001</v>
      </c>
      <c r="F138" s="1124">
        <f t="shared" si="7"/>
        <v>1305862.8315040001</v>
      </c>
      <c r="G138" s="1186">
        <v>2.9</v>
      </c>
      <c r="H138" s="1187">
        <f t="shared" si="8"/>
        <v>235217.52865599998</v>
      </c>
      <c r="I138" s="1187">
        <f t="shared" si="9"/>
        <v>1541080.3601600002</v>
      </c>
      <c r="J138" s="660"/>
    </row>
    <row r="139" spans="1:10">
      <c r="A139" s="1073"/>
      <c r="B139" s="1196" t="s">
        <v>1677</v>
      </c>
      <c r="C139" s="1118">
        <v>50542.569000000003</v>
      </c>
      <c r="D139" s="1194" t="s">
        <v>19</v>
      </c>
      <c r="E139" s="1124">
        <v>16.100000000000001</v>
      </c>
      <c r="F139" s="1124">
        <f t="shared" si="7"/>
        <v>813735.36090000009</v>
      </c>
      <c r="G139" s="1186">
        <v>2.9</v>
      </c>
      <c r="H139" s="1187">
        <f t="shared" si="8"/>
        <v>146573.45010000002</v>
      </c>
      <c r="I139" s="1187">
        <f t="shared" si="9"/>
        <v>960308.8110000001</v>
      </c>
      <c r="J139" s="660"/>
    </row>
    <row r="140" spans="1:10">
      <c r="A140" s="1073"/>
      <c r="B140" s="1197" t="s">
        <v>680</v>
      </c>
      <c r="C140" s="1118">
        <v>22668.394327283117</v>
      </c>
      <c r="D140" s="1194" t="s">
        <v>19</v>
      </c>
      <c r="E140" s="1124">
        <v>47.2</v>
      </c>
      <c r="F140" s="1124">
        <f t="shared" si="7"/>
        <v>1069948.2122477631</v>
      </c>
      <c r="G140" s="1186">
        <v>4.0999999999999996</v>
      </c>
      <c r="H140" s="1187">
        <f t="shared" si="8"/>
        <v>92940.416741860769</v>
      </c>
      <c r="I140" s="1187">
        <f t="shared" si="9"/>
        <v>1162888.6289896239</v>
      </c>
      <c r="J140" s="660"/>
    </row>
    <row r="141" spans="1:10">
      <c r="A141" s="1073"/>
      <c r="B141" s="1198" t="s">
        <v>1674</v>
      </c>
      <c r="C141" s="1118">
        <v>108</v>
      </c>
      <c r="D141" s="1194" t="s">
        <v>16</v>
      </c>
      <c r="E141" s="1124">
        <v>270</v>
      </c>
      <c r="F141" s="1124">
        <f t="shared" si="7"/>
        <v>29160</v>
      </c>
      <c r="G141" s="1186">
        <v>87</v>
      </c>
      <c r="H141" s="1187">
        <f t="shared" si="8"/>
        <v>9396</v>
      </c>
      <c r="I141" s="1187">
        <f t="shared" si="9"/>
        <v>38556</v>
      </c>
      <c r="J141" s="660"/>
    </row>
    <row r="142" spans="1:10">
      <c r="A142" s="1073" t="s">
        <v>1775</v>
      </c>
      <c r="B142" s="1199" t="s">
        <v>682</v>
      </c>
      <c r="C142" s="1118"/>
      <c r="D142" s="1194"/>
      <c r="E142" s="1124"/>
      <c r="F142" s="1124"/>
      <c r="G142" s="1186"/>
      <c r="H142" s="1187"/>
      <c r="I142" s="1187"/>
      <c r="J142" s="660"/>
    </row>
    <row r="143" spans="1:10">
      <c r="A143" s="1073"/>
      <c r="B143" s="1193" t="s">
        <v>674</v>
      </c>
      <c r="C143" s="1118">
        <v>561.79009446023599</v>
      </c>
      <c r="D143" s="1194" t="s">
        <v>43</v>
      </c>
      <c r="E143" s="1124">
        <v>2287</v>
      </c>
      <c r="F143" s="1124">
        <f>C143*E143</f>
        <v>1284813.9460305597</v>
      </c>
      <c r="G143" s="1186">
        <v>485</v>
      </c>
      <c r="H143" s="1187">
        <f>G143*C143</f>
        <v>272468.19581321446</v>
      </c>
      <c r="I143" s="1187">
        <f>F143+H143</f>
        <v>1557282.1418437741</v>
      </c>
      <c r="J143" s="660"/>
    </row>
    <row r="144" spans="1:10">
      <c r="A144" s="1073"/>
      <c r="B144" s="1193" t="s">
        <v>683</v>
      </c>
      <c r="C144" s="1118">
        <v>1954.3243749999999</v>
      </c>
      <c r="D144" s="1194" t="s">
        <v>43</v>
      </c>
      <c r="E144" s="1124">
        <v>2570</v>
      </c>
      <c r="F144" s="1124">
        <f t="shared" ref="F144:F149" si="10">C144*E144</f>
        <v>5022613.6437499998</v>
      </c>
      <c r="G144" s="1186">
        <v>485</v>
      </c>
      <c r="H144" s="1187">
        <f t="shared" ref="H144:H149" si="11">G144*C144</f>
        <v>947847.32187499991</v>
      </c>
      <c r="I144" s="1187">
        <f t="shared" ref="I144:I167" si="12">F144+H144</f>
        <v>5970460.9656249993</v>
      </c>
      <c r="J144" s="660"/>
    </row>
    <row r="145" spans="1:10">
      <c r="A145" s="1073"/>
      <c r="B145" s="1193" t="s">
        <v>684</v>
      </c>
      <c r="C145" s="1118">
        <v>6318.4000000000005</v>
      </c>
      <c r="D145" s="1200" t="s">
        <v>16</v>
      </c>
      <c r="E145" s="1124">
        <v>250</v>
      </c>
      <c r="F145" s="1124">
        <f t="shared" si="10"/>
        <v>1579600.0000000002</v>
      </c>
      <c r="G145" s="1186">
        <v>100</v>
      </c>
      <c r="H145" s="1187">
        <f t="shared" si="11"/>
        <v>631840</v>
      </c>
      <c r="I145" s="1187">
        <f t="shared" si="12"/>
        <v>2211440</v>
      </c>
      <c r="J145" s="660"/>
    </row>
    <row r="146" spans="1:10">
      <c r="A146" s="1073"/>
      <c r="B146" s="1193" t="s">
        <v>1664</v>
      </c>
      <c r="C146" s="1118">
        <v>12562.370251646926</v>
      </c>
      <c r="D146" s="1194" t="s">
        <v>1665</v>
      </c>
      <c r="E146" s="1124">
        <v>0</v>
      </c>
      <c r="F146" s="1124">
        <f t="shared" si="10"/>
        <v>0</v>
      </c>
      <c r="G146" s="1186">
        <v>115</v>
      </c>
      <c r="H146" s="1187">
        <f t="shared" si="11"/>
        <v>1444672.5789393964</v>
      </c>
      <c r="I146" s="1187">
        <f t="shared" si="12"/>
        <v>1444672.5789393964</v>
      </c>
      <c r="J146" s="660"/>
    </row>
    <row r="147" spans="1:10">
      <c r="A147" s="1073"/>
      <c r="B147" s="1193" t="s">
        <v>675</v>
      </c>
      <c r="C147" s="1118">
        <v>7537.4221509881554</v>
      </c>
      <c r="D147" s="1194" t="s">
        <v>1665</v>
      </c>
      <c r="E147" s="1124">
        <v>400</v>
      </c>
      <c r="F147" s="1124">
        <f t="shared" si="10"/>
        <v>3014968.860395262</v>
      </c>
      <c r="G147" s="1186">
        <v>0</v>
      </c>
      <c r="H147" s="1187">
        <f t="shared" si="11"/>
        <v>0</v>
      </c>
      <c r="I147" s="1187">
        <f t="shared" si="12"/>
        <v>3014968.860395262</v>
      </c>
      <c r="J147" s="660"/>
    </row>
    <row r="148" spans="1:10">
      <c r="A148" s="1073"/>
      <c r="B148" s="1193" t="s">
        <v>1666</v>
      </c>
      <c r="C148" s="1118">
        <v>2261.2266452964463</v>
      </c>
      <c r="D148" s="1194" t="s">
        <v>1665</v>
      </c>
      <c r="E148" s="1124">
        <v>400</v>
      </c>
      <c r="F148" s="1124">
        <f t="shared" si="10"/>
        <v>904490.65811857849</v>
      </c>
      <c r="G148" s="1186">
        <v>0</v>
      </c>
      <c r="H148" s="1187">
        <f t="shared" si="11"/>
        <v>0</v>
      </c>
      <c r="I148" s="1187">
        <f t="shared" si="12"/>
        <v>904490.65811857849</v>
      </c>
      <c r="J148" s="660"/>
    </row>
    <row r="149" spans="1:10">
      <c r="A149" s="1073"/>
      <c r="B149" s="1193" t="s">
        <v>676</v>
      </c>
      <c r="C149" s="1118">
        <v>3768.7110754940777</v>
      </c>
      <c r="D149" s="1194" t="s">
        <v>19</v>
      </c>
      <c r="E149" s="1124">
        <v>56.07</v>
      </c>
      <c r="F149" s="1124">
        <f t="shared" si="10"/>
        <v>211311.63000295294</v>
      </c>
      <c r="G149" s="1186">
        <v>0</v>
      </c>
      <c r="H149" s="1187">
        <f t="shared" si="11"/>
        <v>0</v>
      </c>
      <c r="I149" s="1187">
        <f t="shared" si="12"/>
        <v>211311.63000295294</v>
      </c>
      <c r="J149" s="660"/>
    </row>
    <row r="150" spans="1:10">
      <c r="A150" s="1073"/>
      <c r="B150" s="1193" t="s">
        <v>679</v>
      </c>
      <c r="C150" s="1118"/>
      <c r="D150" s="1194"/>
      <c r="E150" s="1124"/>
      <c r="F150" s="1124"/>
      <c r="G150" s="1186"/>
      <c r="H150" s="1187"/>
      <c r="I150" s="1187"/>
      <c r="J150" s="660"/>
    </row>
    <row r="151" spans="1:10">
      <c r="A151" s="1073"/>
      <c r="B151" s="1195" t="s">
        <v>1667</v>
      </c>
      <c r="C151" s="1118">
        <v>17606.91165605951</v>
      </c>
      <c r="D151" s="1194" t="s">
        <v>19</v>
      </c>
      <c r="E151" s="1124">
        <v>18.2</v>
      </c>
      <c r="F151" s="1124">
        <f t="shared" ref="F151:F167" si="13">C151*E151</f>
        <v>320445.7921402831</v>
      </c>
      <c r="G151" s="1186">
        <v>4.0999999999999996</v>
      </c>
      <c r="H151" s="1187">
        <f t="shared" ref="H151:H168" si="14">G151*C151</f>
        <v>72188.337789843979</v>
      </c>
      <c r="I151" s="1187">
        <f t="shared" si="12"/>
        <v>392634.12993012706</v>
      </c>
      <c r="J151" s="660"/>
    </row>
    <row r="152" spans="1:10">
      <c r="A152" s="1073"/>
      <c r="B152" s="1195" t="s">
        <v>1668</v>
      </c>
      <c r="C152" s="1118">
        <v>63594.145406666685</v>
      </c>
      <c r="D152" s="1194" t="s">
        <v>19</v>
      </c>
      <c r="E152" s="1124">
        <v>19.3</v>
      </c>
      <c r="F152" s="1124">
        <f t="shared" si="13"/>
        <v>1227367.006348667</v>
      </c>
      <c r="G152" s="1186">
        <v>3.3</v>
      </c>
      <c r="H152" s="1187">
        <f t="shared" si="14"/>
        <v>209860.67984200004</v>
      </c>
      <c r="I152" s="1187">
        <f t="shared" si="12"/>
        <v>1437227.6861906671</v>
      </c>
      <c r="J152" s="660"/>
    </row>
    <row r="153" spans="1:10">
      <c r="A153" s="1073"/>
      <c r="B153" s="1195" t="s">
        <v>1669</v>
      </c>
      <c r="C153" s="1118">
        <v>16341.260515200003</v>
      </c>
      <c r="D153" s="1194" t="s">
        <v>19</v>
      </c>
      <c r="E153" s="1124">
        <v>17.7</v>
      </c>
      <c r="F153" s="1124">
        <f t="shared" si="13"/>
        <v>289240.31111904007</v>
      </c>
      <c r="G153" s="1186">
        <v>3.3</v>
      </c>
      <c r="H153" s="1187">
        <f t="shared" si="14"/>
        <v>53926.159700160009</v>
      </c>
      <c r="I153" s="1187">
        <f t="shared" si="12"/>
        <v>343166.4708192001</v>
      </c>
      <c r="J153" s="660"/>
    </row>
    <row r="154" spans="1:10">
      <c r="A154" s="1073"/>
      <c r="B154" s="1195" t="s">
        <v>1670</v>
      </c>
      <c r="C154" s="1118">
        <v>49991.245200000005</v>
      </c>
      <c r="D154" s="1194" t="s">
        <v>19</v>
      </c>
      <c r="E154" s="1124">
        <v>16.100000000000001</v>
      </c>
      <c r="F154" s="1124">
        <f t="shared" si="13"/>
        <v>804859.04772000015</v>
      </c>
      <c r="G154" s="1186">
        <v>2.9</v>
      </c>
      <c r="H154" s="1187">
        <f t="shared" si="14"/>
        <v>144974.61108</v>
      </c>
      <c r="I154" s="1187">
        <f t="shared" si="12"/>
        <v>949833.65880000009</v>
      </c>
      <c r="J154" s="660"/>
    </row>
    <row r="155" spans="1:10">
      <c r="A155" s="1073"/>
      <c r="B155" s="1195" t="s">
        <v>1671</v>
      </c>
      <c r="C155" s="1118">
        <v>68426.27466000001</v>
      </c>
      <c r="D155" s="1194" t="s">
        <v>19</v>
      </c>
      <c r="E155" s="1124">
        <v>16.100000000000001</v>
      </c>
      <c r="F155" s="1124">
        <f t="shared" si="13"/>
        <v>1101663.0220260003</v>
      </c>
      <c r="G155" s="1186">
        <v>2.9</v>
      </c>
      <c r="H155" s="1187">
        <f t="shared" si="14"/>
        <v>198436.19651400001</v>
      </c>
      <c r="I155" s="1187">
        <f t="shared" si="12"/>
        <v>1300099.2185400003</v>
      </c>
      <c r="J155" s="660"/>
    </row>
    <row r="156" spans="1:10">
      <c r="A156" s="1073"/>
      <c r="B156" s="1195" t="s">
        <v>1672</v>
      </c>
      <c r="C156" s="1118">
        <v>14428.977595999999</v>
      </c>
      <c r="D156" s="1194" t="s">
        <v>19</v>
      </c>
      <c r="E156" s="1124">
        <v>16.100000000000001</v>
      </c>
      <c r="F156" s="1124">
        <f t="shared" si="13"/>
        <v>232306.5392956</v>
      </c>
      <c r="G156" s="1186">
        <v>2.9</v>
      </c>
      <c r="H156" s="1187">
        <f t="shared" si="14"/>
        <v>41844.035028399994</v>
      </c>
      <c r="I156" s="1187">
        <f t="shared" si="12"/>
        <v>274150.57432399999</v>
      </c>
      <c r="J156" s="660"/>
    </row>
    <row r="157" spans="1:10">
      <c r="A157" s="1073"/>
      <c r="B157" s="1195" t="s">
        <v>1677</v>
      </c>
      <c r="C157" s="1118">
        <v>26763.971850000002</v>
      </c>
      <c r="D157" s="1194" t="s">
        <v>19</v>
      </c>
      <c r="E157" s="1124">
        <v>16.100000000000001</v>
      </c>
      <c r="F157" s="1124">
        <f t="shared" si="13"/>
        <v>430899.94678500009</v>
      </c>
      <c r="G157" s="1186">
        <v>2.9</v>
      </c>
      <c r="H157" s="1187">
        <f t="shared" si="14"/>
        <v>77615.518364999996</v>
      </c>
      <c r="I157" s="1187">
        <f t="shared" si="12"/>
        <v>508515.46515000006</v>
      </c>
      <c r="J157" s="660"/>
    </row>
    <row r="158" spans="1:10">
      <c r="A158" s="1073"/>
      <c r="B158" s="1197" t="s">
        <v>680</v>
      </c>
      <c r="C158" s="1118">
        <v>7714.5836065177864</v>
      </c>
      <c r="D158" s="1194" t="s">
        <v>19</v>
      </c>
      <c r="E158" s="1124">
        <v>47.2</v>
      </c>
      <c r="F158" s="1124">
        <f t="shared" si="13"/>
        <v>364128.34622763953</v>
      </c>
      <c r="G158" s="1186">
        <v>4.0999999999999996</v>
      </c>
      <c r="H158" s="1187">
        <f t="shared" si="14"/>
        <v>31629.792786722923</v>
      </c>
      <c r="I158" s="1187">
        <f t="shared" si="12"/>
        <v>395758.13901436247</v>
      </c>
      <c r="J158" s="660"/>
    </row>
    <row r="159" spans="1:10">
      <c r="A159" s="1073"/>
      <c r="B159" s="1206" t="s">
        <v>1678</v>
      </c>
      <c r="C159" s="1118"/>
      <c r="D159" s="1194"/>
      <c r="E159" s="1124"/>
      <c r="F159" s="1124"/>
      <c r="G159" s="1186"/>
      <c r="H159" s="1187"/>
      <c r="I159" s="1187"/>
      <c r="J159" s="660"/>
    </row>
    <row r="160" spans="1:10">
      <c r="A160" s="1073"/>
      <c r="B160" s="1198" t="s">
        <v>1679</v>
      </c>
      <c r="C160" s="1118">
        <v>2514.96</v>
      </c>
      <c r="D160" s="1194" t="s">
        <v>19</v>
      </c>
      <c r="E160" s="1124">
        <v>23.5</v>
      </c>
      <c r="F160" s="1124">
        <f t="shared" si="13"/>
        <v>59101.56</v>
      </c>
      <c r="G160" s="1186">
        <v>14</v>
      </c>
      <c r="H160" s="1187">
        <f t="shared" si="14"/>
        <v>35209.440000000002</v>
      </c>
      <c r="I160" s="1187">
        <f t="shared" si="12"/>
        <v>94311</v>
      </c>
      <c r="J160" s="660"/>
    </row>
    <row r="161" spans="1:10">
      <c r="A161" s="1073"/>
      <c r="B161" s="1198" t="s">
        <v>1680</v>
      </c>
      <c r="C161" s="1118">
        <v>6543.9000000000005</v>
      </c>
      <c r="D161" s="1194" t="s">
        <v>19</v>
      </c>
      <c r="E161" s="1124">
        <v>23.5</v>
      </c>
      <c r="F161" s="1124">
        <f t="shared" si="13"/>
        <v>153781.65000000002</v>
      </c>
      <c r="G161" s="1186">
        <v>14</v>
      </c>
      <c r="H161" s="1187">
        <f t="shared" si="14"/>
        <v>91614.6</v>
      </c>
      <c r="I161" s="1187">
        <f t="shared" si="12"/>
        <v>245396.25000000003</v>
      </c>
      <c r="J161" s="660"/>
    </row>
    <row r="162" spans="1:10">
      <c r="A162" s="1073"/>
      <c r="B162" s="1198" t="s">
        <v>1681</v>
      </c>
      <c r="C162" s="1118">
        <v>20996</v>
      </c>
      <c r="D162" s="1194" t="s">
        <v>19</v>
      </c>
      <c r="E162" s="1124">
        <v>23.5</v>
      </c>
      <c r="F162" s="1124">
        <f t="shared" si="13"/>
        <v>493406</v>
      </c>
      <c r="G162" s="1186">
        <v>14</v>
      </c>
      <c r="H162" s="1187">
        <f t="shared" si="14"/>
        <v>293944</v>
      </c>
      <c r="I162" s="1187">
        <f t="shared" si="12"/>
        <v>787350</v>
      </c>
      <c r="J162" s="660"/>
    </row>
    <row r="163" spans="1:10">
      <c r="A163" s="1073"/>
      <c r="B163" s="1198" t="s">
        <v>1682</v>
      </c>
      <c r="C163" s="1118">
        <v>8179.2</v>
      </c>
      <c r="D163" s="1194" t="s">
        <v>19</v>
      </c>
      <c r="E163" s="1124">
        <v>23.5</v>
      </c>
      <c r="F163" s="1124">
        <f t="shared" si="13"/>
        <v>192211.19999999998</v>
      </c>
      <c r="G163" s="1186">
        <v>14</v>
      </c>
      <c r="H163" s="1187">
        <f t="shared" si="14"/>
        <v>114508.8</v>
      </c>
      <c r="I163" s="1187">
        <f t="shared" si="12"/>
        <v>306720</v>
      </c>
      <c r="J163" s="660"/>
    </row>
    <row r="164" spans="1:10">
      <c r="A164" s="1073"/>
      <c r="B164" s="1198" t="s">
        <v>1683</v>
      </c>
      <c r="C164" s="1118">
        <v>2271.2399999999998</v>
      </c>
      <c r="D164" s="1194" t="s">
        <v>19</v>
      </c>
      <c r="E164" s="1124">
        <v>18.3</v>
      </c>
      <c r="F164" s="1124">
        <f t="shared" si="13"/>
        <v>41563.691999999995</v>
      </c>
      <c r="G164" s="1186">
        <v>14</v>
      </c>
      <c r="H164" s="1187">
        <f t="shared" si="14"/>
        <v>31797.359999999997</v>
      </c>
      <c r="I164" s="1187">
        <f t="shared" si="12"/>
        <v>73361.051999999996</v>
      </c>
      <c r="J164" s="660"/>
    </row>
    <row r="165" spans="1:10">
      <c r="A165" s="1073"/>
      <c r="B165" s="1198" t="s">
        <v>1684</v>
      </c>
      <c r="C165" s="1118">
        <v>3177.6000000000004</v>
      </c>
      <c r="D165" s="1194" t="s">
        <v>19</v>
      </c>
      <c r="E165" s="1124">
        <v>25</v>
      </c>
      <c r="F165" s="1124">
        <f t="shared" si="13"/>
        <v>79440.000000000015</v>
      </c>
      <c r="G165" s="1186">
        <v>14</v>
      </c>
      <c r="H165" s="1187">
        <f t="shared" si="14"/>
        <v>44486.400000000009</v>
      </c>
      <c r="I165" s="1187">
        <f t="shared" si="12"/>
        <v>123926.40000000002</v>
      </c>
      <c r="J165" s="660"/>
    </row>
    <row r="166" spans="1:10">
      <c r="A166" s="1073"/>
      <c r="B166" s="1198" t="s">
        <v>1685</v>
      </c>
      <c r="C166" s="1118">
        <v>156</v>
      </c>
      <c r="D166" s="1194" t="s">
        <v>15</v>
      </c>
      <c r="E166" s="1124">
        <v>210</v>
      </c>
      <c r="F166" s="1124">
        <f t="shared" si="13"/>
        <v>32760</v>
      </c>
      <c r="G166" s="1186">
        <v>100</v>
      </c>
      <c r="H166" s="1187">
        <f t="shared" si="14"/>
        <v>15600</v>
      </c>
      <c r="I166" s="1187">
        <f t="shared" si="12"/>
        <v>48360</v>
      </c>
      <c r="J166" s="660"/>
    </row>
    <row r="167" spans="1:10">
      <c r="A167" s="1073"/>
      <c r="B167" s="1198" t="s">
        <v>688</v>
      </c>
      <c r="C167" s="1118">
        <v>1019.1200000000001</v>
      </c>
      <c r="D167" s="1194" t="s">
        <v>16</v>
      </c>
      <c r="E167" s="1124">
        <v>30</v>
      </c>
      <c r="F167" s="1124">
        <f t="shared" si="13"/>
        <v>30573.600000000002</v>
      </c>
      <c r="G167" s="1186">
        <v>30</v>
      </c>
      <c r="H167" s="1187">
        <f t="shared" si="14"/>
        <v>30573.600000000002</v>
      </c>
      <c r="I167" s="1187">
        <f t="shared" si="12"/>
        <v>61147.200000000004</v>
      </c>
      <c r="J167" s="660"/>
    </row>
    <row r="168" spans="1:10">
      <c r="A168" s="1073"/>
      <c r="B168" s="1198" t="s">
        <v>1686</v>
      </c>
      <c r="C168" s="1118">
        <v>952.92000000000007</v>
      </c>
      <c r="D168" s="1194" t="s">
        <v>16</v>
      </c>
      <c r="E168" s="1124">
        <v>280</v>
      </c>
      <c r="F168" s="1124">
        <f>C168*E168</f>
        <v>266817.60000000003</v>
      </c>
      <c r="G168" s="1186">
        <v>30</v>
      </c>
      <c r="H168" s="1187">
        <f t="shared" si="14"/>
        <v>28587.600000000002</v>
      </c>
      <c r="I168" s="1187">
        <f>F168+H168</f>
        <v>295405.2</v>
      </c>
      <c r="J168" s="660"/>
    </row>
    <row r="169" spans="1:10">
      <c r="A169" s="1073" t="s">
        <v>1776</v>
      </c>
      <c r="B169" s="1199" t="s">
        <v>685</v>
      </c>
      <c r="C169" s="1118"/>
      <c r="D169" s="1194"/>
      <c r="E169" s="1124"/>
      <c r="F169" s="1124"/>
      <c r="G169" s="1186"/>
      <c r="H169" s="1187"/>
      <c r="I169" s="1187"/>
      <c r="J169" s="660"/>
    </row>
    <row r="170" spans="1:10">
      <c r="A170" s="1073"/>
      <c r="B170" s="1193" t="s">
        <v>674</v>
      </c>
      <c r="C170" s="1118">
        <v>404.28379446023604</v>
      </c>
      <c r="D170" s="1194" t="s">
        <v>43</v>
      </c>
      <c r="E170" s="1124">
        <v>2287</v>
      </c>
      <c r="F170" s="1124">
        <f>C170*E170</f>
        <v>924597.03793055983</v>
      </c>
      <c r="G170" s="1186">
        <v>485</v>
      </c>
      <c r="H170" s="1187">
        <f>G170*C170</f>
        <v>196077.64031321448</v>
      </c>
      <c r="I170" s="1187">
        <f>F170+H170</f>
        <v>1120674.6782437742</v>
      </c>
      <c r="J170" s="660"/>
    </row>
    <row r="171" spans="1:10">
      <c r="A171" s="1073"/>
      <c r="B171" s="1193" t="s">
        <v>683</v>
      </c>
      <c r="C171" s="1118">
        <v>1645.1162562500001</v>
      </c>
      <c r="D171" s="1194" t="s">
        <v>43</v>
      </c>
      <c r="E171" s="1124">
        <v>2570</v>
      </c>
      <c r="F171" s="1124">
        <f t="shared" ref="F171:F201" si="15">C171*E171</f>
        <v>4227948.7785625001</v>
      </c>
      <c r="G171" s="1186">
        <v>485</v>
      </c>
      <c r="H171" s="1187">
        <f t="shared" ref="H171:H201" si="16">G171*C171</f>
        <v>797881.38428125007</v>
      </c>
      <c r="I171" s="1187">
        <f t="shared" ref="I171:I201" si="17">F171+H171</f>
        <v>5025830.1628437499</v>
      </c>
      <c r="J171" s="660"/>
    </row>
    <row r="172" spans="1:10">
      <c r="A172" s="1073"/>
      <c r="B172" s="1193" t="s">
        <v>684</v>
      </c>
      <c r="C172" s="1118">
        <v>5501.5625</v>
      </c>
      <c r="D172" s="1194" t="s">
        <v>16</v>
      </c>
      <c r="E172" s="1124">
        <v>250</v>
      </c>
      <c r="F172" s="1124">
        <f t="shared" si="15"/>
        <v>1375390.625</v>
      </c>
      <c r="G172" s="1186">
        <v>100</v>
      </c>
      <c r="H172" s="1187">
        <f t="shared" si="16"/>
        <v>550156.25</v>
      </c>
      <c r="I172" s="1187">
        <f t="shared" si="17"/>
        <v>1925546.875</v>
      </c>
      <c r="J172" s="660"/>
    </row>
    <row r="173" spans="1:10">
      <c r="A173" s="1073"/>
      <c r="B173" s="1193" t="s">
        <v>1664</v>
      </c>
      <c r="C173" s="1118">
        <v>10422.898339229272</v>
      </c>
      <c r="D173" s="1194" t="s">
        <v>1665</v>
      </c>
      <c r="E173" s="1124">
        <v>0</v>
      </c>
      <c r="F173" s="1124">
        <f t="shared" si="15"/>
        <v>0</v>
      </c>
      <c r="G173" s="1186">
        <v>115</v>
      </c>
      <c r="H173" s="1187">
        <f t="shared" si="16"/>
        <v>1198633.3090113662</v>
      </c>
      <c r="I173" s="1187">
        <f t="shared" si="17"/>
        <v>1198633.3090113662</v>
      </c>
      <c r="J173" s="660"/>
    </row>
    <row r="174" spans="1:10">
      <c r="A174" s="1073"/>
      <c r="B174" s="1193" t="s">
        <v>675</v>
      </c>
      <c r="C174" s="1118">
        <v>6253.7390035375629</v>
      </c>
      <c r="D174" s="1194" t="s">
        <v>1665</v>
      </c>
      <c r="E174" s="1124">
        <v>400</v>
      </c>
      <c r="F174" s="1124">
        <f t="shared" si="15"/>
        <v>2501495.6014150251</v>
      </c>
      <c r="G174" s="1186">
        <v>0</v>
      </c>
      <c r="H174" s="1187">
        <f t="shared" si="16"/>
        <v>0</v>
      </c>
      <c r="I174" s="1187">
        <f t="shared" si="17"/>
        <v>2501495.6014150251</v>
      </c>
      <c r="J174" s="660"/>
    </row>
    <row r="175" spans="1:10">
      <c r="A175" s="1073"/>
      <c r="B175" s="1193" t="s">
        <v>1666</v>
      </c>
      <c r="C175" s="1118">
        <v>1876.1217010612688</v>
      </c>
      <c r="D175" s="1194" t="s">
        <v>1665</v>
      </c>
      <c r="E175" s="1124">
        <v>400</v>
      </c>
      <c r="F175" s="1124">
        <f t="shared" si="15"/>
        <v>750448.68042450747</v>
      </c>
      <c r="G175" s="1186">
        <v>0</v>
      </c>
      <c r="H175" s="1187">
        <f t="shared" si="16"/>
        <v>0</v>
      </c>
      <c r="I175" s="1187">
        <f t="shared" si="17"/>
        <v>750448.68042450747</v>
      </c>
      <c r="J175" s="660"/>
    </row>
    <row r="176" spans="1:10">
      <c r="A176" s="1073"/>
      <c r="B176" s="1193" t="s">
        <v>676</v>
      </c>
      <c r="C176" s="1118">
        <v>3126.8695017687814</v>
      </c>
      <c r="D176" s="1194" t="s">
        <v>19</v>
      </c>
      <c r="E176" s="1124">
        <v>56.07</v>
      </c>
      <c r="F176" s="1124">
        <f t="shared" si="15"/>
        <v>175323.57296417558</v>
      </c>
      <c r="G176" s="1186">
        <v>0</v>
      </c>
      <c r="H176" s="1187">
        <f t="shared" si="16"/>
        <v>0</v>
      </c>
      <c r="I176" s="1187">
        <f t="shared" si="17"/>
        <v>175323.57296417558</v>
      </c>
      <c r="J176" s="660"/>
    </row>
    <row r="177" spans="1:10">
      <c r="A177" s="1073"/>
      <c r="B177" s="1193" t="s">
        <v>679</v>
      </c>
      <c r="C177" s="1118"/>
      <c r="D177" s="1194"/>
      <c r="E177" s="1124"/>
      <c r="F177" s="1124"/>
      <c r="G177" s="1186"/>
      <c r="H177" s="1187"/>
      <c r="I177" s="1187"/>
      <c r="J177" s="660"/>
    </row>
    <row r="178" spans="1:10">
      <c r="A178" s="1073"/>
      <c r="B178" s="1195" t="s">
        <v>1667</v>
      </c>
      <c r="C178" s="1118">
        <v>13076.771239878399</v>
      </c>
      <c r="D178" s="1194" t="s">
        <v>19</v>
      </c>
      <c r="E178" s="1124">
        <v>18.2</v>
      </c>
      <c r="F178" s="1124">
        <f t="shared" si="15"/>
        <v>237997.23656578685</v>
      </c>
      <c r="G178" s="1186">
        <v>4.0999999999999996</v>
      </c>
      <c r="H178" s="1187">
        <f t="shared" si="16"/>
        <v>53614.762083501431</v>
      </c>
      <c r="I178" s="1187">
        <f t="shared" si="17"/>
        <v>291611.99864928826</v>
      </c>
      <c r="J178" s="660"/>
    </row>
    <row r="179" spans="1:10">
      <c r="A179" s="1073"/>
      <c r="B179" s="1195" t="s">
        <v>1668</v>
      </c>
      <c r="C179" s="1118">
        <v>54093.295421333343</v>
      </c>
      <c r="D179" s="1194" t="s">
        <v>19</v>
      </c>
      <c r="E179" s="1124">
        <v>19.3</v>
      </c>
      <c r="F179" s="1124">
        <f t="shared" si="15"/>
        <v>1044000.6016317336</v>
      </c>
      <c r="G179" s="1186">
        <v>3.3</v>
      </c>
      <c r="H179" s="1187">
        <f t="shared" si="16"/>
        <v>178507.87489040001</v>
      </c>
      <c r="I179" s="1187">
        <f t="shared" si="17"/>
        <v>1222508.4765221337</v>
      </c>
      <c r="J179" s="660"/>
    </row>
    <row r="180" spans="1:10">
      <c r="A180" s="1073"/>
      <c r="B180" s="1195" t="s">
        <v>1669</v>
      </c>
      <c r="C180" s="1118">
        <v>8104.7358180000019</v>
      </c>
      <c r="D180" s="1194" t="s">
        <v>19</v>
      </c>
      <c r="E180" s="1124">
        <v>17.7</v>
      </c>
      <c r="F180" s="1124">
        <f t="shared" si="15"/>
        <v>143453.82397860003</v>
      </c>
      <c r="G180" s="1186">
        <v>3.3</v>
      </c>
      <c r="H180" s="1187">
        <f t="shared" si="16"/>
        <v>26745.628199400006</v>
      </c>
      <c r="I180" s="1187">
        <f t="shared" si="17"/>
        <v>170199.45217800004</v>
      </c>
      <c r="J180" s="660"/>
    </row>
    <row r="181" spans="1:10">
      <c r="A181" s="1073"/>
      <c r="B181" s="1195" t="s">
        <v>1670</v>
      </c>
      <c r="C181" s="1118">
        <v>11748.22128</v>
      </c>
      <c r="D181" s="1194" t="s">
        <v>19</v>
      </c>
      <c r="E181" s="1124">
        <v>16.100000000000001</v>
      </c>
      <c r="F181" s="1124">
        <f t="shared" si="15"/>
        <v>189146.36260800002</v>
      </c>
      <c r="G181" s="1186">
        <v>2.9</v>
      </c>
      <c r="H181" s="1187">
        <f t="shared" si="16"/>
        <v>34069.841712000001</v>
      </c>
      <c r="I181" s="1187">
        <f t="shared" si="17"/>
        <v>223216.20432000002</v>
      </c>
      <c r="J181" s="660"/>
    </row>
    <row r="182" spans="1:10">
      <c r="A182" s="1073"/>
      <c r="B182" s="1195" t="s">
        <v>1671</v>
      </c>
      <c r="C182" s="1118">
        <v>72453.398954375021</v>
      </c>
      <c r="D182" s="1194" t="s">
        <v>19</v>
      </c>
      <c r="E182" s="1124">
        <v>16.100000000000001</v>
      </c>
      <c r="F182" s="1124">
        <f t="shared" si="15"/>
        <v>1166499.723165438</v>
      </c>
      <c r="G182" s="1186">
        <v>2.9</v>
      </c>
      <c r="H182" s="1187">
        <f t="shared" si="16"/>
        <v>210114.85696768755</v>
      </c>
      <c r="I182" s="1187">
        <f t="shared" si="17"/>
        <v>1376614.5801331257</v>
      </c>
      <c r="J182" s="660"/>
    </row>
    <row r="183" spans="1:10">
      <c r="A183" s="1073"/>
      <c r="B183" s="1195" t="s">
        <v>1672</v>
      </c>
      <c r="C183" s="1118">
        <v>2590.3182359999996</v>
      </c>
      <c r="D183" s="1194" t="s">
        <v>19</v>
      </c>
      <c r="E183" s="1124">
        <v>16.100000000000001</v>
      </c>
      <c r="F183" s="1124">
        <f t="shared" si="15"/>
        <v>41704.123599599996</v>
      </c>
      <c r="G183" s="1186">
        <v>2.9</v>
      </c>
      <c r="H183" s="1187">
        <f t="shared" si="16"/>
        <v>7511.922884399999</v>
      </c>
      <c r="I183" s="1187">
        <f t="shared" si="17"/>
        <v>49216.046483999991</v>
      </c>
      <c r="J183" s="660"/>
    </row>
    <row r="184" spans="1:10">
      <c r="A184" s="1073"/>
      <c r="B184" s="1195" t="s">
        <v>1677</v>
      </c>
      <c r="C184" s="1118">
        <v>9949.9207500000011</v>
      </c>
      <c r="D184" s="1194" t="s">
        <v>19</v>
      </c>
      <c r="E184" s="1124">
        <v>16.100000000000001</v>
      </c>
      <c r="F184" s="1124">
        <f t="shared" si="15"/>
        <v>160193.72407500003</v>
      </c>
      <c r="G184" s="1186">
        <v>2.9</v>
      </c>
      <c r="H184" s="1187">
        <f t="shared" si="16"/>
        <v>28854.770175000001</v>
      </c>
      <c r="I184" s="1187">
        <f t="shared" si="17"/>
        <v>189048.49425000005</v>
      </c>
      <c r="J184" s="660"/>
    </row>
    <row r="185" spans="1:10">
      <c r="A185" s="1073"/>
      <c r="B185" s="1197" t="s">
        <v>680</v>
      </c>
      <c r="C185" s="1118">
        <v>5160.4998509876023</v>
      </c>
      <c r="D185" s="1194" t="s">
        <v>19</v>
      </c>
      <c r="E185" s="1124">
        <v>47.2</v>
      </c>
      <c r="F185" s="1124">
        <f t="shared" si="15"/>
        <v>243575.59296661484</v>
      </c>
      <c r="G185" s="1186">
        <v>4.0999999999999996</v>
      </c>
      <c r="H185" s="1187">
        <f t="shared" si="16"/>
        <v>21158.049389049167</v>
      </c>
      <c r="I185" s="1187">
        <f t="shared" si="17"/>
        <v>264733.64235566399</v>
      </c>
      <c r="J185" s="660"/>
    </row>
    <row r="186" spans="1:10">
      <c r="A186" s="1073"/>
      <c r="B186" s="1206" t="s">
        <v>1762</v>
      </c>
      <c r="C186" s="1118"/>
      <c r="D186" s="1194"/>
      <c r="E186" s="1124"/>
      <c r="F186" s="1124"/>
      <c r="G186" s="1186"/>
      <c r="H186" s="1187"/>
      <c r="I186" s="1187"/>
      <c r="J186" s="660"/>
    </row>
    <row r="187" spans="1:10">
      <c r="A187" s="1073"/>
      <c r="B187" s="1198" t="s">
        <v>1679</v>
      </c>
      <c r="C187" s="1118">
        <v>5733.51</v>
      </c>
      <c r="D187" s="1194" t="s">
        <v>19</v>
      </c>
      <c r="E187" s="1124">
        <v>23.5</v>
      </c>
      <c r="F187" s="1124">
        <f t="shared" si="15"/>
        <v>134737.48500000002</v>
      </c>
      <c r="G187" s="1186">
        <v>14</v>
      </c>
      <c r="H187" s="1187">
        <f t="shared" si="16"/>
        <v>80269.14</v>
      </c>
      <c r="I187" s="1187">
        <f t="shared" si="17"/>
        <v>215006.625</v>
      </c>
      <c r="J187" s="660"/>
    </row>
    <row r="188" spans="1:10">
      <c r="A188" s="1073"/>
      <c r="B188" s="1198" t="s">
        <v>1763</v>
      </c>
      <c r="C188" s="1118">
        <v>32750.880000000001</v>
      </c>
      <c r="D188" s="1194" t="s">
        <v>19</v>
      </c>
      <c r="E188" s="1124">
        <v>23.5</v>
      </c>
      <c r="F188" s="1124">
        <f t="shared" si="15"/>
        <v>769645.68</v>
      </c>
      <c r="G188" s="1186">
        <v>14</v>
      </c>
      <c r="H188" s="1187">
        <f t="shared" si="16"/>
        <v>458512.32</v>
      </c>
      <c r="I188" s="1187">
        <f t="shared" si="17"/>
        <v>1228158</v>
      </c>
      <c r="J188" s="660"/>
    </row>
    <row r="189" spans="1:10">
      <c r="A189" s="1073"/>
      <c r="B189" s="1198" t="s">
        <v>1680</v>
      </c>
      <c r="C189" s="1118">
        <v>26822.399999999998</v>
      </c>
      <c r="D189" s="1194" t="s">
        <v>19</v>
      </c>
      <c r="E189" s="1124">
        <v>23.5</v>
      </c>
      <c r="F189" s="1124">
        <f t="shared" si="15"/>
        <v>630326.39999999991</v>
      </c>
      <c r="G189" s="1186">
        <v>14</v>
      </c>
      <c r="H189" s="1187">
        <f t="shared" si="16"/>
        <v>375513.59999999998</v>
      </c>
      <c r="I189" s="1187">
        <f t="shared" si="17"/>
        <v>1005839.9999999999</v>
      </c>
      <c r="J189" s="660"/>
    </row>
    <row r="190" spans="1:10">
      <c r="A190" s="1073"/>
      <c r="B190" s="1198" t="s">
        <v>1682</v>
      </c>
      <c r="C190" s="1118">
        <v>198.79999999999998</v>
      </c>
      <c r="D190" s="1194" t="s">
        <v>19</v>
      </c>
      <c r="E190" s="1124">
        <v>23.5</v>
      </c>
      <c r="F190" s="1124">
        <f t="shared" si="15"/>
        <v>4671.7999999999993</v>
      </c>
      <c r="G190" s="1186">
        <v>14</v>
      </c>
      <c r="H190" s="1187">
        <f t="shared" si="16"/>
        <v>2783.2</v>
      </c>
      <c r="I190" s="1187">
        <f t="shared" si="17"/>
        <v>7454.9999999999991</v>
      </c>
      <c r="J190" s="660"/>
    </row>
    <row r="191" spans="1:10">
      <c r="A191" s="1073"/>
      <c r="B191" s="1198" t="s">
        <v>1687</v>
      </c>
      <c r="C191" s="1118">
        <v>917.50000000000011</v>
      </c>
      <c r="D191" s="1194" t="s">
        <v>19</v>
      </c>
      <c r="E191" s="1124">
        <v>23.5</v>
      </c>
      <c r="F191" s="1124">
        <f t="shared" si="15"/>
        <v>21561.250000000004</v>
      </c>
      <c r="G191" s="1186">
        <v>14</v>
      </c>
      <c r="H191" s="1187">
        <f t="shared" si="16"/>
        <v>12845.000000000002</v>
      </c>
      <c r="I191" s="1187">
        <f t="shared" si="17"/>
        <v>34406.250000000007</v>
      </c>
      <c r="J191" s="660"/>
    </row>
    <row r="192" spans="1:10">
      <c r="A192" s="1073"/>
      <c r="B192" s="1198" t="s">
        <v>1688</v>
      </c>
      <c r="C192" s="1118">
        <v>4025.6000000000004</v>
      </c>
      <c r="D192" s="1194" t="s">
        <v>19</v>
      </c>
      <c r="E192" s="1124">
        <v>23.5</v>
      </c>
      <c r="F192" s="1124">
        <f t="shared" si="15"/>
        <v>94601.600000000006</v>
      </c>
      <c r="G192" s="1186">
        <v>14</v>
      </c>
      <c r="H192" s="1187">
        <f t="shared" si="16"/>
        <v>56358.400000000009</v>
      </c>
      <c r="I192" s="1187">
        <f t="shared" si="17"/>
        <v>150960</v>
      </c>
      <c r="J192" s="660"/>
    </row>
    <row r="193" spans="1:10">
      <c r="A193" s="1073"/>
      <c r="B193" s="1198" t="s">
        <v>1689</v>
      </c>
      <c r="C193" s="1118">
        <v>25314.804</v>
      </c>
      <c r="D193" s="1194" t="s">
        <v>19</v>
      </c>
      <c r="E193" s="1124">
        <v>18.3</v>
      </c>
      <c r="F193" s="1124">
        <f t="shared" si="15"/>
        <v>463260.91320000001</v>
      </c>
      <c r="G193" s="1186">
        <v>14</v>
      </c>
      <c r="H193" s="1187">
        <f t="shared" si="16"/>
        <v>354407.25599999999</v>
      </c>
      <c r="I193" s="1187">
        <f t="shared" si="17"/>
        <v>817668.1692</v>
      </c>
      <c r="J193" s="660"/>
    </row>
    <row r="194" spans="1:10">
      <c r="A194" s="1073"/>
      <c r="B194" s="1198" t="s">
        <v>1764</v>
      </c>
      <c r="C194" s="1118">
        <v>690.80000000000018</v>
      </c>
      <c r="D194" s="1194" t="s">
        <v>19</v>
      </c>
      <c r="E194" s="1124">
        <v>35</v>
      </c>
      <c r="F194" s="1124">
        <f t="shared" si="15"/>
        <v>24178.000000000007</v>
      </c>
      <c r="G194" s="1186">
        <v>15</v>
      </c>
      <c r="H194" s="1187">
        <f t="shared" si="16"/>
        <v>10362.000000000004</v>
      </c>
      <c r="I194" s="1187">
        <f t="shared" si="17"/>
        <v>34540.000000000015</v>
      </c>
      <c r="J194" s="660"/>
    </row>
    <row r="195" spans="1:10">
      <c r="A195" s="1073"/>
      <c r="B195" s="1198" t="s">
        <v>1765</v>
      </c>
      <c r="C195" s="1118">
        <v>734.76</v>
      </c>
      <c r="D195" s="1194" t="s">
        <v>19</v>
      </c>
      <c r="E195" s="1124">
        <v>35</v>
      </c>
      <c r="F195" s="1124">
        <f t="shared" si="15"/>
        <v>25716.6</v>
      </c>
      <c r="G195" s="1186">
        <v>15</v>
      </c>
      <c r="H195" s="1187">
        <f t="shared" si="16"/>
        <v>11021.4</v>
      </c>
      <c r="I195" s="1187">
        <f t="shared" si="17"/>
        <v>36738</v>
      </c>
      <c r="J195" s="660"/>
    </row>
    <row r="196" spans="1:10">
      <c r="A196" s="1073"/>
      <c r="B196" s="1198" t="s">
        <v>1690</v>
      </c>
      <c r="C196" s="1118">
        <v>603.41999999999996</v>
      </c>
      <c r="D196" s="1194" t="s">
        <v>19</v>
      </c>
      <c r="E196" s="1124">
        <v>16.399999999999999</v>
      </c>
      <c r="F196" s="1124">
        <f t="shared" si="15"/>
        <v>9896.0879999999979</v>
      </c>
      <c r="G196" s="1186">
        <v>14</v>
      </c>
      <c r="H196" s="1187">
        <f t="shared" si="16"/>
        <v>8447.8799999999992</v>
      </c>
      <c r="I196" s="1187">
        <f t="shared" si="17"/>
        <v>18343.967999999997</v>
      </c>
      <c r="J196" s="660"/>
    </row>
    <row r="197" spans="1:10">
      <c r="A197" s="1073"/>
      <c r="B197" s="1198" t="s">
        <v>1691</v>
      </c>
      <c r="C197" s="1118">
        <v>48.371999999999993</v>
      </c>
      <c r="D197" s="1194" t="s">
        <v>19</v>
      </c>
      <c r="E197" s="1124">
        <v>16.2</v>
      </c>
      <c r="F197" s="1124">
        <f t="shared" si="15"/>
        <v>783.62639999999988</v>
      </c>
      <c r="G197" s="1186">
        <v>14</v>
      </c>
      <c r="H197" s="1187">
        <f t="shared" si="16"/>
        <v>677.20799999999986</v>
      </c>
      <c r="I197" s="1187">
        <f t="shared" si="17"/>
        <v>1460.8343999999997</v>
      </c>
      <c r="J197" s="660"/>
    </row>
    <row r="198" spans="1:10">
      <c r="A198" s="1073"/>
      <c r="B198" s="1198" t="s">
        <v>1692</v>
      </c>
      <c r="C198" s="1118">
        <v>2676.8920000000003</v>
      </c>
      <c r="D198" s="1194" t="s">
        <v>19</v>
      </c>
      <c r="E198" s="1124">
        <v>16.27</v>
      </c>
      <c r="F198" s="1124">
        <f t="shared" si="15"/>
        <v>43553.03284</v>
      </c>
      <c r="G198" s="1186">
        <v>14</v>
      </c>
      <c r="H198" s="1187">
        <f t="shared" si="16"/>
        <v>37476.488000000005</v>
      </c>
      <c r="I198" s="1187">
        <f t="shared" si="17"/>
        <v>81029.520840000012</v>
      </c>
      <c r="J198" s="660"/>
    </row>
    <row r="199" spans="1:10">
      <c r="A199" s="1073"/>
      <c r="B199" s="1198" t="s">
        <v>1685</v>
      </c>
      <c r="C199" s="1118">
        <v>304</v>
      </c>
      <c r="D199" s="1194" t="s">
        <v>15</v>
      </c>
      <c r="E199" s="1124">
        <v>210</v>
      </c>
      <c r="F199" s="1124">
        <f t="shared" si="15"/>
        <v>63840</v>
      </c>
      <c r="G199" s="1186">
        <v>100</v>
      </c>
      <c r="H199" s="1187">
        <f t="shared" si="16"/>
        <v>30400</v>
      </c>
      <c r="I199" s="1187">
        <f t="shared" si="17"/>
        <v>94240</v>
      </c>
      <c r="J199" s="660"/>
    </row>
    <row r="200" spans="1:10">
      <c r="A200" s="1073"/>
      <c r="B200" s="1198" t="s">
        <v>688</v>
      </c>
      <c r="C200" s="1118">
        <v>3775.4036000000001</v>
      </c>
      <c r="D200" s="1194" t="s">
        <v>16</v>
      </c>
      <c r="E200" s="1124">
        <v>30</v>
      </c>
      <c r="F200" s="1124">
        <f t="shared" si="15"/>
        <v>113262.10800000001</v>
      </c>
      <c r="G200" s="1186">
        <v>30</v>
      </c>
      <c r="H200" s="1187">
        <f t="shared" si="16"/>
        <v>113262.10800000001</v>
      </c>
      <c r="I200" s="1187">
        <f t="shared" si="17"/>
        <v>226524.21600000001</v>
      </c>
      <c r="J200" s="660"/>
    </row>
    <row r="201" spans="1:10">
      <c r="A201" s="1073"/>
      <c r="B201" s="1198" t="s">
        <v>1686</v>
      </c>
      <c r="C201" s="1118">
        <v>1766.2600000000002</v>
      </c>
      <c r="D201" s="1194" t="s">
        <v>16</v>
      </c>
      <c r="E201" s="1124">
        <v>280</v>
      </c>
      <c r="F201" s="1124">
        <f t="shared" si="15"/>
        <v>494552.80000000005</v>
      </c>
      <c r="G201" s="1186">
        <v>30</v>
      </c>
      <c r="H201" s="1187">
        <f t="shared" si="16"/>
        <v>52987.8</v>
      </c>
      <c r="I201" s="1187">
        <f t="shared" si="17"/>
        <v>547540.60000000009</v>
      </c>
      <c r="J201" s="660"/>
    </row>
    <row r="202" spans="1:10">
      <c r="A202" s="1073" t="s">
        <v>1777</v>
      </c>
      <c r="B202" s="1199" t="s">
        <v>686</v>
      </c>
      <c r="C202" s="1118"/>
      <c r="D202" s="1194"/>
      <c r="E202" s="1124"/>
      <c r="F202" s="1124"/>
      <c r="G202" s="1186"/>
      <c r="H202" s="1187"/>
      <c r="I202" s="1187"/>
      <c r="J202" s="660"/>
    </row>
    <row r="203" spans="1:10">
      <c r="A203" s="1073"/>
      <c r="B203" s="1193" t="s">
        <v>674</v>
      </c>
      <c r="C203" s="1118">
        <v>114.39624999999998</v>
      </c>
      <c r="D203" s="1194" t="s">
        <v>43</v>
      </c>
      <c r="E203" s="1124">
        <v>2287</v>
      </c>
      <c r="F203" s="1124">
        <f>C203*E203</f>
        <v>261624.22374999995</v>
      </c>
      <c r="G203" s="1186">
        <v>485</v>
      </c>
      <c r="H203" s="1187">
        <f>G203*C203</f>
        <v>55482.181249999994</v>
      </c>
      <c r="I203" s="1187">
        <f>F203+H203</f>
        <v>317106.40499999991</v>
      </c>
      <c r="J203" s="660"/>
    </row>
    <row r="204" spans="1:10">
      <c r="A204" s="1073"/>
      <c r="B204" s="1193" t="s">
        <v>683</v>
      </c>
      <c r="C204" s="1118">
        <v>1280.0919100000003</v>
      </c>
      <c r="D204" s="1194" t="s">
        <v>43</v>
      </c>
      <c r="E204" s="1124">
        <v>2570</v>
      </c>
      <c r="F204" s="1124">
        <f t="shared" ref="F204:F234" si="18">C204*E204</f>
        <v>3289836.2087000008</v>
      </c>
      <c r="G204" s="1186">
        <v>485</v>
      </c>
      <c r="H204" s="1187">
        <f t="shared" ref="H204:H233" si="19">G204*C204</f>
        <v>620844.5763500001</v>
      </c>
      <c r="I204" s="1187">
        <f t="shared" ref="I204:I233" si="20">F204+H204</f>
        <v>3910680.785050001</v>
      </c>
      <c r="J204" s="660"/>
    </row>
    <row r="205" spans="1:10">
      <c r="A205" s="1073"/>
      <c r="B205" s="1193" t="s">
        <v>684</v>
      </c>
      <c r="C205" s="1118">
        <v>4231.9000000000005</v>
      </c>
      <c r="D205" s="1194" t="s">
        <v>16</v>
      </c>
      <c r="E205" s="1124">
        <v>250</v>
      </c>
      <c r="F205" s="1124">
        <f t="shared" si="18"/>
        <v>1057975.0000000002</v>
      </c>
      <c r="G205" s="1186">
        <v>100</v>
      </c>
      <c r="H205" s="1187">
        <f t="shared" si="19"/>
        <v>423190.00000000006</v>
      </c>
      <c r="I205" s="1187">
        <f t="shared" si="20"/>
        <v>1481165.0000000002</v>
      </c>
      <c r="J205" s="660"/>
    </row>
    <row r="206" spans="1:10">
      <c r="A206" s="1073"/>
      <c r="B206" s="1193" t="s">
        <v>1664</v>
      </c>
      <c r="C206" s="1118">
        <v>6546.8339000000005</v>
      </c>
      <c r="D206" s="1194" t="s">
        <v>1665</v>
      </c>
      <c r="E206" s="1124">
        <v>0</v>
      </c>
      <c r="F206" s="1124">
        <f t="shared" si="18"/>
        <v>0</v>
      </c>
      <c r="G206" s="1186">
        <v>115</v>
      </c>
      <c r="H206" s="1187">
        <f t="shared" si="19"/>
        <v>752885.89850000001</v>
      </c>
      <c r="I206" s="1187">
        <f t="shared" si="20"/>
        <v>752885.89850000001</v>
      </c>
      <c r="J206" s="660"/>
    </row>
    <row r="207" spans="1:10">
      <c r="A207" s="1073"/>
      <c r="B207" s="1193" t="s">
        <v>675</v>
      </c>
      <c r="C207" s="1118">
        <v>3928.10034</v>
      </c>
      <c r="D207" s="1194" t="s">
        <v>1665</v>
      </c>
      <c r="E207" s="1124">
        <v>400</v>
      </c>
      <c r="F207" s="1124">
        <f t="shared" si="18"/>
        <v>1571240.1359999999</v>
      </c>
      <c r="G207" s="1186">
        <v>0</v>
      </c>
      <c r="H207" s="1187">
        <f t="shared" si="19"/>
        <v>0</v>
      </c>
      <c r="I207" s="1187">
        <f t="shared" si="20"/>
        <v>1571240.1359999999</v>
      </c>
      <c r="J207" s="660"/>
    </row>
    <row r="208" spans="1:10">
      <c r="A208" s="1073"/>
      <c r="B208" s="1193" t="s">
        <v>1666</v>
      </c>
      <c r="C208" s="1118">
        <v>1178.430102</v>
      </c>
      <c r="D208" s="1194" t="s">
        <v>1665</v>
      </c>
      <c r="E208" s="1124">
        <v>400</v>
      </c>
      <c r="F208" s="1124">
        <f t="shared" si="18"/>
        <v>471372.04080000002</v>
      </c>
      <c r="G208" s="1186">
        <v>0</v>
      </c>
      <c r="H208" s="1187">
        <f t="shared" si="19"/>
        <v>0</v>
      </c>
      <c r="I208" s="1187">
        <f t="shared" si="20"/>
        <v>471372.04080000002</v>
      </c>
      <c r="J208" s="660"/>
    </row>
    <row r="209" spans="1:10">
      <c r="A209" s="1073"/>
      <c r="B209" s="1193" t="s">
        <v>676</v>
      </c>
      <c r="C209" s="1118">
        <v>1964.05017</v>
      </c>
      <c r="D209" s="1194" t="s">
        <v>19</v>
      </c>
      <c r="E209" s="1124">
        <v>56.07</v>
      </c>
      <c r="F209" s="1124">
        <f t="shared" si="18"/>
        <v>110124.2930319</v>
      </c>
      <c r="G209" s="1186">
        <v>0</v>
      </c>
      <c r="H209" s="1187">
        <f t="shared" si="19"/>
        <v>0</v>
      </c>
      <c r="I209" s="1187">
        <f t="shared" si="20"/>
        <v>110124.2930319</v>
      </c>
      <c r="J209" s="660"/>
    </row>
    <row r="210" spans="1:10">
      <c r="A210" s="1073"/>
      <c r="B210" s="1193" t="s">
        <v>679</v>
      </c>
      <c r="C210" s="1118"/>
      <c r="D210" s="1194"/>
      <c r="E210" s="1124"/>
      <c r="F210" s="1124">
        <f t="shared" si="18"/>
        <v>0</v>
      </c>
      <c r="G210" s="1186"/>
      <c r="H210" s="1187">
        <f t="shared" si="19"/>
        <v>0</v>
      </c>
      <c r="I210" s="1187">
        <f t="shared" si="20"/>
        <v>0</v>
      </c>
      <c r="J210" s="660"/>
    </row>
    <row r="211" spans="1:10">
      <c r="A211" s="1073"/>
      <c r="B211" s="1195" t="s">
        <v>1667</v>
      </c>
      <c r="C211" s="1118">
        <v>2783.6760908000001</v>
      </c>
      <c r="D211" s="1194" t="s">
        <v>19</v>
      </c>
      <c r="E211" s="1124">
        <v>18.2</v>
      </c>
      <c r="F211" s="1124">
        <f t="shared" si="18"/>
        <v>50662.904852560001</v>
      </c>
      <c r="G211" s="1186">
        <v>4.0999999999999996</v>
      </c>
      <c r="H211" s="1187">
        <f t="shared" si="19"/>
        <v>11413.071972279999</v>
      </c>
      <c r="I211" s="1187">
        <f t="shared" si="20"/>
        <v>62075.97682484</v>
      </c>
      <c r="J211" s="660"/>
    </row>
    <row r="212" spans="1:10">
      <c r="A212" s="1073"/>
      <c r="B212" s="1195" t="s">
        <v>1668</v>
      </c>
      <c r="C212" s="1118">
        <v>80936.05938773333</v>
      </c>
      <c r="D212" s="1194" t="s">
        <v>19</v>
      </c>
      <c r="E212" s="1124">
        <v>19.3</v>
      </c>
      <c r="F212" s="1124">
        <f t="shared" si="18"/>
        <v>1562065.9461832533</v>
      </c>
      <c r="G212" s="1186">
        <v>3.3</v>
      </c>
      <c r="H212" s="1187">
        <f t="shared" si="19"/>
        <v>267088.99597951997</v>
      </c>
      <c r="I212" s="1187">
        <f t="shared" si="20"/>
        <v>1829154.9421627733</v>
      </c>
      <c r="J212" s="660"/>
    </row>
    <row r="213" spans="1:10">
      <c r="A213" s="1073"/>
      <c r="B213" s="1195" t="s">
        <v>1669</v>
      </c>
      <c r="C213" s="1118">
        <v>5856.0924456000002</v>
      </c>
      <c r="D213" s="1194" t="s">
        <v>19</v>
      </c>
      <c r="E213" s="1124">
        <v>17.7</v>
      </c>
      <c r="F213" s="1124">
        <f t="shared" si="18"/>
        <v>103652.83628711999</v>
      </c>
      <c r="G213" s="1186">
        <v>3.3</v>
      </c>
      <c r="H213" s="1187">
        <f t="shared" si="19"/>
        <v>19325.10507048</v>
      </c>
      <c r="I213" s="1187">
        <f t="shared" si="20"/>
        <v>122977.94135759999</v>
      </c>
      <c r="J213" s="660"/>
    </row>
    <row r="214" spans="1:10">
      <c r="A214" s="1073"/>
      <c r="B214" s="1195" t="s">
        <v>1670</v>
      </c>
      <c r="C214" s="1118">
        <v>10421.9206632</v>
      </c>
      <c r="D214" s="1194" t="s">
        <v>19</v>
      </c>
      <c r="E214" s="1124">
        <v>16.100000000000001</v>
      </c>
      <c r="F214" s="1124">
        <f t="shared" si="18"/>
        <v>167792.92267752002</v>
      </c>
      <c r="G214" s="1186">
        <v>2.9</v>
      </c>
      <c r="H214" s="1187">
        <f t="shared" si="19"/>
        <v>30223.56992328</v>
      </c>
      <c r="I214" s="1187">
        <f t="shared" si="20"/>
        <v>198016.49260080003</v>
      </c>
      <c r="J214" s="660"/>
    </row>
    <row r="215" spans="1:10">
      <c r="A215" s="1073"/>
      <c r="B215" s="1195" t="s">
        <v>1671</v>
      </c>
      <c r="C215" s="1118">
        <v>12197.076065000001</v>
      </c>
      <c r="D215" s="1194" t="s">
        <v>19</v>
      </c>
      <c r="E215" s="1124">
        <v>16.100000000000001</v>
      </c>
      <c r="F215" s="1124">
        <f t="shared" si="18"/>
        <v>196372.92464650003</v>
      </c>
      <c r="G215" s="1186">
        <v>2.9</v>
      </c>
      <c r="H215" s="1187">
        <f t="shared" si="19"/>
        <v>35371.520588500003</v>
      </c>
      <c r="I215" s="1187">
        <f t="shared" si="20"/>
        <v>231744.44523500005</v>
      </c>
      <c r="J215" s="660"/>
    </row>
    <row r="216" spans="1:10">
      <c r="A216" s="1073"/>
      <c r="B216" s="1195" t="s">
        <v>1677</v>
      </c>
      <c r="C216" s="1118">
        <v>6651.3446999999996</v>
      </c>
      <c r="D216" s="1194" t="s">
        <v>19</v>
      </c>
      <c r="E216" s="1124">
        <v>16.100000000000001</v>
      </c>
      <c r="F216" s="1124">
        <f t="shared" si="18"/>
        <v>107086.64967</v>
      </c>
      <c r="G216" s="1186">
        <v>2.9</v>
      </c>
      <c r="H216" s="1187">
        <f t="shared" si="19"/>
        <v>19288.89963</v>
      </c>
      <c r="I216" s="1187">
        <f t="shared" si="20"/>
        <v>126375.5493</v>
      </c>
      <c r="J216" s="660"/>
    </row>
    <row r="217" spans="1:10">
      <c r="A217" s="1073"/>
      <c r="B217" s="1197" t="s">
        <v>680</v>
      </c>
      <c r="C217" s="1118">
        <v>3565.3850805699999</v>
      </c>
      <c r="D217" s="1194" t="s">
        <v>19</v>
      </c>
      <c r="E217" s="1124">
        <v>47.2</v>
      </c>
      <c r="F217" s="1124">
        <f t="shared" si="18"/>
        <v>168286.17580290401</v>
      </c>
      <c r="G217" s="1186">
        <v>4.0999999999999996</v>
      </c>
      <c r="H217" s="1187">
        <f t="shared" si="19"/>
        <v>14618.078830336999</v>
      </c>
      <c r="I217" s="1187">
        <f t="shared" si="20"/>
        <v>182904.25463324101</v>
      </c>
      <c r="J217" s="660"/>
    </row>
    <row r="218" spans="1:10">
      <c r="A218" s="1073"/>
      <c r="B218" s="1201" t="s">
        <v>687</v>
      </c>
      <c r="C218" s="1118"/>
      <c r="D218" s="1194"/>
      <c r="E218" s="1124"/>
      <c r="F218" s="1124">
        <f t="shared" si="18"/>
        <v>0</v>
      </c>
      <c r="G218" s="1186"/>
      <c r="H218" s="1187">
        <f t="shared" si="19"/>
        <v>0</v>
      </c>
      <c r="I218" s="1187">
        <f t="shared" si="20"/>
        <v>0</v>
      </c>
      <c r="J218" s="660"/>
    </row>
    <row r="219" spans="1:10">
      <c r="A219" s="1073"/>
      <c r="B219" s="1198" t="s">
        <v>1679</v>
      </c>
      <c r="C219" s="1118">
        <v>14770.4</v>
      </c>
      <c r="D219" s="1194" t="s">
        <v>19</v>
      </c>
      <c r="E219" s="1124">
        <v>23.5</v>
      </c>
      <c r="F219" s="1124">
        <f t="shared" si="18"/>
        <v>347104.39999999997</v>
      </c>
      <c r="G219" s="1186">
        <v>14</v>
      </c>
      <c r="H219" s="1187">
        <f t="shared" si="19"/>
        <v>206785.6</v>
      </c>
      <c r="I219" s="1187">
        <f t="shared" si="20"/>
        <v>553890</v>
      </c>
      <c r="J219" s="660"/>
    </row>
    <row r="220" spans="1:10">
      <c r="A220" s="1073"/>
      <c r="B220" s="1198" t="s">
        <v>1701</v>
      </c>
      <c r="C220" s="1118">
        <v>6091.2</v>
      </c>
      <c r="D220" s="1194" t="s">
        <v>19</v>
      </c>
      <c r="E220" s="1124">
        <v>23.5</v>
      </c>
      <c r="F220" s="1124">
        <f t="shared" si="18"/>
        <v>143143.19999999998</v>
      </c>
      <c r="G220" s="1186">
        <v>14</v>
      </c>
      <c r="H220" s="1187">
        <f t="shared" si="19"/>
        <v>85276.800000000003</v>
      </c>
      <c r="I220" s="1187">
        <f t="shared" si="20"/>
        <v>228420</v>
      </c>
      <c r="J220" s="660"/>
    </row>
    <row r="221" spans="1:10">
      <c r="A221" s="1073"/>
      <c r="B221" s="1198" t="s">
        <v>1680</v>
      </c>
      <c r="C221" s="1118">
        <v>13041.6</v>
      </c>
      <c r="D221" s="1194" t="s">
        <v>19</v>
      </c>
      <c r="E221" s="1124">
        <v>23.5</v>
      </c>
      <c r="F221" s="1124">
        <f t="shared" si="18"/>
        <v>306477.60000000003</v>
      </c>
      <c r="G221" s="1186">
        <v>14</v>
      </c>
      <c r="H221" s="1187">
        <f t="shared" si="19"/>
        <v>182582.39999999999</v>
      </c>
      <c r="I221" s="1187">
        <f t="shared" si="20"/>
        <v>489060</v>
      </c>
      <c r="J221" s="660"/>
    </row>
    <row r="222" spans="1:10">
      <c r="A222" s="1073"/>
      <c r="B222" s="1198" t="s">
        <v>1681</v>
      </c>
      <c r="C222" s="1118">
        <v>78307.840000000011</v>
      </c>
      <c r="D222" s="1194" t="s">
        <v>19</v>
      </c>
      <c r="E222" s="1124">
        <v>23.5</v>
      </c>
      <c r="F222" s="1124">
        <f t="shared" si="18"/>
        <v>1840234.2400000002</v>
      </c>
      <c r="G222" s="1186">
        <v>14</v>
      </c>
      <c r="H222" s="1187">
        <f t="shared" si="19"/>
        <v>1096309.7600000002</v>
      </c>
      <c r="I222" s="1187">
        <f t="shared" si="20"/>
        <v>2936544.0000000005</v>
      </c>
      <c r="J222" s="660"/>
    </row>
    <row r="223" spans="1:10">
      <c r="A223" s="1073"/>
      <c r="B223" s="1198" t="s">
        <v>1693</v>
      </c>
      <c r="C223" s="1118">
        <v>128985.56999999999</v>
      </c>
      <c r="D223" s="1194" t="s">
        <v>19</v>
      </c>
      <c r="E223" s="1124">
        <v>23.5</v>
      </c>
      <c r="F223" s="1124">
        <f t="shared" si="18"/>
        <v>3031160.895</v>
      </c>
      <c r="G223" s="1186">
        <v>14</v>
      </c>
      <c r="H223" s="1187">
        <f t="shared" si="19"/>
        <v>1805797.98</v>
      </c>
      <c r="I223" s="1187">
        <f t="shared" si="20"/>
        <v>4836958.875</v>
      </c>
      <c r="J223" s="660"/>
    </row>
    <row r="224" spans="1:10">
      <c r="A224" s="1073"/>
      <c r="B224" s="1198" t="s">
        <v>1688</v>
      </c>
      <c r="C224" s="1118">
        <v>6892.9520000000002</v>
      </c>
      <c r="D224" s="1194" t="s">
        <v>19</v>
      </c>
      <c r="E224" s="1124">
        <v>23.5</v>
      </c>
      <c r="F224" s="1124">
        <f t="shared" si="18"/>
        <v>161984.372</v>
      </c>
      <c r="G224" s="1186">
        <v>14</v>
      </c>
      <c r="H224" s="1187">
        <f t="shared" si="19"/>
        <v>96501.328000000009</v>
      </c>
      <c r="I224" s="1187">
        <f t="shared" si="20"/>
        <v>258485.7</v>
      </c>
      <c r="J224" s="660"/>
    </row>
    <row r="225" spans="1:10">
      <c r="A225" s="1073"/>
      <c r="B225" s="1198" t="s">
        <v>1694</v>
      </c>
      <c r="C225" s="1118">
        <v>9484.7999999999993</v>
      </c>
      <c r="D225" s="1194" t="s">
        <v>19</v>
      </c>
      <c r="E225" s="1124">
        <v>23.5</v>
      </c>
      <c r="F225" s="1124">
        <f t="shared" si="18"/>
        <v>222892.79999999999</v>
      </c>
      <c r="G225" s="1186">
        <v>14</v>
      </c>
      <c r="H225" s="1187">
        <f t="shared" si="19"/>
        <v>132787.19999999998</v>
      </c>
      <c r="I225" s="1187">
        <f t="shared" si="20"/>
        <v>355680</v>
      </c>
      <c r="J225" s="660"/>
    </row>
    <row r="226" spans="1:10">
      <c r="A226" s="1073"/>
      <c r="B226" s="1198" t="s">
        <v>1695</v>
      </c>
      <c r="C226" s="1118">
        <v>1620</v>
      </c>
      <c r="D226" s="1194" t="s">
        <v>19</v>
      </c>
      <c r="E226" s="1124">
        <v>18.3</v>
      </c>
      <c r="F226" s="1124">
        <f t="shared" si="18"/>
        <v>29646</v>
      </c>
      <c r="G226" s="1186">
        <v>14</v>
      </c>
      <c r="H226" s="1187">
        <f t="shared" si="19"/>
        <v>22680</v>
      </c>
      <c r="I226" s="1187">
        <f t="shared" si="20"/>
        <v>52326</v>
      </c>
      <c r="J226" s="660"/>
    </row>
    <row r="227" spans="1:10">
      <c r="A227" s="1073"/>
      <c r="B227" s="1198" t="s">
        <v>1766</v>
      </c>
      <c r="C227" s="1118">
        <v>17799.759999999998</v>
      </c>
      <c r="D227" s="1194" t="s">
        <v>19</v>
      </c>
      <c r="E227" s="1124">
        <v>18.3</v>
      </c>
      <c r="F227" s="1124">
        <f t="shared" si="18"/>
        <v>325735.60800000001</v>
      </c>
      <c r="G227" s="1186">
        <v>14</v>
      </c>
      <c r="H227" s="1187">
        <f t="shared" si="19"/>
        <v>249196.63999999998</v>
      </c>
      <c r="I227" s="1187">
        <f t="shared" si="20"/>
        <v>574932.24800000002</v>
      </c>
      <c r="J227" s="660"/>
    </row>
    <row r="228" spans="1:10">
      <c r="A228" s="1073"/>
      <c r="B228" s="1198" t="s">
        <v>1689</v>
      </c>
      <c r="C228" s="1118">
        <v>23549.399999999998</v>
      </c>
      <c r="D228" s="1194" t="s">
        <v>19</v>
      </c>
      <c r="E228" s="1124">
        <v>18.3</v>
      </c>
      <c r="F228" s="1124">
        <f t="shared" si="18"/>
        <v>430954.01999999996</v>
      </c>
      <c r="G228" s="1186">
        <v>14</v>
      </c>
      <c r="H228" s="1187">
        <f t="shared" si="19"/>
        <v>329691.59999999998</v>
      </c>
      <c r="I228" s="1187">
        <f t="shared" si="20"/>
        <v>760645.61999999988</v>
      </c>
      <c r="J228" s="660"/>
    </row>
    <row r="229" spans="1:10">
      <c r="A229" s="1073"/>
      <c r="B229" s="1198" t="s">
        <v>1767</v>
      </c>
      <c r="C229" s="1118">
        <v>892.9375</v>
      </c>
      <c r="D229" s="1194" t="s">
        <v>19</v>
      </c>
      <c r="E229" s="1124">
        <v>35</v>
      </c>
      <c r="F229" s="1124">
        <f t="shared" si="18"/>
        <v>31252.8125</v>
      </c>
      <c r="G229" s="1186">
        <v>15</v>
      </c>
      <c r="H229" s="1187">
        <f t="shared" si="19"/>
        <v>13394.0625</v>
      </c>
      <c r="I229" s="1187">
        <f t="shared" si="20"/>
        <v>44646.875</v>
      </c>
      <c r="J229" s="660"/>
    </row>
    <row r="230" spans="1:10">
      <c r="A230" s="1073"/>
      <c r="B230" s="1198" t="s">
        <v>1690</v>
      </c>
      <c r="C230" s="1118">
        <v>391.6</v>
      </c>
      <c r="D230" s="1194" t="s">
        <v>19</v>
      </c>
      <c r="E230" s="1124">
        <v>16.399999999999999</v>
      </c>
      <c r="F230" s="1124">
        <f t="shared" si="18"/>
        <v>6422.24</v>
      </c>
      <c r="G230" s="1186">
        <v>14</v>
      </c>
      <c r="H230" s="1187">
        <f t="shared" si="19"/>
        <v>5482.4000000000005</v>
      </c>
      <c r="I230" s="1187">
        <f t="shared" si="20"/>
        <v>11904.64</v>
      </c>
      <c r="J230" s="660"/>
    </row>
    <row r="231" spans="1:10">
      <c r="A231" s="1073"/>
      <c r="B231" s="1195" t="s">
        <v>1692</v>
      </c>
      <c r="C231" s="1118">
        <v>1707.4663999999998</v>
      </c>
      <c r="D231" s="1194" t="s">
        <v>19</v>
      </c>
      <c r="E231" s="1124">
        <v>16.27</v>
      </c>
      <c r="F231" s="1124">
        <f t="shared" si="18"/>
        <v>27780.478327999997</v>
      </c>
      <c r="G231" s="1186">
        <v>14</v>
      </c>
      <c r="H231" s="1187">
        <f t="shared" si="19"/>
        <v>23904.529599999998</v>
      </c>
      <c r="I231" s="1187">
        <f t="shared" si="20"/>
        <v>51685.007927999992</v>
      </c>
      <c r="J231" s="660"/>
    </row>
    <row r="232" spans="1:10">
      <c r="A232" s="1073"/>
      <c r="B232" s="1196" t="s">
        <v>1768</v>
      </c>
      <c r="C232" s="1118">
        <v>156</v>
      </c>
      <c r="D232" s="1194" t="s">
        <v>15</v>
      </c>
      <c r="E232" s="1124">
        <v>310</v>
      </c>
      <c r="F232" s="1124">
        <f t="shared" si="18"/>
        <v>48360</v>
      </c>
      <c r="G232" s="1186">
        <v>100</v>
      </c>
      <c r="H232" s="1187">
        <f t="shared" si="19"/>
        <v>15600</v>
      </c>
      <c r="I232" s="1187">
        <f t="shared" si="20"/>
        <v>63960</v>
      </c>
      <c r="J232" s="660"/>
    </row>
    <row r="233" spans="1:10">
      <c r="A233" s="1073"/>
      <c r="B233" s="1197" t="s">
        <v>688</v>
      </c>
      <c r="C233" s="1118">
        <v>8788.0627999999979</v>
      </c>
      <c r="D233" s="1194" t="s">
        <v>16</v>
      </c>
      <c r="E233" s="1124">
        <v>30</v>
      </c>
      <c r="F233" s="1124">
        <f t="shared" si="18"/>
        <v>263641.88399999996</v>
      </c>
      <c r="G233" s="1186">
        <v>30</v>
      </c>
      <c r="H233" s="1187">
        <f t="shared" si="19"/>
        <v>263641.88399999996</v>
      </c>
      <c r="I233" s="1187">
        <f t="shared" si="20"/>
        <v>527283.76799999992</v>
      </c>
      <c r="J233" s="660"/>
    </row>
    <row r="234" spans="1:10">
      <c r="A234" s="1073"/>
      <c r="B234" s="1198" t="s">
        <v>1686</v>
      </c>
      <c r="C234" s="1118">
        <v>6956.8519999999999</v>
      </c>
      <c r="D234" s="1194" t="s">
        <v>16</v>
      </c>
      <c r="E234" s="1124">
        <v>280</v>
      </c>
      <c r="F234" s="1124">
        <f t="shared" si="18"/>
        <v>1947918.56</v>
      </c>
      <c r="G234" s="1186">
        <v>30</v>
      </c>
      <c r="H234" s="1187">
        <f>G234*C234</f>
        <v>208705.56</v>
      </c>
      <c r="I234" s="1187">
        <f>F234+H234</f>
        <v>2156624.12</v>
      </c>
      <c r="J234" s="660"/>
    </row>
    <row r="235" spans="1:10">
      <c r="A235" s="1073">
        <v>2.2999999999999998</v>
      </c>
      <c r="B235" s="1199" t="s">
        <v>1769</v>
      </c>
      <c r="C235" s="1118"/>
      <c r="D235" s="1194"/>
      <c r="E235" s="1124"/>
      <c r="F235" s="1124"/>
      <c r="G235" s="1186"/>
      <c r="H235" s="1187"/>
      <c r="I235" s="1187"/>
      <c r="J235" s="660"/>
    </row>
    <row r="236" spans="1:10">
      <c r="A236" s="1073" t="s">
        <v>1778</v>
      </c>
      <c r="B236" s="497" t="s">
        <v>669</v>
      </c>
      <c r="C236" s="506"/>
      <c r="D236" s="499"/>
      <c r="E236" s="489"/>
      <c r="F236" s="489"/>
      <c r="G236" s="507"/>
      <c r="H236" s="490"/>
      <c r="I236" s="490"/>
      <c r="J236" s="660"/>
    </row>
    <row r="237" spans="1:10">
      <c r="A237" s="1073"/>
      <c r="B237" s="503" t="s">
        <v>1138</v>
      </c>
      <c r="C237" s="506">
        <v>105</v>
      </c>
      <c r="D237" s="499" t="s">
        <v>670</v>
      </c>
      <c r="E237" s="489">
        <v>3925</v>
      </c>
      <c r="F237" s="489">
        <f>C237*E237</f>
        <v>412125</v>
      </c>
      <c r="G237" s="507">
        <v>591</v>
      </c>
      <c r="H237" s="490">
        <f>C237*G237</f>
        <v>62055</v>
      </c>
      <c r="I237" s="490">
        <f>F237+H237</f>
        <v>474180</v>
      </c>
      <c r="J237" s="660"/>
    </row>
    <row r="238" spans="1:10">
      <c r="A238" s="1073"/>
      <c r="B238" s="503" t="s">
        <v>1760</v>
      </c>
      <c r="C238" s="506">
        <v>1</v>
      </c>
      <c r="D238" s="499" t="s">
        <v>670</v>
      </c>
      <c r="E238" s="489">
        <v>0</v>
      </c>
      <c r="F238" s="489">
        <f t="shared" ref="F238:F256" si="21">C238*E238</f>
        <v>0</v>
      </c>
      <c r="G238" s="507">
        <v>26500</v>
      </c>
      <c r="H238" s="490">
        <f>C238*G238</f>
        <v>26500</v>
      </c>
      <c r="I238" s="490">
        <f t="shared" ref="I238:I256" si="22">F238+H238</f>
        <v>26500</v>
      </c>
      <c r="J238" s="660"/>
    </row>
    <row r="239" spans="1:10">
      <c r="A239" s="1073"/>
      <c r="B239" s="503" t="s">
        <v>1761</v>
      </c>
      <c r="C239" s="506">
        <v>105</v>
      </c>
      <c r="D239" s="499" t="s">
        <v>670</v>
      </c>
      <c r="E239" s="489">
        <v>0</v>
      </c>
      <c r="F239" s="489">
        <f t="shared" si="21"/>
        <v>0</v>
      </c>
      <c r="G239" s="507">
        <v>350</v>
      </c>
      <c r="H239" s="490">
        <f>C239*G239</f>
        <v>36750</v>
      </c>
      <c r="I239" s="490">
        <f t="shared" si="22"/>
        <v>36750</v>
      </c>
      <c r="J239" s="660"/>
    </row>
    <row r="240" spans="1:10">
      <c r="A240" s="1073"/>
      <c r="B240" s="503" t="s">
        <v>671</v>
      </c>
      <c r="C240" s="506">
        <v>105</v>
      </c>
      <c r="D240" s="499" t="s">
        <v>670</v>
      </c>
      <c r="E240" s="489">
        <v>0</v>
      </c>
      <c r="F240" s="489">
        <f t="shared" si="21"/>
        <v>0</v>
      </c>
      <c r="G240" s="507">
        <v>350</v>
      </c>
      <c r="H240" s="490">
        <f t="shared" ref="H240:H256" si="23">C240*G240</f>
        <v>36750</v>
      </c>
      <c r="I240" s="490">
        <f t="shared" si="22"/>
        <v>36750</v>
      </c>
      <c r="J240" s="660"/>
    </row>
    <row r="241" spans="1:10">
      <c r="A241" s="1073"/>
      <c r="B241" s="503" t="s">
        <v>672</v>
      </c>
      <c r="C241" s="506">
        <v>257.59800000000001</v>
      </c>
      <c r="D241" s="499" t="s">
        <v>43</v>
      </c>
      <c r="E241" s="489">
        <v>0</v>
      </c>
      <c r="F241" s="489">
        <f t="shared" si="21"/>
        <v>0</v>
      </c>
      <c r="G241" s="507">
        <v>125</v>
      </c>
      <c r="H241" s="490">
        <f t="shared" si="23"/>
        <v>32199.75</v>
      </c>
      <c r="I241" s="490">
        <f t="shared" si="22"/>
        <v>32199.75</v>
      </c>
      <c r="J241" s="660"/>
    </row>
    <row r="242" spans="1:10">
      <c r="A242" s="1073"/>
      <c r="B242" s="503" t="s">
        <v>673</v>
      </c>
      <c r="C242" s="506">
        <v>183.95899999999997</v>
      </c>
      <c r="D242" s="499" t="s">
        <v>43</v>
      </c>
      <c r="E242" s="489">
        <v>0</v>
      </c>
      <c r="F242" s="489">
        <f t="shared" si="21"/>
        <v>0</v>
      </c>
      <c r="G242" s="507">
        <v>99</v>
      </c>
      <c r="H242" s="490">
        <f t="shared" si="23"/>
        <v>18211.940999999999</v>
      </c>
      <c r="I242" s="490">
        <f t="shared" si="22"/>
        <v>18211.940999999999</v>
      </c>
      <c r="J242" s="660"/>
    </row>
    <row r="243" spans="1:10">
      <c r="A243" s="1073"/>
      <c r="B243" s="503" t="s">
        <v>674</v>
      </c>
      <c r="C243" s="506">
        <v>76.74237500000001</v>
      </c>
      <c r="D243" s="499" t="s">
        <v>43</v>
      </c>
      <c r="E243" s="489">
        <v>2287</v>
      </c>
      <c r="F243" s="489">
        <f t="shared" si="21"/>
        <v>175509.81162500003</v>
      </c>
      <c r="G243" s="507">
        <v>485</v>
      </c>
      <c r="H243" s="490">
        <f t="shared" si="23"/>
        <v>37220.051875000005</v>
      </c>
      <c r="I243" s="490">
        <f t="shared" si="22"/>
        <v>212729.86350000004</v>
      </c>
      <c r="J243" s="660"/>
    </row>
    <row r="244" spans="1:10">
      <c r="A244" s="1073"/>
      <c r="B244" s="503" t="s">
        <v>1664</v>
      </c>
      <c r="C244" s="506">
        <v>259.41299999999995</v>
      </c>
      <c r="D244" s="499" t="s">
        <v>1665</v>
      </c>
      <c r="E244" s="489">
        <v>0</v>
      </c>
      <c r="F244" s="489">
        <f t="shared" si="21"/>
        <v>0</v>
      </c>
      <c r="G244" s="507">
        <v>115</v>
      </c>
      <c r="H244" s="490">
        <f t="shared" si="23"/>
        <v>29832.494999999995</v>
      </c>
      <c r="I244" s="490">
        <f t="shared" si="22"/>
        <v>29832.494999999995</v>
      </c>
      <c r="J244" s="660"/>
    </row>
    <row r="245" spans="1:10">
      <c r="A245" s="1073"/>
      <c r="B245" s="503" t="s">
        <v>675</v>
      </c>
      <c r="C245" s="506">
        <v>155.64779999999996</v>
      </c>
      <c r="D245" s="499" t="s">
        <v>1665</v>
      </c>
      <c r="E245" s="489">
        <v>400</v>
      </c>
      <c r="F245" s="489">
        <f t="shared" si="21"/>
        <v>62259.119999999981</v>
      </c>
      <c r="G245" s="507">
        <v>0</v>
      </c>
      <c r="H245" s="490">
        <f t="shared" si="23"/>
        <v>0</v>
      </c>
      <c r="I245" s="490">
        <f t="shared" si="22"/>
        <v>62259.119999999981</v>
      </c>
      <c r="J245" s="660"/>
    </row>
    <row r="246" spans="1:10">
      <c r="A246" s="1073"/>
      <c r="B246" s="1189" t="s">
        <v>1666</v>
      </c>
      <c r="C246" s="1118">
        <v>51.545339999999996</v>
      </c>
      <c r="D246" s="1194" t="s">
        <v>1665</v>
      </c>
      <c r="E246" s="1124">
        <v>400</v>
      </c>
      <c r="F246" s="489">
        <f t="shared" si="21"/>
        <v>20618.135999999999</v>
      </c>
      <c r="G246" s="1186">
        <v>0</v>
      </c>
      <c r="H246" s="490">
        <f t="shared" si="23"/>
        <v>0</v>
      </c>
      <c r="I246" s="490">
        <f t="shared" si="22"/>
        <v>20618.135999999999</v>
      </c>
      <c r="J246" s="660"/>
    </row>
    <row r="247" spans="1:10">
      <c r="A247" s="1073"/>
      <c r="B247" s="1189" t="s">
        <v>676</v>
      </c>
      <c r="C247" s="1118">
        <v>12.127500000000001</v>
      </c>
      <c r="D247" s="1194" t="s">
        <v>19</v>
      </c>
      <c r="E247" s="1124">
        <v>56.07</v>
      </c>
      <c r="F247" s="489">
        <f t="shared" si="21"/>
        <v>679.98892500000011</v>
      </c>
      <c r="G247" s="1186">
        <v>0</v>
      </c>
      <c r="H247" s="490">
        <f t="shared" si="23"/>
        <v>0</v>
      </c>
      <c r="I247" s="490">
        <f t="shared" si="22"/>
        <v>679.98892500000011</v>
      </c>
      <c r="J247" s="660"/>
    </row>
    <row r="248" spans="1:10">
      <c r="A248" s="1073"/>
      <c r="B248" s="1189" t="s">
        <v>677</v>
      </c>
      <c r="C248" s="1118">
        <v>6.8764250000000002</v>
      </c>
      <c r="D248" s="1194" t="s">
        <v>43</v>
      </c>
      <c r="E248" s="1124">
        <v>1989</v>
      </c>
      <c r="F248" s="489">
        <f t="shared" si="21"/>
        <v>13677.209325</v>
      </c>
      <c r="G248" s="1186">
        <v>398</v>
      </c>
      <c r="H248" s="490">
        <f t="shared" si="23"/>
        <v>2736.8171500000003</v>
      </c>
      <c r="I248" s="490">
        <f t="shared" si="22"/>
        <v>16414.026474999999</v>
      </c>
      <c r="J248" s="660"/>
    </row>
    <row r="249" spans="1:10">
      <c r="A249" s="1073"/>
      <c r="B249" s="1189" t="s">
        <v>678</v>
      </c>
      <c r="C249" s="1118">
        <v>8.9692500000000006</v>
      </c>
      <c r="D249" s="1194" t="s">
        <v>43</v>
      </c>
      <c r="E249" s="1124">
        <v>406.5</v>
      </c>
      <c r="F249" s="489">
        <f t="shared" si="21"/>
        <v>3646.000125</v>
      </c>
      <c r="G249" s="1186">
        <v>91</v>
      </c>
      <c r="H249" s="490">
        <f t="shared" si="23"/>
        <v>816.20175000000006</v>
      </c>
      <c r="I249" s="490">
        <f t="shared" si="22"/>
        <v>4462.2018749999997</v>
      </c>
      <c r="J249" s="660"/>
    </row>
    <row r="250" spans="1:10">
      <c r="A250" s="1073"/>
      <c r="B250" s="1189" t="s">
        <v>679</v>
      </c>
      <c r="C250" s="1118"/>
      <c r="D250" s="1194"/>
      <c r="E250" s="1124"/>
      <c r="F250" s="489"/>
      <c r="G250" s="1186"/>
      <c r="H250" s="490"/>
      <c r="I250" s="490"/>
      <c r="J250" s="660"/>
    </row>
    <row r="251" spans="1:10">
      <c r="A251" s="1073"/>
      <c r="B251" s="1189" t="s">
        <v>1696</v>
      </c>
      <c r="C251" s="1118">
        <v>412.22243626666665</v>
      </c>
      <c r="D251" s="1194" t="s">
        <v>19</v>
      </c>
      <c r="E251" s="1124">
        <v>18.2</v>
      </c>
      <c r="F251" s="489">
        <f t="shared" si="21"/>
        <v>7502.4483400533327</v>
      </c>
      <c r="G251" s="1186">
        <v>4.0999999999999996</v>
      </c>
      <c r="H251" s="490">
        <f t="shared" si="23"/>
        <v>1690.1119886933332</v>
      </c>
      <c r="I251" s="490">
        <f t="shared" si="22"/>
        <v>9192.5603287466656</v>
      </c>
      <c r="J251" s="660"/>
    </row>
    <row r="252" spans="1:10">
      <c r="A252" s="1073"/>
      <c r="B252" s="1189" t="s">
        <v>1697</v>
      </c>
      <c r="C252" s="1118">
        <v>255.434088</v>
      </c>
      <c r="D252" s="1194" t="s">
        <v>19</v>
      </c>
      <c r="E252" s="1124">
        <v>19.3</v>
      </c>
      <c r="F252" s="489">
        <f t="shared" si="21"/>
        <v>4929.8778984</v>
      </c>
      <c r="G252" s="1186">
        <v>3.3</v>
      </c>
      <c r="H252" s="490">
        <f t="shared" si="23"/>
        <v>842.93249040000001</v>
      </c>
      <c r="I252" s="490">
        <f t="shared" si="22"/>
        <v>5772.8103888000005</v>
      </c>
      <c r="J252" s="660"/>
    </row>
    <row r="253" spans="1:10">
      <c r="A253" s="1073"/>
      <c r="B253" s="1189" t="s">
        <v>1698</v>
      </c>
      <c r="C253" s="1118">
        <v>5464.9296000000004</v>
      </c>
      <c r="D253" s="1194" t="s">
        <v>19</v>
      </c>
      <c r="E253" s="1124">
        <v>17.7</v>
      </c>
      <c r="F253" s="489">
        <f t="shared" si="21"/>
        <v>96729.253920000003</v>
      </c>
      <c r="G253" s="1186">
        <v>3.3</v>
      </c>
      <c r="H253" s="490">
        <f t="shared" si="23"/>
        <v>18034.267680000001</v>
      </c>
      <c r="I253" s="490">
        <f t="shared" si="22"/>
        <v>114763.52160000001</v>
      </c>
      <c r="J253" s="660"/>
    </row>
    <row r="254" spans="1:10">
      <c r="A254" s="1073"/>
      <c r="B254" s="1189" t="s">
        <v>1699</v>
      </c>
      <c r="C254" s="1118">
        <v>957.19022999999993</v>
      </c>
      <c r="D254" s="1194" t="s">
        <v>19</v>
      </c>
      <c r="E254" s="1124">
        <v>16.100000000000001</v>
      </c>
      <c r="F254" s="489">
        <f t="shared" si="21"/>
        <v>15410.762703</v>
      </c>
      <c r="G254" s="1186">
        <v>2.9</v>
      </c>
      <c r="H254" s="490">
        <f t="shared" si="23"/>
        <v>2775.8516669999999</v>
      </c>
      <c r="I254" s="490">
        <f t="shared" si="22"/>
        <v>18186.614369999999</v>
      </c>
      <c r="J254" s="660"/>
    </row>
    <row r="255" spans="1:10">
      <c r="A255" s="1073"/>
      <c r="B255" s="1189" t="s">
        <v>1700</v>
      </c>
      <c r="C255" s="1118">
        <v>3119.3888000000002</v>
      </c>
      <c r="D255" s="1194" t="s">
        <v>19</v>
      </c>
      <c r="E255" s="1124">
        <v>16.100000000000001</v>
      </c>
      <c r="F255" s="489">
        <f t="shared" si="21"/>
        <v>50222.159680000004</v>
      </c>
      <c r="G255" s="1186">
        <v>2.9</v>
      </c>
      <c r="H255" s="490">
        <f t="shared" si="23"/>
        <v>9046.2275200000004</v>
      </c>
      <c r="I255" s="490">
        <f t="shared" si="22"/>
        <v>59268.387200000005</v>
      </c>
      <c r="J255" s="660"/>
    </row>
    <row r="256" spans="1:10">
      <c r="A256" s="1073"/>
      <c r="B256" s="1189" t="s">
        <v>680</v>
      </c>
      <c r="C256" s="1118">
        <v>306.27495462799999</v>
      </c>
      <c r="D256" s="1194" t="s">
        <v>19</v>
      </c>
      <c r="E256" s="1124">
        <v>47.2</v>
      </c>
      <c r="F256" s="489">
        <f t="shared" si="21"/>
        <v>14456.177858441601</v>
      </c>
      <c r="G256" s="1186">
        <v>4.0999999999999996</v>
      </c>
      <c r="H256" s="490">
        <f t="shared" si="23"/>
        <v>1255.7273139747999</v>
      </c>
      <c r="I256" s="490">
        <f t="shared" si="22"/>
        <v>15711.9051724164</v>
      </c>
      <c r="J256" s="660"/>
    </row>
    <row r="257" spans="1:10">
      <c r="A257" s="1073" t="s">
        <v>1779</v>
      </c>
      <c r="B257" s="1199" t="s">
        <v>681</v>
      </c>
      <c r="C257" s="1118"/>
      <c r="D257" s="1194"/>
      <c r="E257" s="1124"/>
      <c r="F257" s="1124"/>
      <c r="G257" s="1186"/>
      <c r="H257" s="1187"/>
      <c r="I257" s="1187">
        <f t="shared" ref="I257:I299" si="24">F257+H257</f>
        <v>0</v>
      </c>
      <c r="J257" s="660"/>
    </row>
    <row r="258" spans="1:10">
      <c r="A258" s="1073"/>
      <c r="B258" s="1189" t="s">
        <v>674</v>
      </c>
      <c r="C258" s="1118">
        <v>392.35815000000002</v>
      </c>
      <c r="D258" s="1194" t="s">
        <v>43</v>
      </c>
      <c r="E258" s="1124">
        <v>2287</v>
      </c>
      <c r="F258" s="1124">
        <f t="shared" ref="F258:F280" si="25">C258*E258</f>
        <v>897323.08905000007</v>
      </c>
      <c r="G258" s="1186">
        <v>485</v>
      </c>
      <c r="H258" s="1187">
        <f t="shared" ref="H258:H280" si="26">C258*G258</f>
        <v>190293.70275</v>
      </c>
      <c r="I258" s="1187">
        <f t="shared" si="24"/>
        <v>1087616.7918</v>
      </c>
      <c r="J258" s="660"/>
    </row>
    <row r="259" spans="1:10">
      <c r="A259" s="1073"/>
      <c r="B259" s="1189" t="s">
        <v>1664</v>
      </c>
      <c r="C259" s="1118">
        <v>2308.6349999999998</v>
      </c>
      <c r="D259" s="1194" t="s">
        <v>1665</v>
      </c>
      <c r="E259" s="1124">
        <v>0</v>
      </c>
      <c r="F259" s="1124">
        <f t="shared" si="25"/>
        <v>0</v>
      </c>
      <c r="G259" s="1186">
        <v>115</v>
      </c>
      <c r="H259" s="1187">
        <f t="shared" si="26"/>
        <v>265493.02499999997</v>
      </c>
      <c r="I259" s="1187">
        <f t="shared" si="24"/>
        <v>265493.02499999997</v>
      </c>
      <c r="J259" s="660"/>
    </row>
    <row r="260" spans="1:10">
      <c r="A260" s="1073"/>
      <c r="B260" s="1189" t="s">
        <v>675</v>
      </c>
      <c r="C260" s="1118">
        <v>1385.1809999999998</v>
      </c>
      <c r="D260" s="1194" t="s">
        <v>1665</v>
      </c>
      <c r="E260" s="1124">
        <v>400</v>
      </c>
      <c r="F260" s="1124">
        <f t="shared" si="25"/>
        <v>554072.39999999991</v>
      </c>
      <c r="G260" s="1186">
        <v>0</v>
      </c>
      <c r="H260" s="1187">
        <f t="shared" si="26"/>
        <v>0</v>
      </c>
      <c r="I260" s="1187">
        <f t="shared" si="24"/>
        <v>554072.39999999991</v>
      </c>
      <c r="J260" s="660"/>
    </row>
    <row r="261" spans="1:10">
      <c r="A261" s="1073"/>
      <c r="B261" s="1189" t="s">
        <v>1666</v>
      </c>
      <c r="C261" s="1118">
        <v>692.59049999999991</v>
      </c>
      <c r="D261" s="1194" t="s">
        <v>1665</v>
      </c>
      <c r="E261" s="1124">
        <v>400</v>
      </c>
      <c r="F261" s="1124">
        <f t="shared" si="25"/>
        <v>277036.19999999995</v>
      </c>
      <c r="G261" s="1186">
        <v>0</v>
      </c>
      <c r="H261" s="1187">
        <f t="shared" si="26"/>
        <v>0</v>
      </c>
      <c r="I261" s="1187">
        <f t="shared" si="24"/>
        <v>277036.19999999995</v>
      </c>
      <c r="J261" s="660"/>
    </row>
    <row r="262" spans="1:10">
      <c r="A262" s="1073"/>
      <c r="B262" s="1189" t="s">
        <v>676</v>
      </c>
      <c r="C262" s="1118">
        <v>692.59049999999991</v>
      </c>
      <c r="D262" s="1194" t="s">
        <v>19</v>
      </c>
      <c r="E262" s="1124">
        <v>56.07</v>
      </c>
      <c r="F262" s="1124">
        <f t="shared" si="25"/>
        <v>38833.549334999996</v>
      </c>
      <c r="G262" s="1186">
        <v>0</v>
      </c>
      <c r="H262" s="1187">
        <f t="shared" si="26"/>
        <v>0</v>
      </c>
      <c r="I262" s="1187">
        <f t="shared" si="24"/>
        <v>38833.549334999996</v>
      </c>
      <c r="J262" s="660"/>
    </row>
    <row r="263" spans="1:10">
      <c r="A263" s="1073"/>
      <c r="B263" s="1189" t="s">
        <v>677</v>
      </c>
      <c r="C263" s="1118">
        <v>8.1506249999999998</v>
      </c>
      <c r="D263" s="1194" t="s">
        <v>43</v>
      </c>
      <c r="E263" s="1124">
        <v>1989</v>
      </c>
      <c r="F263" s="1124">
        <f t="shared" si="25"/>
        <v>16211.593124999999</v>
      </c>
      <c r="G263" s="1186">
        <v>398</v>
      </c>
      <c r="H263" s="1187">
        <f t="shared" si="26"/>
        <v>3243.94875</v>
      </c>
      <c r="I263" s="1187">
        <f t="shared" si="24"/>
        <v>19455.541874999999</v>
      </c>
      <c r="J263" s="660"/>
    </row>
    <row r="264" spans="1:10">
      <c r="A264" s="1073"/>
      <c r="B264" s="1189" t="s">
        <v>678</v>
      </c>
      <c r="C264" s="1118">
        <v>10.631250000000001</v>
      </c>
      <c r="D264" s="1194" t="s">
        <v>43</v>
      </c>
      <c r="E264" s="1124">
        <v>406.5</v>
      </c>
      <c r="F264" s="1124">
        <f t="shared" si="25"/>
        <v>4321.6031250000005</v>
      </c>
      <c r="G264" s="1186">
        <v>91</v>
      </c>
      <c r="H264" s="1187">
        <f t="shared" si="26"/>
        <v>967.44375000000014</v>
      </c>
      <c r="I264" s="1187">
        <f t="shared" si="24"/>
        <v>5289.0468750000009</v>
      </c>
      <c r="J264" s="660"/>
    </row>
    <row r="265" spans="1:10">
      <c r="A265" s="1073"/>
      <c r="B265" s="1189" t="s">
        <v>679</v>
      </c>
      <c r="C265" s="1118"/>
      <c r="D265" s="1194"/>
      <c r="E265" s="1124"/>
      <c r="F265" s="1124"/>
      <c r="G265" s="1186"/>
      <c r="H265" s="1187"/>
      <c r="I265" s="1187"/>
      <c r="J265" s="660"/>
    </row>
    <row r="266" spans="1:10">
      <c r="A266" s="1073"/>
      <c r="B266" s="1189" t="s">
        <v>1696</v>
      </c>
      <c r="C266" s="1118">
        <v>4994.2658911199997</v>
      </c>
      <c r="D266" s="1194" t="s">
        <v>19</v>
      </c>
      <c r="E266" s="1124">
        <v>18.2</v>
      </c>
      <c r="F266" s="1124">
        <f t="shared" si="25"/>
        <v>90895.639218383993</v>
      </c>
      <c r="G266" s="1186">
        <v>4.0999999999999996</v>
      </c>
      <c r="H266" s="1187">
        <f t="shared" si="26"/>
        <v>20476.490153591996</v>
      </c>
      <c r="I266" s="1187">
        <f t="shared" si="24"/>
        <v>111372.12937197599</v>
      </c>
      <c r="J266" s="660"/>
    </row>
    <row r="267" spans="1:10">
      <c r="A267" s="1073"/>
      <c r="B267" s="1189" t="s">
        <v>1697</v>
      </c>
      <c r="C267" s="1118">
        <v>29481.236452800007</v>
      </c>
      <c r="D267" s="1194" t="s">
        <v>19</v>
      </c>
      <c r="E267" s="1124">
        <v>19.3</v>
      </c>
      <c r="F267" s="1124">
        <f t="shared" si="25"/>
        <v>568987.86353904021</v>
      </c>
      <c r="G267" s="1186">
        <v>3.3</v>
      </c>
      <c r="H267" s="1187">
        <f t="shared" si="26"/>
        <v>97288.080294240019</v>
      </c>
      <c r="I267" s="1187">
        <f t="shared" si="24"/>
        <v>666275.94383328024</v>
      </c>
      <c r="J267" s="660"/>
    </row>
    <row r="268" spans="1:10">
      <c r="A268" s="1073"/>
      <c r="B268" s="1189" t="s">
        <v>1698</v>
      </c>
      <c r="C268" s="1118">
        <v>8653.2115665600013</v>
      </c>
      <c r="D268" s="1194" t="s">
        <v>19</v>
      </c>
      <c r="E268" s="1124">
        <v>17.7</v>
      </c>
      <c r="F268" s="1124">
        <f t="shared" si="25"/>
        <v>153161.84472811202</v>
      </c>
      <c r="G268" s="1186">
        <v>3.3</v>
      </c>
      <c r="H268" s="1187">
        <f t="shared" si="26"/>
        <v>28555.598169648001</v>
      </c>
      <c r="I268" s="1187">
        <f t="shared" si="24"/>
        <v>181717.44289776002</v>
      </c>
      <c r="J268" s="660"/>
    </row>
    <row r="269" spans="1:10">
      <c r="A269" s="1073"/>
      <c r="B269" s="1189" t="s">
        <v>1699</v>
      </c>
      <c r="C269" s="1118">
        <v>1187.4732011999999</v>
      </c>
      <c r="D269" s="1194" t="s">
        <v>19</v>
      </c>
      <c r="E269" s="1124">
        <v>16.100000000000001</v>
      </c>
      <c r="F269" s="1124">
        <f t="shared" si="25"/>
        <v>19118.31853932</v>
      </c>
      <c r="G269" s="1186">
        <v>2.9</v>
      </c>
      <c r="H269" s="1187">
        <f t="shared" si="26"/>
        <v>3443.6722834799998</v>
      </c>
      <c r="I269" s="1187">
        <f t="shared" si="24"/>
        <v>22561.990822799999</v>
      </c>
      <c r="J269" s="660"/>
    </row>
    <row r="270" spans="1:10">
      <c r="A270" s="1073"/>
      <c r="B270" s="1189" t="s">
        <v>1700</v>
      </c>
      <c r="C270" s="1118">
        <v>18138.758467500003</v>
      </c>
      <c r="D270" s="1194" t="s">
        <v>19</v>
      </c>
      <c r="E270" s="1124">
        <v>16.100000000000001</v>
      </c>
      <c r="F270" s="1124">
        <f t="shared" si="25"/>
        <v>292034.0113267501</v>
      </c>
      <c r="G270" s="1186">
        <v>2.9</v>
      </c>
      <c r="H270" s="1187">
        <f t="shared" si="26"/>
        <v>52602.399555750009</v>
      </c>
      <c r="I270" s="1187">
        <f t="shared" si="24"/>
        <v>344636.41088250012</v>
      </c>
      <c r="J270" s="660"/>
    </row>
    <row r="271" spans="1:10">
      <c r="A271" s="1073"/>
      <c r="B271" s="1203" t="s">
        <v>680</v>
      </c>
      <c r="C271" s="1118">
        <v>1873.6483673754003</v>
      </c>
      <c r="D271" s="1194" t="s">
        <v>19</v>
      </c>
      <c r="E271" s="1124">
        <v>47.2</v>
      </c>
      <c r="F271" s="1124">
        <f t="shared" si="25"/>
        <v>88436.202940118907</v>
      </c>
      <c r="G271" s="1186">
        <v>4.0999999999999996</v>
      </c>
      <c r="H271" s="1187">
        <f t="shared" si="26"/>
        <v>7681.9583062391403</v>
      </c>
      <c r="I271" s="1187">
        <f t="shared" si="24"/>
        <v>96118.161246358053</v>
      </c>
      <c r="J271" s="660"/>
    </row>
    <row r="272" spans="1:10">
      <c r="A272" s="1073"/>
      <c r="B272" s="1203" t="s">
        <v>914</v>
      </c>
      <c r="C272" s="1118">
        <v>62.099999999999994</v>
      </c>
      <c r="D272" s="1194" t="s">
        <v>14</v>
      </c>
      <c r="E272" s="1124">
        <v>280</v>
      </c>
      <c r="F272" s="1124">
        <f t="shared" si="25"/>
        <v>17388</v>
      </c>
      <c r="G272" s="1186">
        <v>35</v>
      </c>
      <c r="H272" s="1187">
        <f t="shared" si="26"/>
        <v>2173.5</v>
      </c>
      <c r="I272" s="1187">
        <f t="shared" si="24"/>
        <v>19561.5</v>
      </c>
      <c r="J272" s="660"/>
    </row>
    <row r="273" spans="1:10">
      <c r="A273" s="1073"/>
      <c r="B273" s="1203" t="s">
        <v>1674</v>
      </c>
      <c r="C273" s="1118">
        <v>249.75</v>
      </c>
      <c r="D273" s="1194" t="s">
        <v>16</v>
      </c>
      <c r="E273" s="1124">
        <v>270</v>
      </c>
      <c r="F273" s="1124">
        <f t="shared" si="25"/>
        <v>67432.5</v>
      </c>
      <c r="G273" s="1186">
        <v>87</v>
      </c>
      <c r="H273" s="1187">
        <f t="shared" si="26"/>
        <v>21728.25</v>
      </c>
      <c r="I273" s="1187">
        <f t="shared" si="24"/>
        <v>89160.75</v>
      </c>
      <c r="J273" s="660"/>
    </row>
    <row r="274" spans="1:10">
      <c r="A274" s="1073"/>
      <c r="B274" s="1203" t="s">
        <v>1675</v>
      </c>
      <c r="C274" s="1118">
        <v>108</v>
      </c>
      <c r="D274" s="1194" t="s">
        <v>16</v>
      </c>
      <c r="E274" s="1124">
        <v>100</v>
      </c>
      <c r="F274" s="1124">
        <f t="shared" si="25"/>
        <v>10800</v>
      </c>
      <c r="G274" s="1186">
        <v>30</v>
      </c>
      <c r="H274" s="1187">
        <f t="shared" si="26"/>
        <v>3240</v>
      </c>
      <c r="I274" s="1187">
        <f t="shared" si="24"/>
        <v>14040</v>
      </c>
      <c r="J274" s="660"/>
    </row>
    <row r="275" spans="1:10">
      <c r="A275" s="1073"/>
      <c r="B275" s="1203" t="s">
        <v>1678</v>
      </c>
      <c r="C275" s="1118"/>
      <c r="D275" s="1194"/>
      <c r="E275" s="1124">
        <v>0</v>
      </c>
      <c r="F275" s="1124">
        <f t="shared" si="25"/>
        <v>0</v>
      </c>
      <c r="G275" s="1186">
        <v>0</v>
      </c>
      <c r="H275" s="1187">
        <f t="shared" si="26"/>
        <v>0</v>
      </c>
      <c r="I275" s="1187">
        <f t="shared" si="24"/>
        <v>0</v>
      </c>
      <c r="J275" s="660"/>
    </row>
    <row r="276" spans="1:10">
      <c r="A276" s="1073"/>
      <c r="B276" s="1203" t="s">
        <v>1770</v>
      </c>
      <c r="C276" s="1118">
        <v>53704</v>
      </c>
      <c r="D276" s="1194" t="s">
        <v>19</v>
      </c>
      <c r="E276" s="1124">
        <v>23.5</v>
      </c>
      <c r="F276" s="1124">
        <f t="shared" si="25"/>
        <v>1262044</v>
      </c>
      <c r="G276" s="1186">
        <v>14</v>
      </c>
      <c r="H276" s="1187">
        <f t="shared" si="26"/>
        <v>751856</v>
      </c>
      <c r="I276" s="1187">
        <f t="shared" si="24"/>
        <v>2013900</v>
      </c>
      <c r="J276" s="660"/>
    </row>
    <row r="277" spans="1:10">
      <c r="A277" s="1073"/>
      <c r="B277" s="1203" t="s">
        <v>1702</v>
      </c>
      <c r="C277" s="1118">
        <v>1099</v>
      </c>
      <c r="D277" s="1194" t="s">
        <v>19</v>
      </c>
      <c r="E277" s="1124">
        <v>35</v>
      </c>
      <c r="F277" s="1124">
        <f t="shared" si="25"/>
        <v>38465</v>
      </c>
      <c r="G277" s="1186">
        <v>15</v>
      </c>
      <c r="H277" s="1187">
        <f t="shared" si="26"/>
        <v>16485</v>
      </c>
      <c r="I277" s="1187">
        <f t="shared" si="24"/>
        <v>54950</v>
      </c>
      <c r="J277" s="660"/>
    </row>
    <row r="278" spans="1:10">
      <c r="A278" s="1073"/>
      <c r="B278" s="1203" t="s">
        <v>1703</v>
      </c>
      <c r="C278" s="1118">
        <v>224</v>
      </c>
      <c r="D278" s="1194" t="s">
        <v>15</v>
      </c>
      <c r="E278" s="1124">
        <v>310</v>
      </c>
      <c r="F278" s="1124">
        <f t="shared" si="25"/>
        <v>69440</v>
      </c>
      <c r="G278" s="1186">
        <v>100</v>
      </c>
      <c r="H278" s="1187">
        <f t="shared" si="26"/>
        <v>22400</v>
      </c>
      <c r="I278" s="1187">
        <f t="shared" si="24"/>
        <v>91840</v>
      </c>
      <c r="J278" s="660"/>
    </row>
    <row r="279" spans="1:10">
      <c r="A279" s="1073"/>
      <c r="B279" s="1203" t="s">
        <v>688</v>
      </c>
      <c r="C279" s="1118">
        <v>826.69999999999982</v>
      </c>
      <c r="D279" s="1194" t="s">
        <v>16</v>
      </c>
      <c r="E279" s="1124">
        <v>30</v>
      </c>
      <c r="F279" s="1124">
        <f t="shared" si="25"/>
        <v>24800.999999999993</v>
      </c>
      <c r="G279" s="1186">
        <v>30</v>
      </c>
      <c r="H279" s="1187">
        <f t="shared" si="26"/>
        <v>24800.999999999993</v>
      </c>
      <c r="I279" s="1187">
        <f t="shared" si="24"/>
        <v>49601.999999999985</v>
      </c>
      <c r="J279" s="660"/>
    </row>
    <row r="280" spans="1:10">
      <c r="A280" s="1073"/>
      <c r="B280" s="1203" t="s">
        <v>1686</v>
      </c>
      <c r="C280" s="1118">
        <v>823.19999999999982</v>
      </c>
      <c r="D280" s="1194" t="s">
        <v>16</v>
      </c>
      <c r="E280" s="1124">
        <v>280</v>
      </c>
      <c r="F280" s="1124">
        <f t="shared" si="25"/>
        <v>230495.99999999994</v>
      </c>
      <c r="G280" s="1186">
        <v>30</v>
      </c>
      <c r="H280" s="1187">
        <f t="shared" si="26"/>
        <v>24695.999999999993</v>
      </c>
      <c r="I280" s="1187">
        <f t="shared" si="24"/>
        <v>255191.99999999994</v>
      </c>
      <c r="J280" s="660"/>
    </row>
    <row r="281" spans="1:10">
      <c r="A281" s="1073" t="s">
        <v>1780</v>
      </c>
      <c r="B281" s="1199" t="s">
        <v>1704</v>
      </c>
      <c r="C281" s="1118"/>
      <c r="D281" s="1194"/>
      <c r="E281" s="1124"/>
      <c r="F281" s="1124"/>
      <c r="G281" s="1186"/>
      <c r="H281" s="1187"/>
      <c r="I281" s="1124">
        <f t="shared" si="24"/>
        <v>0</v>
      </c>
      <c r="J281" s="660"/>
    </row>
    <row r="282" spans="1:10">
      <c r="A282" s="1073"/>
      <c r="B282" s="1189" t="s">
        <v>674</v>
      </c>
      <c r="C282" s="1118">
        <v>231.08099999999999</v>
      </c>
      <c r="D282" s="1191" t="s">
        <v>43</v>
      </c>
      <c r="E282" s="1124">
        <v>2287</v>
      </c>
      <c r="F282" s="1124">
        <f t="shared" ref="F282:F299" si="27">C282*E282</f>
        <v>528482.24699999997</v>
      </c>
      <c r="G282" s="1186">
        <v>485</v>
      </c>
      <c r="H282" s="1187">
        <f t="shared" ref="H282:H299" si="28">C282*G282</f>
        <v>112074.28499999999</v>
      </c>
      <c r="I282" s="1124">
        <f t="shared" si="24"/>
        <v>640556.53200000001</v>
      </c>
      <c r="J282" s="660"/>
    </row>
    <row r="283" spans="1:10">
      <c r="A283" s="1073"/>
      <c r="B283" s="1189" t="s">
        <v>1664</v>
      </c>
      <c r="C283" s="1118">
        <v>1356.7049999999999</v>
      </c>
      <c r="D283" s="1191" t="s">
        <v>1665</v>
      </c>
      <c r="E283" s="1124">
        <v>0</v>
      </c>
      <c r="F283" s="1124">
        <f t="shared" si="27"/>
        <v>0</v>
      </c>
      <c r="G283" s="1186">
        <v>115</v>
      </c>
      <c r="H283" s="1187">
        <f t="shared" si="28"/>
        <v>156021.07499999998</v>
      </c>
      <c r="I283" s="1124">
        <f t="shared" si="24"/>
        <v>156021.07499999998</v>
      </c>
      <c r="J283" s="660"/>
    </row>
    <row r="284" spans="1:10">
      <c r="A284" s="1073"/>
      <c r="B284" s="1189" t="s">
        <v>675</v>
      </c>
      <c r="C284" s="1118">
        <v>814.02299999999991</v>
      </c>
      <c r="D284" s="1191" t="s">
        <v>1665</v>
      </c>
      <c r="E284" s="1124">
        <v>400</v>
      </c>
      <c r="F284" s="1124">
        <f t="shared" si="27"/>
        <v>325609.19999999995</v>
      </c>
      <c r="G284" s="1186">
        <v>0</v>
      </c>
      <c r="H284" s="1187">
        <f t="shared" si="28"/>
        <v>0</v>
      </c>
      <c r="I284" s="1124">
        <f t="shared" si="24"/>
        <v>325609.19999999995</v>
      </c>
      <c r="J284" s="660"/>
    </row>
    <row r="285" spans="1:10">
      <c r="A285" s="1073"/>
      <c r="B285" s="1189" t="s">
        <v>1666</v>
      </c>
      <c r="C285" s="1118">
        <v>244.20689999999996</v>
      </c>
      <c r="D285" s="1191" t="s">
        <v>1665</v>
      </c>
      <c r="E285" s="1124">
        <v>400</v>
      </c>
      <c r="F285" s="1124">
        <f t="shared" si="27"/>
        <v>97682.75999999998</v>
      </c>
      <c r="G285" s="1186">
        <v>0</v>
      </c>
      <c r="H285" s="1187">
        <f t="shared" si="28"/>
        <v>0</v>
      </c>
      <c r="I285" s="1124">
        <f t="shared" si="24"/>
        <v>97682.75999999998</v>
      </c>
      <c r="J285" s="660"/>
    </row>
    <row r="286" spans="1:10">
      <c r="A286" s="1073"/>
      <c r="B286" s="1189" t="s">
        <v>676</v>
      </c>
      <c r="C286" s="1118">
        <v>407.01149999999996</v>
      </c>
      <c r="D286" s="1194" t="s">
        <v>19</v>
      </c>
      <c r="E286" s="1124">
        <v>56.07</v>
      </c>
      <c r="F286" s="1124">
        <f t="shared" si="27"/>
        <v>22821.134804999998</v>
      </c>
      <c r="G286" s="1186">
        <v>0</v>
      </c>
      <c r="H286" s="1187">
        <f t="shared" si="28"/>
        <v>0</v>
      </c>
      <c r="I286" s="1124">
        <f t="shared" si="24"/>
        <v>22821.134804999998</v>
      </c>
      <c r="J286" s="660"/>
    </row>
    <row r="287" spans="1:10">
      <c r="A287" s="1073"/>
      <c r="B287" s="1189" t="s">
        <v>679</v>
      </c>
      <c r="C287" s="1118"/>
      <c r="D287" s="1191"/>
      <c r="E287" s="1124"/>
      <c r="F287" s="1124"/>
      <c r="G287" s="1186"/>
      <c r="H287" s="1187"/>
      <c r="I287" s="1124">
        <f t="shared" si="24"/>
        <v>0</v>
      </c>
      <c r="J287" s="660"/>
    </row>
    <row r="288" spans="1:10">
      <c r="A288" s="1073"/>
      <c r="B288" s="1189" t="s">
        <v>1696</v>
      </c>
      <c r="C288" s="1118">
        <v>1067.7532140000001</v>
      </c>
      <c r="D288" s="1191" t="s">
        <v>19</v>
      </c>
      <c r="E288" s="1124">
        <v>18.2</v>
      </c>
      <c r="F288" s="1124">
        <f t="shared" si="27"/>
        <v>19433.108494799999</v>
      </c>
      <c r="G288" s="1186">
        <v>4.0999999999999996</v>
      </c>
      <c r="H288" s="1187">
        <f t="shared" si="28"/>
        <v>4377.7881773999998</v>
      </c>
      <c r="I288" s="1124">
        <f t="shared" si="24"/>
        <v>23810.896672199997</v>
      </c>
      <c r="J288" s="660"/>
    </row>
    <row r="289" spans="1:10">
      <c r="A289" s="1073"/>
      <c r="B289" s="1189" t="s">
        <v>1697</v>
      </c>
      <c r="C289" s="1118">
        <v>28263.175504457151</v>
      </c>
      <c r="D289" s="1191" t="s">
        <v>19</v>
      </c>
      <c r="E289" s="1124">
        <v>19.3</v>
      </c>
      <c r="F289" s="1124">
        <f t="shared" si="27"/>
        <v>545479.287236023</v>
      </c>
      <c r="G289" s="1186">
        <v>3.3</v>
      </c>
      <c r="H289" s="1187">
        <f t="shared" si="28"/>
        <v>93268.479164708595</v>
      </c>
      <c r="I289" s="1124">
        <f t="shared" si="24"/>
        <v>638747.76640073163</v>
      </c>
      <c r="J289" s="660"/>
    </row>
    <row r="290" spans="1:10">
      <c r="A290" s="1073"/>
      <c r="B290" s="1189" t="s">
        <v>1698</v>
      </c>
      <c r="C290" s="1118">
        <v>976.85616600000026</v>
      </c>
      <c r="D290" s="1191" t="s">
        <v>19</v>
      </c>
      <c r="E290" s="1124">
        <v>17.7</v>
      </c>
      <c r="F290" s="1124">
        <f t="shared" si="27"/>
        <v>17290.354138200004</v>
      </c>
      <c r="G290" s="1186">
        <v>3.3</v>
      </c>
      <c r="H290" s="1187">
        <f t="shared" si="28"/>
        <v>3223.6253478000008</v>
      </c>
      <c r="I290" s="1124">
        <f t="shared" si="24"/>
        <v>20513.979486000004</v>
      </c>
      <c r="J290" s="660"/>
    </row>
    <row r="291" spans="1:10">
      <c r="A291" s="1073"/>
      <c r="B291" s="1189" t="s">
        <v>1699</v>
      </c>
      <c r="C291" s="1118">
        <v>1834.5449430000001</v>
      </c>
      <c r="D291" s="1191" t="s">
        <v>19</v>
      </c>
      <c r="E291" s="1124">
        <v>16.100000000000001</v>
      </c>
      <c r="F291" s="1124">
        <f t="shared" si="27"/>
        <v>29536.173582300005</v>
      </c>
      <c r="G291" s="1186">
        <v>2.9</v>
      </c>
      <c r="H291" s="1187">
        <f t="shared" si="28"/>
        <v>5320.1803347000005</v>
      </c>
      <c r="I291" s="1124">
        <f t="shared" si="24"/>
        <v>34856.353917000008</v>
      </c>
      <c r="J291" s="660"/>
    </row>
    <row r="292" spans="1:10">
      <c r="A292" s="1073"/>
      <c r="B292" s="1204" t="s">
        <v>680</v>
      </c>
      <c r="C292" s="1118">
        <v>964.26989482371459</v>
      </c>
      <c r="D292" s="1191" t="s">
        <v>19</v>
      </c>
      <c r="E292" s="1205">
        <v>47.2</v>
      </c>
      <c r="F292" s="1124">
        <f t="shared" si="27"/>
        <v>45513.539035679329</v>
      </c>
      <c r="G292" s="1186">
        <v>4.0999999999999996</v>
      </c>
      <c r="H292" s="1187">
        <f t="shared" si="28"/>
        <v>3953.5065687772294</v>
      </c>
      <c r="I292" s="1124">
        <f t="shared" si="24"/>
        <v>49467.045604456558</v>
      </c>
      <c r="J292" s="660"/>
    </row>
    <row r="293" spans="1:10">
      <c r="A293" s="1073"/>
      <c r="B293" s="1207" t="s">
        <v>1678</v>
      </c>
      <c r="C293" s="1118"/>
      <c r="D293" s="1191"/>
      <c r="E293" s="1205"/>
      <c r="F293" s="1124"/>
      <c r="G293" s="1186"/>
      <c r="H293" s="1187"/>
      <c r="I293" s="1124">
        <f t="shared" si="24"/>
        <v>0</v>
      </c>
      <c r="J293" s="660"/>
    </row>
    <row r="294" spans="1:10">
      <c r="A294" s="1073"/>
      <c r="B294" s="1203" t="s">
        <v>1679</v>
      </c>
      <c r="C294" s="1118">
        <v>11676.6</v>
      </c>
      <c r="D294" s="1191" t="s">
        <v>19</v>
      </c>
      <c r="E294" s="1205">
        <v>23.5</v>
      </c>
      <c r="F294" s="1124">
        <f t="shared" si="27"/>
        <v>274400.10000000003</v>
      </c>
      <c r="G294" s="1186">
        <v>14</v>
      </c>
      <c r="H294" s="1187">
        <f t="shared" si="28"/>
        <v>163472.4</v>
      </c>
      <c r="I294" s="1124">
        <f t="shared" si="24"/>
        <v>437872.5</v>
      </c>
      <c r="J294" s="660"/>
    </row>
    <row r="295" spans="1:10">
      <c r="A295" s="1073"/>
      <c r="B295" s="1203" t="s">
        <v>1682</v>
      </c>
      <c r="C295" s="1118">
        <v>8860.7999999999993</v>
      </c>
      <c r="D295" s="1191" t="s">
        <v>19</v>
      </c>
      <c r="E295" s="1205">
        <v>23.5</v>
      </c>
      <c r="F295" s="1124">
        <f t="shared" si="27"/>
        <v>208228.8</v>
      </c>
      <c r="G295" s="1186">
        <v>14</v>
      </c>
      <c r="H295" s="1187">
        <f t="shared" si="28"/>
        <v>124051.19999999998</v>
      </c>
      <c r="I295" s="1124">
        <f t="shared" si="24"/>
        <v>332280</v>
      </c>
      <c r="J295" s="660"/>
    </row>
    <row r="296" spans="1:10">
      <c r="A296" s="1073"/>
      <c r="B296" s="1189" t="s">
        <v>1689</v>
      </c>
      <c r="C296" s="1118">
        <v>13136.4</v>
      </c>
      <c r="D296" s="1194" t="s">
        <v>19</v>
      </c>
      <c r="E296" s="1205">
        <v>18.3</v>
      </c>
      <c r="F296" s="1124">
        <f t="shared" si="27"/>
        <v>240396.12</v>
      </c>
      <c r="G296" s="1186">
        <v>14</v>
      </c>
      <c r="H296" s="1187">
        <f t="shared" si="28"/>
        <v>183909.6</v>
      </c>
      <c r="I296" s="1124">
        <f t="shared" si="24"/>
        <v>424305.72</v>
      </c>
      <c r="J296" s="660"/>
    </row>
    <row r="297" spans="1:10">
      <c r="A297" s="1073"/>
      <c r="B297" s="1189" t="s">
        <v>1690</v>
      </c>
      <c r="C297" s="1118">
        <v>19.8</v>
      </c>
      <c r="D297" s="1194" t="s">
        <v>19</v>
      </c>
      <c r="E297" s="1205">
        <v>16.399999999999999</v>
      </c>
      <c r="F297" s="1124">
        <f t="shared" si="27"/>
        <v>324.71999999999997</v>
      </c>
      <c r="G297" s="1186">
        <v>14</v>
      </c>
      <c r="H297" s="1187">
        <f t="shared" si="28"/>
        <v>277.2</v>
      </c>
      <c r="I297" s="1124">
        <f t="shared" si="24"/>
        <v>601.91999999999996</v>
      </c>
      <c r="J297" s="660"/>
    </row>
    <row r="298" spans="1:10">
      <c r="A298" s="1073"/>
      <c r="B298" s="1189" t="s">
        <v>688</v>
      </c>
      <c r="C298" s="1118">
        <v>1494.9792000000002</v>
      </c>
      <c r="D298" s="1194" t="s">
        <v>16</v>
      </c>
      <c r="E298" s="1205">
        <v>30</v>
      </c>
      <c r="F298" s="1124">
        <f t="shared" si="27"/>
        <v>44849.376000000004</v>
      </c>
      <c r="G298" s="1186">
        <v>30</v>
      </c>
      <c r="H298" s="1187">
        <f t="shared" si="28"/>
        <v>44849.376000000004</v>
      </c>
      <c r="I298" s="1124">
        <f t="shared" si="24"/>
        <v>89698.752000000008</v>
      </c>
      <c r="J298" s="660"/>
    </row>
    <row r="299" spans="1:10">
      <c r="A299" s="1073"/>
      <c r="B299" s="1189" t="s">
        <v>1686</v>
      </c>
      <c r="C299" s="1118">
        <v>499.20000000000005</v>
      </c>
      <c r="D299" s="1194" t="s">
        <v>16</v>
      </c>
      <c r="E299" s="1205">
        <v>280</v>
      </c>
      <c r="F299" s="1124">
        <f t="shared" si="27"/>
        <v>139776</v>
      </c>
      <c r="G299" s="1186">
        <v>30</v>
      </c>
      <c r="H299" s="1187">
        <f t="shared" si="28"/>
        <v>14976.000000000002</v>
      </c>
      <c r="I299" s="1124">
        <f t="shared" si="24"/>
        <v>154752</v>
      </c>
      <c r="J299" s="660"/>
    </row>
    <row r="300" spans="1:10">
      <c r="A300" s="1073"/>
      <c r="B300" s="1189"/>
      <c r="C300" s="1118"/>
      <c r="D300" s="1194"/>
      <c r="E300" s="1205"/>
      <c r="F300" s="1124"/>
      <c r="G300" s="1186"/>
      <c r="H300" s="1187"/>
      <c r="I300" s="1202"/>
      <c r="J300" s="660"/>
    </row>
    <row r="301" spans="1:10">
      <c r="A301" s="1073">
        <v>2.4</v>
      </c>
      <c r="B301" s="1199" t="s">
        <v>1771</v>
      </c>
      <c r="C301" s="1118"/>
      <c r="D301" s="1194"/>
      <c r="E301" s="1124"/>
      <c r="F301" s="1124"/>
      <c r="G301" s="1186"/>
      <c r="H301" s="1187"/>
      <c r="I301" s="1187"/>
      <c r="J301" s="660"/>
    </row>
    <row r="302" spans="1:10">
      <c r="A302" s="1073" t="s">
        <v>1781</v>
      </c>
      <c r="B302" s="497" t="s">
        <v>669</v>
      </c>
      <c r="C302" s="506"/>
      <c r="D302" s="499"/>
      <c r="E302" s="489"/>
      <c r="F302" s="489"/>
      <c r="G302" s="507"/>
      <c r="H302" s="490"/>
      <c r="I302" s="490"/>
      <c r="J302" s="660"/>
    </row>
    <row r="303" spans="1:10">
      <c r="A303" s="1073"/>
      <c r="B303" s="503" t="s">
        <v>1138</v>
      </c>
      <c r="C303" s="506">
        <v>26</v>
      </c>
      <c r="D303" s="831" t="s">
        <v>670</v>
      </c>
      <c r="E303" s="489">
        <v>3925</v>
      </c>
      <c r="F303" s="489">
        <f>C303*E303</f>
        <v>102050</v>
      </c>
      <c r="G303" s="507">
        <v>591</v>
      </c>
      <c r="H303" s="490">
        <f>C303*G303</f>
        <v>15366</v>
      </c>
      <c r="I303" s="490">
        <f>F303+H303</f>
        <v>117416</v>
      </c>
      <c r="J303" s="660"/>
    </row>
    <row r="304" spans="1:10">
      <c r="A304" s="1073"/>
      <c r="B304" s="503" t="s">
        <v>1761</v>
      </c>
      <c r="C304" s="506">
        <v>26</v>
      </c>
      <c r="D304" s="831" t="s">
        <v>670</v>
      </c>
      <c r="E304" s="489">
        <v>0</v>
      </c>
      <c r="F304" s="489">
        <f t="shared" ref="F304:F320" si="29">C304*E304</f>
        <v>0</v>
      </c>
      <c r="G304" s="507">
        <v>350</v>
      </c>
      <c r="H304" s="490">
        <f t="shared" ref="H304:H320" si="30">C304*G304</f>
        <v>9100</v>
      </c>
      <c r="I304" s="490">
        <f t="shared" ref="I304:I320" si="31">F304+H304</f>
        <v>9100</v>
      </c>
      <c r="J304" s="660"/>
    </row>
    <row r="305" spans="1:10">
      <c r="A305" s="1073"/>
      <c r="B305" s="503" t="s">
        <v>671</v>
      </c>
      <c r="C305" s="506">
        <v>26</v>
      </c>
      <c r="D305" s="831" t="s">
        <v>670</v>
      </c>
      <c r="E305" s="489">
        <v>0</v>
      </c>
      <c r="F305" s="489">
        <f t="shared" si="29"/>
        <v>0</v>
      </c>
      <c r="G305" s="507">
        <v>350</v>
      </c>
      <c r="H305" s="490">
        <f t="shared" si="30"/>
        <v>9100</v>
      </c>
      <c r="I305" s="490">
        <f t="shared" si="31"/>
        <v>9100</v>
      </c>
      <c r="J305" s="660"/>
    </row>
    <row r="306" spans="1:10">
      <c r="A306" s="1073"/>
      <c r="B306" s="503" t="s">
        <v>672</v>
      </c>
      <c r="C306" s="506">
        <v>73.224000000000004</v>
      </c>
      <c r="D306" s="831" t="s">
        <v>43</v>
      </c>
      <c r="E306" s="489">
        <v>0</v>
      </c>
      <c r="F306" s="489">
        <f t="shared" si="29"/>
        <v>0</v>
      </c>
      <c r="G306" s="507">
        <v>125</v>
      </c>
      <c r="H306" s="490">
        <f t="shared" si="30"/>
        <v>9153</v>
      </c>
      <c r="I306" s="490">
        <f t="shared" si="31"/>
        <v>9153</v>
      </c>
      <c r="J306" s="660"/>
    </row>
    <row r="307" spans="1:10">
      <c r="A307" s="1073"/>
      <c r="B307" s="503" t="s">
        <v>673</v>
      </c>
      <c r="C307" s="506">
        <v>56.552</v>
      </c>
      <c r="D307" s="831" t="s">
        <v>43</v>
      </c>
      <c r="E307" s="489">
        <v>0</v>
      </c>
      <c r="F307" s="489">
        <f t="shared" si="29"/>
        <v>0</v>
      </c>
      <c r="G307" s="507">
        <v>99</v>
      </c>
      <c r="H307" s="490">
        <f t="shared" si="30"/>
        <v>5598.6480000000001</v>
      </c>
      <c r="I307" s="490">
        <f t="shared" si="31"/>
        <v>5598.6480000000001</v>
      </c>
      <c r="J307" s="660"/>
    </row>
    <row r="308" spans="1:10">
      <c r="A308" s="1073"/>
      <c r="B308" s="503" t="s">
        <v>674</v>
      </c>
      <c r="C308" s="506">
        <v>17.079800000000002</v>
      </c>
      <c r="D308" s="831" t="s">
        <v>43</v>
      </c>
      <c r="E308" s="489">
        <v>2287</v>
      </c>
      <c r="F308" s="489">
        <f t="shared" si="29"/>
        <v>39061.502600000007</v>
      </c>
      <c r="G308" s="507">
        <v>485</v>
      </c>
      <c r="H308" s="490">
        <f t="shared" si="30"/>
        <v>8283.7030000000013</v>
      </c>
      <c r="I308" s="490">
        <f t="shared" si="31"/>
        <v>47345.205600000008</v>
      </c>
      <c r="J308" s="660"/>
    </row>
    <row r="309" spans="1:10">
      <c r="A309" s="1073"/>
      <c r="B309" s="503" t="s">
        <v>1664</v>
      </c>
      <c r="C309" s="506">
        <v>73.751999999999995</v>
      </c>
      <c r="D309" s="831" t="s">
        <v>1665</v>
      </c>
      <c r="E309" s="489">
        <v>0</v>
      </c>
      <c r="F309" s="489">
        <f t="shared" si="29"/>
        <v>0</v>
      </c>
      <c r="G309" s="507">
        <v>115</v>
      </c>
      <c r="H309" s="490">
        <f t="shared" si="30"/>
        <v>8481.48</v>
      </c>
      <c r="I309" s="490">
        <f t="shared" si="31"/>
        <v>8481.48</v>
      </c>
      <c r="J309" s="660"/>
    </row>
    <row r="310" spans="1:10">
      <c r="A310" s="1073"/>
      <c r="B310" s="503" t="s">
        <v>1705</v>
      </c>
      <c r="C310" s="506">
        <v>44.251199999999997</v>
      </c>
      <c r="D310" s="831" t="s">
        <v>1665</v>
      </c>
      <c r="E310" s="489">
        <v>400</v>
      </c>
      <c r="F310" s="489">
        <f t="shared" si="29"/>
        <v>17700.48</v>
      </c>
      <c r="G310" s="507">
        <v>0</v>
      </c>
      <c r="H310" s="490">
        <f t="shared" si="30"/>
        <v>0</v>
      </c>
      <c r="I310" s="490">
        <f t="shared" si="31"/>
        <v>17700.48</v>
      </c>
      <c r="J310" s="660"/>
    </row>
    <row r="311" spans="1:10">
      <c r="A311" s="1073"/>
      <c r="B311" s="503" t="s">
        <v>1666</v>
      </c>
      <c r="C311" s="506">
        <v>13.275359999999999</v>
      </c>
      <c r="D311" s="831" t="s">
        <v>1665</v>
      </c>
      <c r="E311" s="489">
        <v>400</v>
      </c>
      <c r="F311" s="489">
        <f t="shared" si="29"/>
        <v>5310.1439999999993</v>
      </c>
      <c r="G311" s="507">
        <v>0</v>
      </c>
      <c r="H311" s="490">
        <f t="shared" si="30"/>
        <v>0</v>
      </c>
      <c r="I311" s="490">
        <f t="shared" si="31"/>
        <v>5310.1439999999993</v>
      </c>
      <c r="J311" s="660"/>
    </row>
    <row r="312" spans="1:10">
      <c r="A312" s="1073"/>
      <c r="B312" s="503" t="s">
        <v>676</v>
      </c>
      <c r="C312" s="506">
        <v>3.7800000000000002</v>
      </c>
      <c r="D312" s="831" t="s">
        <v>19</v>
      </c>
      <c r="E312" s="489">
        <v>56.07</v>
      </c>
      <c r="F312" s="489">
        <f t="shared" si="29"/>
        <v>211.94460000000001</v>
      </c>
      <c r="G312" s="507">
        <v>0</v>
      </c>
      <c r="H312" s="490">
        <f t="shared" si="30"/>
        <v>0</v>
      </c>
      <c r="I312" s="490">
        <f t="shared" si="31"/>
        <v>211.94460000000001</v>
      </c>
      <c r="J312" s="660"/>
    </row>
    <row r="313" spans="1:10">
      <c r="A313" s="1073"/>
      <c r="B313" s="503" t="s">
        <v>677</v>
      </c>
      <c r="C313" s="506">
        <v>1.5640000000000003</v>
      </c>
      <c r="D313" s="499" t="s">
        <v>43</v>
      </c>
      <c r="E313" s="489">
        <v>1989</v>
      </c>
      <c r="F313" s="489">
        <f t="shared" si="29"/>
        <v>3110.7960000000007</v>
      </c>
      <c r="G313" s="507">
        <v>398</v>
      </c>
      <c r="H313" s="490">
        <f t="shared" si="30"/>
        <v>622.47200000000009</v>
      </c>
      <c r="I313" s="490">
        <f t="shared" si="31"/>
        <v>3733.2680000000009</v>
      </c>
      <c r="J313" s="660"/>
    </row>
    <row r="314" spans="1:10">
      <c r="A314" s="1073"/>
      <c r="B314" s="503" t="s">
        <v>678</v>
      </c>
      <c r="C314" s="506">
        <v>2.0400000000000005</v>
      </c>
      <c r="D314" s="499" t="s">
        <v>43</v>
      </c>
      <c r="E314" s="489">
        <v>406.5</v>
      </c>
      <c r="F314" s="489">
        <f t="shared" si="29"/>
        <v>829.26000000000022</v>
      </c>
      <c r="G314" s="507">
        <v>91</v>
      </c>
      <c r="H314" s="490">
        <f t="shared" si="30"/>
        <v>185.64000000000004</v>
      </c>
      <c r="I314" s="490">
        <f t="shared" si="31"/>
        <v>1014.9000000000003</v>
      </c>
      <c r="J314" s="660"/>
    </row>
    <row r="315" spans="1:10">
      <c r="A315" s="1073"/>
      <c r="B315" s="503" t="s">
        <v>679</v>
      </c>
      <c r="C315" s="506"/>
      <c r="D315" s="831"/>
      <c r="E315" s="489"/>
      <c r="F315" s="489"/>
      <c r="G315" s="507"/>
      <c r="H315" s="490"/>
      <c r="I315" s="490"/>
      <c r="J315" s="660"/>
    </row>
    <row r="316" spans="1:10">
      <c r="A316" s="1073"/>
      <c r="B316" s="503" t="s">
        <v>1696</v>
      </c>
      <c r="C316" s="506">
        <v>113.00094519999999</v>
      </c>
      <c r="D316" s="831" t="s">
        <v>19</v>
      </c>
      <c r="E316" s="489">
        <v>18.2</v>
      </c>
      <c r="F316" s="489">
        <f t="shared" si="29"/>
        <v>2056.6172026399995</v>
      </c>
      <c r="G316" s="507">
        <v>4.0999999999999996</v>
      </c>
      <c r="H316" s="490">
        <f t="shared" si="30"/>
        <v>463.30387531999992</v>
      </c>
      <c r="I316" s="490">
        <f t="shared" si="31"/>
        <v>2519.9210779599994</v>
      </c>
      <c r="J316" s="660"/>
    </row>
    <row r="317" spans="1:10">
      <c r="A317" s="1073"/>
      <c r="B317" s="503" t="s">
        <v>1697</v>
      </c>
      <c r="C317" s="506">
        <v>75.884928000000016</v>
      </c>
      <c r="D317" s="831" t="s">
        <v>19</v>
      </c>
      <c r="E317" s="489">
        <v>19.3</v>
      </c>
      <c r="F317" s="489">
        <f t="shared" si="29"/>
        <v>1464.5791104000004</v>
      </c>
      <c r="G317" s="507">
        <v>3.3</v>
      </c>
      <c r="H317" s="490">
        <f t="shared" si="30"/>
        <v>250.42026240000004</v>
      </c>
      <c r="I317" s="490">
        <f t="shared" si="31"/>
        <v>1714.9993728000004</v>
      </c>
      <c r="J317" s="660"/>
    </row>
    <row r="318" spans="1:10">
      <c r="A318" s="1073"/>
      <c r="B318" s="503" t="s">
        <v>1698</v>
      </c>
      <c r="C318" s="506">
        <v>1404.0665280000001</v>
      </c>
      <c r="D318" s="831" t="s">
        <v>19</v>
      </c>
      <c r="E318" s="489">
        <v>17.7</v>
      </c>
      <c r="F318" s="489">
        <f t="shared" si="29"/>
        <v>24851.977545599999</v>
      </c>
      <c r="G318" s="507">
        <v>3.3</v>
      </c>
      <c r="H318" s="490">
        <f t="shared" si="30"/>
        <v>4633.4195424</v>
      </c>
      <c r="I318" s="490">
        <f t="shared" si="31"/>
        <v>29485.397087999998</v>
      </c>
      <c r="J318" s="660"/>
    </row>
    <row r="319" spans="1:10">
      <c r="A319" s="1073"/>
      <c r="B319" s="503" t="s">
        <v>1700</v>
      </c>
      <c r="C319" s="506">
        <v>1013.8013600000002</v>
      </c>
      <c r="D319" s="499" t="s">
        <v>19</v>
      </c>
      <c r="E319" s="489">
        <v>16.100000000000001</v>
      </c>
      <c r="F319" s="489">
        <f t="shared" si="29"/>
        <v>16322.201896000004</v>
      </c>
      <c r="G319" s="507">
        <v>2.9</v>
      </c>
      <c r="H319" s="490">
        <f t="shared" si="30"/>
        <v>2940.0239440000005</v>
      </c>
      <c r="I319" s="490">
        <f t="shared" si="31"/>
        <v>19262.225840000006</v>
      </c>
      <c r="J319" s="660"/>
    </row>
    <row r="320" spans="1:10">
      <c r="A320" s="1073"/>
      <c r="B320" s="503" t="s">
        <v>680</v>
      </c>
      <c r="C320" s="506">
        <v>44.398543679999996</v>
      </c>
      <c r="D320" s="499" t="s">
        <v>19</v>
      </c>
      <c r="E320" s="489">
        <v>47.2</v>
      </c>
      <c r="F320" s="489">
        <f t="shared" si="29"/>
        <v>2095.6112616959999</v>
      </c>
      <c r="G320" s="507">
        <v>4.0999999999999996</v>
      </c>
      <c r="H320" s="490">
        <f t="shared" si="30"/>
        <v>182.03402908799995</v>
      </c>
      <c r="I320" s="490">
        <f t="shared" si="31"/>
        <v>2277.6452907839998</v>
      </c>
      <c r="J320" s="660"/>
    </row>
    <row r="321" spans="1:10">
      <c r="A321" s="1073" t="s">
        <v>1782</v>
      </c>
      <c r="B321" s="497" t="s">
        <v>681</v>
      </c>
      <c r="C321" s="506"/>
      <c r="D321" s="499"/>
      <c r="E321" s="489"/>
      <c r="F321" s="489"/>
      <c r="G321" s="507"/>
      <c r="H321" s="490"/>
      <c r="I321" s="517">
        <f t="shared" ref="I321:I342" si="32">F321+H321</f>
        <v>0</v>
      </c>
      <c r="J321" s="660"/>
    </row>
    <row r="322" spans="1:10">
      <c r="A322" s="1073"/>
      <c r="B322" s="503" t="s">
        <v>674</v>
      </c>
      <c r="C322" s="506">
        <v>106.83499999999999</v>
      </c>
      <c r="D322" s="499" t="s">
        <v>43</v>
      </c>
      <c r="E322" s="489">
        <v>2287</v>
      </c>
      <c r="F322" s="489">
        <f t="shared" ref="F322:F331" si="33">C322*E322</f>
        <v>244331.64499999999</v>
      </c>
      <c r="G322" s="507">
        <v>485</v>
      </c>
      <c r="H322" s="490">
        <f t="shared" ref="H322:H331" si="34">C322*G322</f>
        <v>51814.974999999999</v>
      </c>
      <c r="I322" s="1124">
        <f t="shared" si="32"/>
        <v>296146.62</v>
      </c>
      <c r="J322" s="660"/>
    </row>
    <row r="323" spans="1:10">
      <c r="A323" s="1073"/>
      <c r="B323" s="503" t="s">
        <v>1664</v>
      </c>
      <c r="C323" s="506">
        <v>643.125</v>
      </c>
      <c r="D323" s="499" t="s">
        <v>1665</v>
      </c>
      <c r="E323" s="489">
        <v>0</v>
      </c>
      <c r="F323" s="489">
        <f t="shared" si="33"/>
        <v>0</v>
      </c>
      <c r="G323" s="507">
        <v>115</v>
      </c>
      <c r="H323" s="490">
        <f t="shared" si="34"/>
        <v>73959.375</v>
      </c>
      <c r="I323" s="1124">
        <f t="shared" si="32"/>
        <v>73959.375</v>
      </c>
      <c r="J323" s="660"/>
    </row>
    <row r="324" spans="1:10">
      <c r="A324" s="1073"/>
      <c r="B324" s="503" t="s">
        <v>675</v>
      </c>
      <c r="C324" s="506">
        <v>385.875</v>
      </c>
      <c r="D324" s="499" t="s">
        <v>1665</v>
      </c>
      <c r="E324" s="489">
        <v>400</v>
      </c>
      <c r="F324" s="489">
        <f t="shared" si="33"/>
        <v>154350</v>
      </c>
      <c r="G324" s="507">
        <v>0</v>
      </c>
      <c r="H324" s="490">
        <f t="shared" si="34"/>
        <v>0</v>
      </c>
      <c r="I324" s="1124">
        <f t="shared" si="32"/>
        <v>154350</v>
      </c>
      <c r="J324" s="660"/>
    </row>
    <row r="325" spans="1:10">
      <c r="A325" s="1073"/>
      <c r="B325" s="503" t="s">
        <v>1666</v>
      </c>
      <c r="C325" s="506">
        <v>115.76249999999999</v>
      </c>
      <c r="D325" s="499" t="s">
        <v>1665</v>
      </c>
      <c r="E325" s="489">
        <v>400</v>
      </c>
      <c r="F325" s="489">
        <f t="shared" si="33"/>
        <v>46304.999999999993</v>
      </c>
      <c r="G325" s="507">
        <v>0</v>
      </c>
      <c r="H325" s="490">
        <f t="shared" si="34"/>
        <v>0</v>
      </c>
      <c r="I325" s="1124">
        <f t="shared" si="32"/>
        <v>46304.999999999993</v>
      </c>
      <c r="J325" s="660"/>
    </row>
    <row r="326" spans="1:10">
      <c r="A326" s="1073"/>
      <c r="B326" s="503" t="s">
        <v>676</v>
      </c>
      <c r="C326" s="506">
        <v>192.9375</v>
      </c>
      <c r="D326" s="499" t="s">
        <v>19</v>
      </c>
      <c r="E326" s="489">
        <v>56.07</v>
      </c>
      <c r="F326" s="489">
        <f t="shared" si="33"/>
        <v>10818.005625</v>
      </c>
      <c r="G326" s="507">
        <v>0</v>
      </c>
      <c r="H326" s="490">
        <f t="shared" si="34"/>
        <v>0</v>
      </c>
      <c r="I326" s="1124">
        <f t="shared" si="32"/>
        <v>10818.005625</v>
      </c>
      <c r="J326" s="660"/>
    </row>
    <row r="327" spans="1:10">
      <c r="A327" s="1073"/>
      <c r="B327" s="503" t="s">
        <v>679</v>
      </c>
      <c r="C327" s="506"/>
      <c r="D327" s="499"/>
      <c r="E327" s="489"/>
      <c r="F327" s="489"/>
      <c r="G327" s="507"/>
      <c r="H327" s="490"/>
      <c r="I327" s="1124"/>
      <c r="J327" s="660"/>
    </row>
    <row r="328" spans="1:10">
      <c r="A328" s="1073"/>
      <c r="B328" s="503" t="s">
        <v>1696</v>
      </c>
      <c r="C328" s="506">
        <v>1398.2202886666666</v>
      </c>
      <c r="D328" s="499" t="s">
        <v>19</v>
      </c>
      <c r="E328" s="489">
        <v>18.2</v>
      </c>
      <c r="F328" s="489">
        <f t="shared" si="33"/>
        <v>25447.609253733332</v>
      </c>
      <c r="G328" s="507">
        <v>4.0999999999999996</v>
      </c>
      <c r="H328" s="490">
        <f t="shared" si="34"/>
        <v>5732.7031835333328</v>
      </c>
      <c r="I328" s="1124">
        <f t="shared" si="32"/>
        <v>31180.312437266664</v>
      </c>
      <c r="J328" s="660"/>
    </row>
    <row r="329" spans="1:10">
      <c r="A329" s="1073"/>
      <c r="B329" s="503" t="s">
        <v>1697</v>
      </c>
      <c r="C329" s="506">
        <v>9795.350400000003</v>
      </c>
      <c r="D329" s="499" t="s">
        <v>19</v>
      </c>
      <c r="E329" s="489">
        <v>19.3</v>
      </c>
      <c r="F329" s="489">
        <f t="shared" si="33"/>
        <v>189050.26272000006</v>
      </c>
      <c r="G329" s="507">
        <v>3.3</v>
      </c>
      <c r="H329" s="490">
        <f t="shared" si="34"/>
        <v>32324.656320000009</v>
      </c>
      <c r="I329" s="1124">
        <f t="shared" si="32"/>
        <v>221374.91904000007</v>
      </c>
      <c r="J329" s="660"/>
    </row>
    <row r="330" spans="1:10">
      <c r="A330" s="1073"/>
      <c r="B330" s="503" t="s">
        <v>1699</v>
      </c>
      <c r="C330" s="506">
        <v>1126.4749649999999</v>
      </c>
      <c r="D330" s="499" t="s">
        <v>19</v>
      </c>
      <c r="E330" s="489">
        <v>16.100000000000001</v>
      </c>
      <c r="F330" s="489">
        <f t="shared" si="33"/>
        <v>18136.2469365</v>
      </c>
      <c r="G330" s="507">
        <v>2.9</v>
      </c>
      <c r="H330" s="490">
        <f t="shared" si="34"/>
        <v>3266.7773984999994</v>
      </c>
      <c r="I330" s="1124">
        <f t="shared" si="32"/>
        <v>21403.024334999998</v>
      </c>
      <c r="J330" s="660"/>
    </row>
    <row r="331" spans="1:10">
      <c r="A331" s="1073"/>
      <c r="B331" s="503" t="s">
        <v>1700</v>
      </c>
      <c r="C331" s="506">
        <v>4837.489662500001</v>
      </c>
      <c r="D331" s="499" t="s">
        <v>19</v>
      </c>
      <c r="E331" s="489">
        <v>16.100000000000001</v>
      </c>
      <c r="F331" s="489">
        <f t="shared" si="33"/>
        <v>77883.583566250018</v>
      </c>
      <c r="G331" s="507">
        <v>2.9</v>
      </c>
      <c r="H331" s="490">
        <f t="shared" si="34"/>
        <v>14028.720021250003</v>
      </c>
      <c r="I331" s="1124">
        <f t="shared" si="32"/>
        <v>91912.303587500021</v>
      </c>
      <c r="J331" s="660"/>
    </row>
    <row r="332" spans="1:10">
      <c r="A332" s="1073" t="s">
        <v>1783</v>
      </c>
      <c r="B332" s="497" t="s">
        <v>686</v>
      </c>
      <c r="C332" s="506"/>
      <c r="D332" s="499"/>
      <c r="E332" s="489"/>
      <c r="F332" s="489"/>
      <c r="G332" s="507"/>
      <c r="H332" s="490"/>
      <c r="I332" s="489"/>
      <c r="J332" s="660"/>
    </row>
    <row r="333" spans="1:10">
      <c r="A333" s="1073"/>
      <c r="B333" s="503" t="s">
        <v>674</v>
      </c>
      <c r="C333" s="506">
        <v>74.03125</v>
      </c>
      <c r="D333" s="831" t="s">
        <v>43</v>
      </c>
      <c r="E333" s="489">
        <v>2287</v>
      </c>
      <c r="F333" s="489">
        <f t="shared" ref="F333:F342" si="35">C333*E333</f>
        <v>169309.46875</v>
      </c>
      <c r="G333" s="507">
        <v>485</v>
      </c>
      <c r="H333" s="490">
        <f t="shared" ref="H333:H342" si="36">C333*G333</f>
        <v>35905.15625</v>
      </c>
      <c r="I333" s="1124">
        <f t="shared" si="32"/>
        <v>205214.625</v>
      </c>
      <c r="J333" s="1185"/>
    </row>
    <row r="334" spans="1:10">
      <c r="A334" s="1073"/>
      <c r="B334" s="503" t="s">
        <v>1664</v>
      </c>
      <c r="C334" s="506">
        <v>518.4375</v>
      </c>
      <c r="D334" s="831" t="s">
        <v>16</v>
      </c>
      <c r="E334" s="489">
        <v>0</v>
      </c>
      <c r="F334" s="489">
        <f t="shared" si="35"/>
        <v>0</v>
      </c>
      <c r="G334" s="507">
        <v>115</v>
      </c>
      <c r="H334" s="490">
        <f t="shared" si="36"/>
        <v>59620.3125</v>
      </c>
      <c r="I334" s="1124">
        <f t="shared" si="32"/>
        <v>59620.3125</v>
      </c>
      <c r="J334" s="1185"/>
    </row>
    <row r="335" spans="1:10">
      <c r="A335" s="1073"/>
      <c r="B335" s="503" t="s">
        <v>675</v>
      </c>
      <c r="C335" s="506">
        <v>311.0625</v>
      </c>
      <c r="D335" s="831" t="s">
        <v>1665</v>
      </c>
      <c r="E335" s="489">
        <v>400</v>
      </c>
      <c r="F335" s="489">
        <f t="shared" si="35"/>
        <v>124425</v>
      </c>
      <c r="G335" s="507">
        <v>0</v>
      </c>
      <c r="H335" s="490">
        <f t="shared" si="36"/>
        <v>0</v>
      </c>
      <c r="I335" s="1124">
        <f t="shared" si="32"/>
        <v>124425</v>
      </c>
      <c r="J335" s="1185"/>
    </row>
    <row r="336" spans="1:10">
      <c r="A336" s="1073"/>
      <c r="B336" s="503" t="s">
        <v>1666</v>
      </c>
      <c r="C336" s="506">
        <v>93.318749999999994</v>
      </c>
      <c r="D336" s="831" t="s">
        <v>1665</v>
      </c>
      <c r="E336" s="489">
        <v>400</v>
      </c>
      <c r="F336" s="489">
        <f t="shared" si="35"/>
        <v>37327.5</v>
      </c>
      <c r="G336" s="507">
        <v>0</v>
      </c>
      <c r="H336" s="490">
        <f t="shared" si="36"/>
        <v>0</v>
      </c>
      <c r="I336" s="1124">
        <f t="shared" si="32"/>
        <v>37327.5</v>
      </c>
      <c r="J336" s="1185"/>
    </row>
    <row r="337" spans="1:10">
      <c r="A337" s="1073"/>
      <c r="B337" s="503" t="s">
        <v>676</v>
      </c>
      <c r="C337" s="506">
        <v>155.53125</v>
      </c>
      <c r="D337" s="499" t="s">
        <v>19</v>
      </c>
      <c r="E337" s="489">
        <v>56.07</v>
      </c>
      <c r="F337" s="489">
        <f t="shared" si="35"/>
        <v>8720.6371875000004</v>
      </c>
      <c r="G337" s="507">
        <v>0</v>
      </c>
      <c r="H337" s="490">
        <f t="shared" si="36"/>
        <v>0</v>
      </c>
      <c r="I337" s="1124">
        <f t="shared" si="32"/>
        <v>8720.6371875000004</v>
      </c>
      <c r="J337" s="1185"/>
    </row>
    <row r="338" spans="1:10">
      <c r="A338" s="1073"/>
      <c r="B338" s="503" t="s">
        <v>679</v>
      </c>
      <c r="C338" s="506"/>
      <c r="D338" s="499"/>
      <c r="E338" s="489"/>
      <c r="F338" s="489"/>
      <c r="G338" s="507"/>
      <c r="H338" s="490"/>
      <c r="I338" s="1124"/>
      <c r="J338" s="1185"/>
    </row>
    <row r="339" spans="1:10">
      <c r="A339" s="1073"/>
      <c r="B339" s="503" t="s">
        <v>1696</v>
      </c>
      <c r="C339" s="506">
        <v>819.31558500000006</v>
      </c>
      <c r="D339" s="499" t="s">
        <v>19</v>
      </c>
      <c r="E339" s="489">
        <v>18.2</v>
      </c>
      <c r="F339" s="489">
        <f t="shared" si="35"/>
        <v>14911.543647</v>
      </c>
      <c r="G339" s="507">
        <v>4.0999999999999996</v>
      </c>
      <c r="H339" s="490">
        <f t="shared" si="36"/>
        <v>3359.1938985000002</v>
      </c>
      <c r="I339" s="1124">
        <f t="shared" si="32"/>
        <v>18270.7375455</v>
      </c>
      <c r="J339" s="1185"/>
    </row>
    <row r="340" spans="1:10">
      <c r="A340" s="1073"/>
      <c r="B340" s="503" t="s">
        <v>1697</v>
      </c>
      <c r="C340" s="506">
        <v>7665.9264000000021</v>
      </c>
      <c r="D340" s="499" t="s">
        <v>19</v>
      </c>
      <c r="E340" s="489">
        <v>19.3</v>
      </c>
      <c r="F340" s="489">
        <f t="shared" si="35"/>
        <v>147952.37952000005</v>
      </c>
      <c r="G340" s="507">
        <v>3.3</v>
      </c>
      <c r="H340" s="490">
        <f t="shared" si="36"/>
        <v>25297.557120000005</v>
      </c>
      <c r="I340" s="1124">
        <f t="shared" si="32"/>
        <v>173249.93664000006</v>
      </c>
      <c r="J340" s="1185"/>
    </row>
    <row r="341" spans="1:10">
      <c r="A341" s="1073"/>
      <c r="B341" s="503" t="s">
        <v>1698</v>
      </c>
      <c r="C341" s="506">
        <v>708.07621500000016</v>
      </c>
      <c r="D341" s="499" t="s">
        <v>19</v>
      </c>
      <c r="E341" s="489">
        <v>17.7</v>
      </c>
      <c r="F341" s="489">
        <f t="shared" si="35"/>
        <v>12532.949005500002</v>
      </c>
      <c r="G341" s="507">
        <v>3.3</v>
      </c>
      <c r="H341" s="490">
        <f t="shared" si="36"/>
        <v>2336.6515095000004</v>
      </c>
      <c r="I341" s="1124">
        <f t="shared" si="32"/>
        <v>14869.600515000002</v>
      </c>
      <c r="J341" s="1185"/>
    </row>
    <row r="342" spans="1:10">
      <c r="A342" s="1073"/>
      <c r="B342" s="503" t="s">
        <v>1699</v>
      </c>
      <c r="C342" s="506">
        <v>1693.543995</v>
      </c>
      <c r="D342" s="499" t="s">
        <v>19</v>
      </c>
      <c r="E342" s="489">
        <v>16.100000000000001</v>
      </c>
      <c r="F342" s="489">
        <f t="shared" si="35"/>
        <v>27266.058319500004</v>
      </c>
      <c r="G342" s="507">
        <v>2.9</v>
      </c>
      <c r="H342" s="490">
        <f t="shared" si="36"/>
        <v>4911.2775855</v>
      </c>
      <c r="I342" s="1124">
        <f t="shared" si="32"/>
        <v>32177.335905000004</v>
      </c>
      <c r="J342" s="1185"/>
    </row>
    <row r="343" spans="1:10">
      <c r="A343" s="681"/>
      <c r="B343" s="876"/>
      <c r="C343" s="682"/>
      <c r="D343" s="675"/>
      <c r="E343" s="660"/>
      <c r="F343" s="660"/>
      <c r="G343" s="672"/>
      <c r="H343" s="665"/>
      <c r="I343" s="665"/>
      <c r="J343" s="660"/>
    </row>
    <row r="344" spans="1:10" s="5" customFormat="1">
      <c r="A344" s="832"/>
      <c r="B344" s="844" t="s">
        <v>28</v>
      </c>
      <c r="C344" s="834"/>
      <c r="D344" s="845"/>
      <c r="E344" s="837"/>
      <c r="F344" s="837">
        <f>SUM(F94:F343)</f>
        <v>106169385.56771263</v>
      </c>
      <c r="G344" s="837"/>
      <c r="H344" s="837">
        <f>SUM(H94:H343)</f>
        <v>31249102.111711256</v>
      </c>
      <c r="I344" s="837">
        <f>SUM(I94:I343)</f>
        <v>137418487.67942393</v>
      </c>
      <c r="J344" s="837"/>
    </row>
    <row r="345" spans="1:10" s="5" customFormat="1">
      <c r="A345" s="681"/>
      <c r="B345" s="503"/>
      <c r="C345" s="506"/>
      <c r="D345" s="499"/>
      <c r="E345" s="489"/>
      <c r="F345" s="489"/>
      <c r="G345" s="507"/>
      <c r="H345" s="490"/>
      <c r="I345" s="660"/>
      <c r="J345" s="660"/>
    </row>
    <row r="346" spans="1:10">
      <c r="A346" s="661">
        <v>3</v>
      </c>
      <c r="B346" s="918" t="s">
        <v>247</v>
      </c>
      <c r="C346" s="682"/>
      <c r="D346" s="505"/>
      <c r="E346" s="489"/>
      <c r="F346" s="660"/>
      <c r="G346" s="672"/>
      <c r="H346" s="665"/>
      <c r="I346" s="665"/>
      <c r="J346" s="489"/>
    </row>
    <row r="347" spans="1:10">
      <c r="A347" s="518"/>
      <c r="B347" s="519" t="s">
        <v>1191</v>
      </c>
      <c r="C347" s="506"/>
      <c r="D347" s="505"/>
      <c r="E347" s="489"/>
      <c r="F347" s="489"/>
      <c r="G347" s="507"/>
      <c r="H347" s="490"/>
      <c r="I347" s="490"/>
      <c r="J347" s="489"/>
    </row>
    <row r="348" spans="1:10">
      <c r="A348" s="504">
        <v>3.1</v>
      </c>
      <c r="B348" s="493" t="s">
        <v>1198</v>
      </c>
      <c r="C348" s="506"/>
      <c r="D348" s="505"/>
      <c r="E348" s="489"/>
      <c r="F348" s="489"/>
      <c r="G348" s="507"/>
      <c r="H348" s="490"/>
      <c r="I348" s="490"/>
      <c r="J348" s="489"/>
    </row>
    <row r="349" spans="1:10">
      <c r="A349" s="661" t="s">
        <v>1066</v>
      </c>
      <c r="B349" s="919" t="s">
        <v>29</v>
      </c>
      <c r="C349" s="506"/>
      <c r="D349" s="505"/>
      <c r="E349" s="489"/>
      <c r="F349" s="660"/>
      <c r="G349" s="672"/>
      <c r="H349" s="665"/>
      <c r="I349" s="665"/>
      <c r="J349" s="489"/>
    </row>
    <row r="350" spans="1:10">
      <c r="A350" s="661"/>
      <c r="B350" s="863" t="s">
        <v>430</v>
      </c>
      <c r="C350" s="506">
        <f>'Architecture '!C66</f>
        <v>397</v>
      </c>
      <c r="D350" s="505" t="s">
        <v>16</v>
      </c>
      <c r="E350" s="489">
        <v>95</v>
      </c>
      <c r="F350" s="660">
        <f t="shared" ref="F350:F355" si="37">E350*C350</f>
        <v>37715</v>
      </c>
      <c r="G350" s="672">
        <v>82</v>
      </c>
      <c r="H350" s="665">
        <f t="shared" ref="H350:H355" si="38">G350*C350</f>
        <v>32554</v>
      </c>
      <c r="I350" s="665">
        <f t="shared" ref="I350:I355" si="39">H350+F350</f>
        <v>70269</v>
      </c>
      <c r="J350" s="489"/>
    </row>
    <row r="351" spans="1:10">
      <c r="A351" s="661"/>
      <c r="B351" s="863" t="s">
        <v>1786</v>
      </c>
      <c r="C351" s="506">
        <f>'Architecture '!D66</f>
        <v>2008</v>
      </c>
      <c r="D351" s="505" t="s">
        <v>16</v>
      </c>
      <c r="E351" s="489">
        <v>350</v>
      </c>
      <c r="F351" s="660">
        <f t="shared" si="37"/>
        <v>702800</v>
      </c>
      <c r="G351" s="672">
        <v>198</v>
      </c>
      <c r="H351" s="665">
        <f t="shared" si="38"/>
        <v>397584</v>
      </c>
      <c r="I351" s="665">
        <f t="shared" si="39"/>
        <v>1100384</v>
      </c>
      <c r="J351" s="489"/>
    </row>
    <row r="352" spans="1:10">
      <c r="A352" s="661"/>
      <c r="B352" s="863" t="s">
        <v>1788</v>
      </c>
      <c r="C352" s="506">
        <f>'Architecture '!E66</f>
        <v>161</v>
      </c>
      <c r="D352" s="505" t="s">
        <v>16</v>
      </c>
      <c r="E352" s="489">
        <v>560</v>
      </c>
      <c r="F352" s="660">
        <f t="shared" si="37"/>
        <v>90160</v>
      </c>
      <c r="G352" s="672">
        <v>250</v>
      </c>
      <c r="H352" s="665">
        <f t="shared" si="38"/>
        <v>40250</v>
      </c>
      <c r="I352" s="665">
        <f t="shared" si="39"/>
        <v>130410</v>
      </c>
      <c r="J352" s="489"/>
    </row>
    <row r="353" spans="1:10">
      <c r="A353" s="661"/>
      <c r="B353" s="863" t="s">
        <v>1787</v>
      </c>
      <c r="C353" s="506">
        <f>'Architecture '!F66</f>
        <v>186</v>
      </c>
      <c r="D353" s="505" t="s">
        <v>16</v>
      </c>
      <c r="E353" s="489">
        <v>450</v>
      </c>
      <c r="F353" s="660">
        <f t="shared" si="37"/>
        <v>83700</v>
      </c>
      <c r="G353" s="672">
        <v>150</v>
      </c>
      <c r="H353" s="665">
        <f t="shared" si="38"/>
        <v>27900</v>
      </c>
      <c r="I353" s="665">
        <f t="shared" si="39"/>
        <v>111600</v>
      </c>
      <c r="J353" s="489"/>
    </row>
    <row r="354" spans="1:10">
      <c r="A354" s="661"/>
      <c r="B354" s="863" t="s">
        <v>1424</v>
      </c>
      <c r="C354" s="506">
        <f>'Architecture '!H66</f>
        <v>519</v>
      </c>
      <c r="D354" s="505" t="s">
        <v>16</v>
      </c>
      <c r="E354" s="489">
        <v>101</v>
      </c>
      <c r="F354" s="683">
        <f t="shared" si="37"/>
        <v>52419</v>
      </c>
      <c r="G354" s="672">
        <v>82</v>
      </c>
      <c r="H354" s="684">
        <f t="shared" si="38"/>
        <v>42558</v>
      </c>
      <c r="I354" s="684">
        <f t="shared" si="39"/>
        <v>94977</v>
      </c>
      <c r="J354" s="489"/>
    </row>
    <row r="355" spans="1:10">
      <c r="A355" s="661"/>
      <c r="B355" s="863" t="s">
        <v>30</v>
      </c>
      <c r="C355" s="506">
        <f>C352</f>
        <v>161</v>
      </c>
      <c r="D355" s="505" t="s">
        <v>16</v>
      </c>
      <c r="E355" s="489">
        <v>83</v>
      </c>
      <c r="F355" s="660">
        <f t="shared" si="37"/>
        <v>13363</v>
      </c>
      <c r="G355" s="672">
        <v>82</v>
      </c>
      <c r="H355" s="665">
        <f t="shared" si="38"/>
        <v>13202</v>
      </c>
      <c r="I355" s="665">
        <f t="shared" si="39"/>
        <v>26565</v>
      </c>
      <c r="J355" s="489"/>
    </row>
    <row r="356" spans="1:10">
      <c r="A356" s="661" t="s">
        <v>1067</v>
      </c>
      <c r="B356" s="919" t="s">
        <v>31</v>
      </c>
      <c r="C356" s="506"/>
      <c r="D356" s="874"/>
      <c r="E356" s="489"/>
      <c r="F356" s="660"/>
      <c r="G356" s="672"/>
      <c r="H356" s="665"/>
      <c r="I356" s="665"/>
      <c r="J356" s="489"/>
    </row>
    <row r="357" spans="1:10">
      <c r="A357" s="661"/>
      <c r="B357" s="919" t="s">
        <v>32</v>
      </c>
      <c r="C357" s="506"/>
      <c r="D357" s="874"/>
      <c r="E357" s="489"/>
      <c r="F357" s="660"/>
      <c r="G357" s="672"/>
      <c r="H357" s="665"/>
      <c r="I357" s="665"/>
      <c r="J357" s="489"/>
    </row>
    <row r="358" spans="1:10">
      <c r="A358" s="661"/>
      <c r="B358" s="863" t="s">
        <v>433</v>
      </c>
      <c r="C358" s="506">
        <f>'Architecture '!U66</f>
        <v>1772</v>
      </c>
      <c r="D358" s="874" t="s">
        <v>16</v>
      </c>
      <c r="E358" s="489">
        <v>285</v>
      </c>
      <c r="F358" s="660">
        <f>E358*C358</f>
        <v>505020</v>
      </c>
      <c r="G358" s="672">
        <v>89</v>
      </c>
      <c r="H358" s="665">
        <f>G358*C358</f>
        <v>157708</v>
      </c>
      <c r="I358" s="665">
        <f>H358+F358</f>
        <v>662728</v>
      </c>
      <c r="J358" s="489"/>
    </row>
    <row r="359" spans="1:10">
      <c r="A359" s="661"/>
      <c r="B359" s="863" t="s">
        <v>432</v>
      </c>
      <c r="C359" s="506">
        <f>'Architecture '!V66</f>
        <v>194</v>
      </c>
      <c r="D359" s="874" t="s">
        <v>16</v>
      </c>
      <c r="E359" s="489">
        <v>584</v>
      </c>
      <c r="F359" s="660">
        <f>E359*C359</f>
        <v>113296</v>
      </c>
      <c r="G359" s="672">
        <v>167</v>
      </c>
      <c r="H359" s="665">
        <f>G359*C359</f>
        <v>32398</v>
      </c>
      <c r="I359" s="665">
        <f>H359+F359</f>
        <v>145694</v>
      </c>
      <c r="J359" s="489"/>
    </row>
    <row r="360" spans="1:10">
      <c r="A360" s="661"/>
      <c r="B360" s="863" t="s">
        <v>1373</v>
      </c>
      <c r="C360" s="506">
        <f>'Architecture '!Z66</f>
        <v>124</v>
      </c>
      <c r="D360" s="874" t="s">
        <v>16</v>
      </c>
      <c r="E360" s="489">
        <v>2500</v>
      </c>
      <c r="F360" s="660">
        <f>E360*C360</f>
        <v>310000</v>
      </c>
      <c r="G360" s="672">
        <v>1500</v>
      </c>
      <c r="H360" s="665">
        <f>G360*C360</f>
        <v>186000</v>
      </c>
      <c r="I360" s="665">
        <f>H360+F360</f>
        <v>496000</v>
      </c>
      <c r="J360" s="489"/>
    </row>
    <row r="361" spans="1:10">
      <c r="A361" s="661"/>
      <c r="B361" s="863" t="s">
        <v>33</v>
      </c>
      <c r="C361" s="506">
        <f>ROUNDUP('Architecture '!AQ66+'Architecture '!AR66+'Architecture '!AT66,0)</f>
        <v>860</v>
      </c>
      <c r="D361" s="874" t="s">
        <v>14</v>
      </c>
      <c r="E361" s="489">
        <v>70</v>
      </c>
      <c r="F361" s="660">
        <f>E361*C361</f>
        <v>60200</v>
      </c>
      <c r="G361" s="672">
        <v>44</v>
      </c>
      <c r="H361" s="665">
        <f>G361*C361</f>
        <v>37840</v>
      </c>
      <c r="I361" s="665">
        <f>H361+F361</f>
        <v>98040</v>
      </c>
      <c r="J361" s="489"/>
    </row>
    <row r="362" spans="1:10">
      <c r="A362" s="661"/>
      <c r="B362" s="785" t="s">
        <v>34</v>
      </c>
      <c r="C362" s="506"/>
      <c r="D362" s="505"/>
      <c r="E362" s="489"/>
      <c r="F362" s="660"/>
      <c r="G362" s="672"/>
      <c r="H362" s="665"/>
      <c r="I362" s="665"/>
      <c r="J362" s="489"/>
    </row>
    <row r="363" spans="1:10">
      <c r="A363" s="661"/>
      <c r="B363" s="863" t="s">
        <v>1390</v>
      </c>
      <c r="C363" s="506">
        <f>'Architecture '!AD66</f>
        <v>3051</v>
      </c>
      <c r="D363" s="874" t="s">
        <v>16</v>
      </c>
      <c r="E363" s="489">
        <v>75</v>
      </c>
      <c r="F363" s="660">
        <f>E363*C363</f>
        <v>228825</v>
      </c>
      <c r="G363" s="672">
        <v>82</v>
      </c>
      <c r="H363" s="665">
        <f>G363*C363</f>
        <v>250182</v>
      </c>
      <c r="I363" s="665">
        <f>H363+F363</f>
        <v>479007</v>
      </c>
      <c r="J363" s="489"/>
    </row>
    <row r="364" spans="1:10">
      <c r="A364" s="661"/>
      <c r="B364" s="863" t="s">
        <v>1372</v>
      </c>
      <c r="C364" s="506">
        <f>'Architecture '!AG66</f>
        <v>343</v>
      </c>
      <c r="D364" s="874" t="s">
        <v>16</v>
      </c>
      <c r="E364" s="489">
        <v>750</v>
      </c>
      <c r="F364" s="660">
        <f>E364*C364</f>
        <v>257250</v>
      </c>
      <c r="G364" s="672">
        <v>250</v>
      </c>
      <c r="H364" s="665">
        <f>G364*C364</f>
        <v>85750</v>
      </c>
      <c r="I364" s="665">
        <f>H364+F364</f>
        <v>343000</v>
      </c>
      <c r="J364" s="489"/>
    </row>
    <row r="365" spans="1:10">
      <c r="A365" s="661" t="s">
        <v>1068</v>
      </c>
      <c r="B365" s="785" t="s">
        <v>35</v>
      </c>
      <c r="C365" s="506"/>
      <c r="D365" s="505"/>
      <c r="E365" s="489"/>
      <c r="F365" s="660"/>
      <c r="G365" s="672"/>
      <c r="H365" s="665"/>
      <c r="I365" s="665"/>
      <c r="J365" s="489"/>
    </row>
    <row r="366" spans="1:10">
      <c r="A366" s="518"/>
      <c r="B366" s="862" t="s">
        <v>1389</v>
      </c>
      <c r="C366" s="506">
        <f>'Architecture '!AZ66</f>
        <v>2569</v>
      </c>
      <c r="D366" s="505" t="s">
        <v>16</v>
      </c>
      <c r="E366" s="489">
        <v>180</v>
      </c>
      <c r="F366" s="660">
        <f>E366*C366</f>
        <v>462420</v>
      </c>
      <c r="G366" s="672">
        <v>50</v>
      </c>
      <c r="H366" s="665">
        <f>G366*C366</f>
        <v>128450</v>
      </c>
      <c r="I366" s="665">
        <f>H366+F366</f>
        <v>590870</v>
      </c>
      <c r="J366" s="489"/>
    </row>
    <row r="367" spans="1:10">
      <c r="A367" s="661" t="s">
        <v>1069</v>
      </c>
      <c r="B367" s="919" t="s">
        <v>36</v>
      </c>
      <c r="C367" s="506"/>
      <c r="D367" s="874"/>
      <c r="E367" s="489"/>
      <c r="F367" s="660"/>
      <c r="G367" s="672"/>
      <c r="H367" s="665"/>
      <c r="I367" s="665"/>
      <c r="J367" s="489"/>
    </row>
    <row r="368" spans="1:10">
      <c r="A368" s="685"/>
      <c r="B368" s="863" t="s">
        <v>38</v>
      </c>
      <c r="C368" s="506">
        <f>'Architecture '!AV66</f>
        <v>161</v>
      </c>
      <c r="D368" s="874" t="s">
        <v>16</v>
      </c>
      <c r="E368" s="489">
        <v>312</v>
      </c>
      <c r="F368" s="660">
        <f>E368*C368</f>
        <v>50232</v>
      </c>
      <c r="G368" s="672">
        <v>75</v>
      </c>
      <c r="H368" s="665">
        <f>G368*C368</f>
        <v>12075</v>
      </c>
      <c r="I368" s="665">
        <f>H368+F368</f>
        <v>62307</v>
      </c>
      <c r="J368" s="489"/>
    </row>
    <row r="369" spans="1:10">
      <c r="A369" s="685"/>
      <c r="B369" s="863" t="s">
        <v>458</v>
      </c>
      <c r="C369" s="506">
        <f>'Architecture '!AW66</f>
        <v>2359</v>
      </c>
      <c r="D369" s="874" t="s">
        <v>16</v>
      </c>
      <c r="E369" s="489">
        <v>78</v>
      </c>
      <c r="F369" s="660">
        <f>E369*C369</f>
        <v>184002</v>
      </c>
      <c r="G369" s="672">
        <v>82</v>
      </c>
      <c r="H369" s="665">
        <f>G369*C369</f>
        <v>193438</v>
      </c>
      <c r="I369" s="665">
        <f>H369+F369</f>
        <v>377440</v>
      </c>
      <c r="J369" s="489"/>
    </row>
    <row r="370" spans="1:10">
      <c r="A370" s="685"/>
      <c r="B370" s="862" t="s">
        <v>39</v>
      </c>
      <c r="C370" s="506">
        <f>'Architecture '!BC66</f>
        <v>2520</v>
      </c>
      <c r="D370" s="874" t="s">
        <v>16</v>
      </c>
      <c r="E370" s="489">
        <v>33</v>
      </c>
      <c r="F370" s="660">
        <f>E370*C370</f>
        <v>83160</v>
      </c>
      <c r="G370" s="672">
        <v>31</v>
      </c>
      <c r="H370" s="665">
        <f>G370*C370</f>
        <v>78120</v>
      </c>
      <c r="I370" s="665">
        <f>H370+F370</f>
        <v>161280</v>
      </c>
      <c r="J370" s="489"/>
    </row>
    <row r="371" spans="1:10">
      <c r="A371" s="661" t="s">
        <v>1070</v>
      </c>
      <c r="B371" s="785" t="s">
        <v>1444</v>
      </c>
      <c r="C371" s="506"/>
      <c r="D371" s="505"/>
      <c r="E371" s="489"/>
      <c r="F371" s="660"/>
      <c r="G371" s="672"/>
      <c r="H371" s="665"/>
      <c r="I371" s="665"/>
      <c r="J371" s="489"/>
    </row>
    <row r="372" spans="1:10">
      <c r="A372" s="685" t="s">
        <v>1404</v>
      </c>
      <c r="B372" s="785" t="s">
        <v>1345</v>
      </c>
      <c r="C372" s="506"/>
      <c r="D372" s="505"/>
      <c r="E372" s="489"/>
      <c r="F372" s="660"/>
      <c r="G372" s="672"/>
      <c r="H372" s="665"/>
      <c r="I372" s="665"/>
      <c r="J372" s="489"/>
    </row>
    <row r="373" spans="1:10">
      <c r="A373" s="661"/>
      <c r="B373" s="862" t="s">
        <v>1445</v>
      </c>
      <c r="C373" s="506">
        <f>ROUNDUP(58+45+48,0)</f>
        <v>151</v>
      </c>
      <c r="D373" s="505" t="s">
        <v>14</v>
      </c>
      <c r="E373" s="489">
        <v>250</v>
      </c>
      <c r="F373" s="660">
        <f>E373*C373</f>
        <v>37750</v>
      </c>
      <c r="G373" s="672">
        <v>50</v>
      </c>
      <c r="H373" s="665">
        <f>G373*C373</f>
        <v>7550</v>
      </c>
      <c r="I373" s="665">
        <f>H373+F373</f>
        <v>45300</v>
      </c>
      <c r="J373" s="489"/>
    </row>
    <row r="374" spans="1:10">
      <c r="A374" s="685" t="s">
        <v>1405</v>
      </c>
      <c r="B374" s="785" t="s">
        <v>1399</v>
      </c>
      <c r="C374" s="506"/>
      <c r="D374" s="505"/>
      <c r="E374" s="489"/>
      <c r="F374" s="660"/>
      <c r="G374" s="672"/>
      <c r="H374" s="665"/>
      <c r="I374" s="665"/>
      <c r="J374" s="489"/>
    </row>
    <row r="375" spans="1:10">
      <c r="A375" s="685"/>
      <c r="B375" s="862" t="s">
        <v>1397</v>
      </c>
      <c r="C375" s="506">
        <f>ROUNDUP((4.3+0.4+4.3)*7.01,0)</f>
        <v>64</v>
      </c>
      <c r="D375" s="505" t="s">
        <v>19</v>
      </c>
      <c r="E375" s="489">
        <v>28</v>
      </c>
      <c r="F375" s="660">
        <f>E375*C375</f>
        <v>1792</v>
      </c>
      <c r="G375" s="672">
        <v>12</v>
      </c>
      <c r="H375" s="665">
        <f>G375*C375</f>
        <v>768</v>
      </c>
      <c r="I375" s="665">
        <f>H375+F375</f>
        <v>2560</v>
      </c>
      <c r="J375" s="489"/>
    </row>
    <row r="376" spans="1:10">
      <c r="A376" s="685"/>
      <c r="B376" s="862" t="s">
        <v>1398</v>
      </c>
      <c r="C376" s="506">
        <f>ROUNDUP(((4.3+0.3+4.3)*2)+((0.85*16)*2)*2.36,0)</f>
        <v>82</v>
      </c>
      <c r="D376" s="505" t="s">
        <v>19</v>
      </c>
      <c r="E376" s="489">
        <v>28</v>
      </c>
      <c r="F376" s="660">
        <f>E376*C376</f>
        <v>2296</v>
      </c>
      <c r="G376" s="672">
        <v>12</v>
      </c>
      <c r="H376" s="665">
        <f>G376*C376</f>
        <v>984</v>
      </c>
      <c r="I376" s="665">
        <f>H376+F376</f>
        <v>3280</v>
      </c>
      <c r="J376" s="489"/>
    </row>
    <row r="377" spans="1:10">
      <c r="A377" s="685"/>
      <c r="B377" s="862" t="s">
        <v>1756</v>
      </c>
      <c r="C377" s="506">
        <f>ROUNDUP(((0.1+0.05+0.1+0.05)*(4.3+0.4+4.3))+((0.05+0.05+0.006+0.006)*((4.3+0.3+4.3)*2)+((0.85*16)*2)),0)</f>
        <v>32</v>
      </c>
      <c r="D377" s="505" t="s">
        <v>16</v>
      </c>
      <c r="E377" s="489">
        <v>58</v>
      </c>
      <c r="F377" s="660">
        <f>E377*C377</f>
        <v>1856</v>
      </c>
      <c r="G377" s="672">
        <v>35</v>
      </c>
      <c r="H377" s="665">
        <f>G377*C377</f>
        <v>1120</v>
      </c>
      <c r="I377" s="665">
        <f>H377+F377</f>
        <v>2976</v>
      </c>
      <c r="J377" s="489"/>
    </row>
    <row r="378" spans="1:10">
      <c r="A378" s="685"/>
      <c r="B378" s="662" t="s">
        <v>450</v>
      </c>
      <c r="C378" s="498">
        <v>1</v>
      </c>
      <c r="D378" s="499" t="s">
        <v>44</v>
      </c>
      <c r="E378" s="500">
        <f>SUM(F375:F377)*20%</f>
        <v>1188.8</v>
      </c>
      <c r="F378" s="663">
        <f>E378*C378</f>
        <v>1188.8</v>
      </c>
      <c r="G378" s="664">
        <v>0</v>
      </c>
      <c r="H378" s="665">
        <f>G378*C378</f>
        <v>0</v>
      </c>
      <c r="I378" s="665">
        <f>H378+F378</f>
        <v>1188.8</v>
      </c>
      <c r="J378" s="489"/>
    </row>
    <row r="379" spans="1:10">
      <c r="A379" s="685" t="s">
        <v>1407</v>
      </c>
      <c r="B379" s="785" t="s">
        <v>1334</v>
      </c>
      <c r="C379" s="506"/>
      <c r="D379" s="505"/>
      <c r="E379" s="489"/>
      <c r="F379" s="660"/>
      <c r="G379" s="672"/>
      <c r="H379" s="665"/>
      <c r="I379" s="665"/>
      <c r="J379" s="489"/>
    </row>
    <row r="380" spans="1:10">
      <c r="A380" s="685"/>
      <c r="B380" s="862" t="s">
        <v>1445</v>
      </c>
      <c r="C380" s="506">
        <f>ROUNDUP(52+35,0)</f>
        <v>87</v>
      </c>
      <c r="D380" s="505" t="s">
        <v>14</v>
      </c>
      <c r="E380" s="489">
        <v>250</v>
      </c>
      <c r="F380" s="660">
        <f>E380*C380</f>
        <v>21750</v>
      </c>
      <c r="G380" s="672">
        <v>50</v>
      </c>
      <c r="H380" s="665">
        <f>G380*C380</f>
        <v>4350</v>
      </c>
      <c r="I380" s="665">
        <f>H380+F380</f>
        <v>26100</v>
      </c>
      <c r="J380" s="489"/>
    </row>
    <row r="381" spans="1:10">
      <c r="A381" s="685" t="s">
        <v>1446</v>
      </c>
      <c r="B381" s="785" t="s">
        <v>1403</v>
      </c>
      <c r="C381" s="506"/>
      <c r="D381" s="505"/>
      <c r="E381" s="489"/>
      <c r="F381" s="660"/>
      <c r="G381" s="672"/>
      <c r="H381" s="665"/>
      <c r="I381" s="665"/>
      <c r="J381" s="489"/>
    </row>
    <row r="382" spans="1:10">
      <c r="A382" s="685"/>
      <c r="B382" s="862" t="s">
        <v>1397</v>
      </c>
      <c r="C382" s="506">
        <f>ROUNDUP((4.88+0.4+4.8)*7.01,0)</f>
        <v>71</v>
      </c>
      <c r="D382" s="505" t="s">
        <v>19</v>
      </c>
      <c r="E382" s="489">
        <v>28</v>
      </c>
      <c r="F382" s="660">
        <f>E382*C382</f>
        <v>1988</v>
      </c>
      <c r="G382" s="672">
        <v>12</v>
      </c>
      <c r="H382" s="665">
        <f>G382*C382</f>
        <v>852</v>
      </c>
      <c r="I382" s="665">
        <f>H382+F382</f>
        <v>2840</v>
      </c>
      <c r="J382" s="489"/>
    </row>
    <row r="383" spans="1:10">
      <c r="A383" s="685"/>
      <c r="B383" s="862" t="s">
        <v>1398</v>
      </c>
      <c r="C383" s="506">
        <f>ROUNDUP(((4.88+0.3+4.88)*2)+((0.85*18)*2)*2.36,0)</f>
        <v>93</v>
      </c>
      <c r="D383" s="505" t="s">
        <v>19</v>
      </c>
      <c r="E383" s="489">
        <v>28</v>
      </c>
      <c r="F383" s="660">
        <f>E383*C383</f>
        <v>2604</v>
      </c>
      <c r="G383" s="672">
        <v>12</v>
      </c>
      <c r="H383" s="665">
        <f>G383*C383</f>
        <v>1116</v>
      </c>
      <c r="I383" s="665">
        <f>H383+F383</f>
        <v>3720</v>
      </c>
      <c r="J383" s="489"/>
    </row>
    <row r="384" spans="1:10">
      <c r="A384" s="685"/>
      <c r="B384" s="862" t="s">
        <v>1756</v>
      </c>
      <c r="C384" s="506">
        <f>ROUNDUP(((0.1+0.05+0.1+0.05)*(4.88+0.4+4.8))+((0.05+0.05+0.006+0.006)*((4.88+0.3+4.88)*2)+((0.85*18)*2)),0)</f>
        <v>36</v>
      </c>
      <c r="D384" s="505" t="s">
        <v>16</v>
      </c>
      <c r="E384" s="489">
        <v>58</v>
      </c>
      <c r="F384" s="660">
        <f>E384*C384</f>
        <v>2088</v>
      </c>
      <c r="G384" s="672">
        <v>35</v>
      </c>
      <c r="H384" s="665">
        <f>G384*C384</f>
        <v>1260</v>
      </c>
      <c r="I384" s="665">
        <f>H384+F384</f>
        <v>3348</v>
      </c>
      <c r="J384" s="489"/>
    </row>
    <row r="385" spans="1:10">
      <c r="A385" s="685"/>
      <c r="B385" s="662" t="s">
        <v>450</v>
      </c>
      <c r="C385" s="498">
        <v>1</v>
      </c>
      <c r="D385" s="499" t="s">
        <v>44</v>
      </c>
      <c r="E385" s="500">
        <f>SUM(F382:F384)*20%</f>
        <v>1336</v>
      </c>
      <c r="F385" s="663">
        <f>E385*C385</f>
        <v>1336</v>
      </c>
      <c r="G385" s="664">
        <v>0</v>
      </c>
      <c r="H385" s="665">
        <f>G385*C385</f>
        <v>0</v>
      </c>
      <c r="I385" s="665">
        <f>H385+F385</f>
        <v>1336</v>
      </c>
      <c r="J385" s="489"/>
    </row>
    <row r="386" spans="1:10">
      <c r="A386" s="685" t="s">
        <v>1447</v>
      </c>
      <c r="B386" s="785" t="s">
        <v>1341</v>
      </c>
      <c r="C386" s="506"/>
      <c r="D386" s="505"/>
      <c r="E386" s="489"/>
      <c r="F386" s="660"/>
      <c r="G386" s="672"/>
      <c r="H386" s="665"/>
      <c r="I386" s="665"/>
      <c r="J386" s="489"/>
    </row>
    <row r="387" spans="1:10">
      <c r="A387" s="685"/>
      <c r="B387" s="862" t="s">
        <v>1789</v>
      </c>
      <c r="C387" s="506">
        <f>'Architecture '!F42</f>
        <v>27</v>
      </c>
      <c r="D387" s="505" t="s">
        <v>16</v>
      </c>
      <c r="E387" s="489">
        <v>450</v>
      </c>
      <c r="F387" s="660">
        <f>E387*C387</f>
        <v>12150</v>
      </c>
      <c r="G387" s="672">
        <v>150</v>
      </c>
      <c r="H387" s="665">
        <f>G387*C387</f>
        <v>4050</v>
      </c>
      <c r="I387" s="665">
        <f>H387+F387</f>
        <v>16200</v>
      </c>
      <c r="J387" s="489"/>
    </row>
    <row r="388" spans="1:10">
      <c r="A388" s="685" t="s">
        <v>1448</v>
      </c>
      <c r="B388" s="785" t="s">
        <v>1395</v>
      </c>
      <c r="C388" s="506"/>
      <c r="D388" s="505"/>
      <c r="E388" s="489"/>
      <c r="F388" s="660"/>
      <c r="G388" s="672"/>
      <c r="H388" s="665"/>
      <c r="I388" s="665"/>
      <c r="J388" s="489"/>
    </row>
    <row r="389" spans="1:10">
      <c r="A389" s="685"/>
      <c r="B389" s="862" t="s">
        <v>1397</v>
      </c>
      <c r="C389" s="506">
        <f>ROUNDUP((1.35+1.05+0.16+1.56+1.56+5.05+5.05+1.7+3.4+0.2+1.7+5.01+0.1)*7.01,0)</f>
        <v>196</v>
      </c>
      <c r="D389" s="505" t="s">
        <v>19</v>
      </c>
      <c r="E389" s="489">
        <v>28</v>
      </c>
      <c r="F389" s="660">
        <f>E389*C389</f>
        <v>5488</v>
      </c>
      <c r="G389" s="672">
        <v>12</v>
      </c>
      <c r="H389" s="665">
        <f>G389*C389</f>
        <v>2352</v>
      </c>
      <c r="I389" s="665">
        <f>H389+F389</f>
        <v>7840</v>
      </c>
      <c r="J389" s="489"/>
    </row>
    <row r="390" spans="1:10">
      <c r="A390" s="685"/>
      <c r="B390" s="862" t="s">
        <v>1398</v>
      </c>
      <c r="C390" s="506">
        <f>ROUNDUP(((1.35+1.05+0.16+1.56+1.56+5.05+5.05+1.7+3.4+0.2+1.7+5.01+0.1)*2)+((0.85*32)*2)*2.36,0)</f>
        <v>185</v>
      </c>
      <c r="D390" s="505" t="s">
        <v>19</v>
      </c>
      <c r="E390" s="489">
        <v>28</v>
      </c>
      <c r="F390" s="660">
        <f>E390*C390</f>
        <v>5180</v>
      </c>
      <c r="G390" s="672">
        <v>12</v>
      </c>
      <c r="H390" s="665">
        <f>G390*C390</f>
        <v>2220</v>
      </c>
      <c r="I390" s="665">
        <f>H390+F390</f>
        <v>7400</v>
      </c>
      <c r="J390" s="489"/>
    </row>
    <row r="391" spans="1:10">
      <c r="A391" s="685"/>
      <c r="B391" s="862" t="s">
        <v>1756</v>
      </c>
      <c r="C391" s="506">
        <f>ROUNDUP(((0.1+0.05+0.1+0.05)*(1.35+1.05+0.16+1.56+1.56+5.05+5.05+1.7+3.4+0.2+1.7+5.01+0.1))+((0.05+0.05+0.006+0.006)*((1.35+1.05+0.16+1.56+1.56+5.05+5.05+1.7+3.4+0.2+1.7+5.01+0.1)*2)+((0.85*32)*2)),0)</f>
        <v>70</v>
      </c>
      <c r="D391" s="505" t="s">
        <v>16</v>
      </c>
      <c r="E391" s="489">
        <v>58</v>
      </c>
      <c r="F391" s="660">
        <f>E391*C391</f>
        <v>4060</v>
      </c>
      <c r="G391" s="672">
        <v>35</v>
      </c>
      <c r="H391" s="665">
        <f>G391*C391</f>
        <v>2450</v>
      </c>
      <c r="I391" s="665">
        <f>H391+F391</f>
        <v>6510</v>
      </c>
      <c r="J391" s="489"/>
    </row>
    <row r="392" spans="1:10">
      <c r="A392" s="685"/>
      <c r="B392" s="662" t="s">
        <v>450</v>
      </c>
      <c r="C392" s="498">
        <v>1</v>
      </c>
      <c r="D392" s="499" t="s">
        <v>44</v>
      </c>
      <c r="E392" s="500">
        <f>SUM(F389:F391)*20%</f>
        <v>2945.6000000000004</v>
      </c>
      <c r="F392" s="663">
        <f>E392*C392</f>
        <v>2945.6000000000004</v>
      </c>
      <c r="G392" s="664">
        <v>0</v>
      </c>
      <c r="H392" s="665">
        <f>G392*C392</f>
        <v>0</v>
      </c>
      <c r="I392" s="665">
        <f>H392+F392</f>
        <v>2945.6000000000004</v>
      </c>
      <c r="J392" s="489"/>
    </row>
    <row r="393" spans="1:10">
      <c r="A393" s="661" t="s">
        <v>1071</v>
      </c>
      <c r="B393" s="785" t="s">
        <v>471</v>
      </c>
      <c r="C393" s="506"/>
      <c r="D393" s="505"/>
      <c r="E393" s="489"/>
      <c r="F393" s="660"/>
      <c r="G393" s="672"/>
      <c r="H393" s="665"/>
      <c r="I393" s="665"/>
      <c r="J393" s="489"/>
    </row>
    <row r="394" spans="1:10">
      <c r="A394" s="661"/>
      <c r="B394" s="919" t="s">
        <v>40</v>
      </c>
      <c r="C394" s="506"/>
      <c r="D394" s="874"/>
      <c r="E394" s="517"/>
      <c r="F394" s="514"/>
      <c r="G394" s="520"/>
      <c r="H394" s="665"/>
      <c r="I394" s="665"/>
      <c r="J394" s="489"/>
    </row>
    <row r="395" spans="1:10">
      <c r="A395" s="685">
        <f>'Sannitary ware'!A7</f>
        <v>1</v>
      </c>
      <c r="B395" s="863" t="str">
        <f>'Sannitary ware'!B7</f>
        <v xml:space="preserve"> - โถสุขภัณฑ์ฟลัชวาล์ว</v>
      </c>
      <c r="C395" s="506">
        <f>'Sannitary ware'!H7</f>
        <v>23</v>
      </c>
      <c r="D395" s="874" t="s">
        <v>15</v>
      </c>
      <c r="E395" s="920">
        <f>'Sannitary ware'!AD7</f>
        <v>6500</v>
      </c>
      <c r="F395" s="660">
        <f t="shared" ref="F395:F431" si="40">E395*C395</f>
        <v>149500</v>
      </c>
      <c r="G395" s="921">
        <f>'Sannitary ware'!AF7</f>
        <v>450</v>
      </c>
      <c r="H395" s="665">
        <f t="shared" ref="H395:H401" si="41">G395*C395</f>
        <v>10350</v>
      </c>
      <c r="I395" s="665">
        <f t="shared" ref="I395:I431" si="42">H395+F395</f>
        <v>159850</v>
      </c>
      <c r="J395" s="660"/>
    </row>
    <row r="396" spans="1:10">
      <c r="A396" s="685">
        <f>'Sannitary ware'!A8</f>
        <v>1</v>
      </c>
      <c r="B396" s="863" t="str">
        <f>'Sannitary ware'!B8</f>
        <v xml:space="preserve">     • STOP VALVE 1/2" </v>
      </c>
      <c r="C396" s="506">
        <f>'Sannitary ware'!H8</f>
        <v>23</v>
      </c>
      <c r="D396" s="874" t="s">
        <v>27</v>
      </c>
      <c r="E396" s="920">
        <f>'Sannitary ware'!AD8</f>
        <v>80</v>
      </c>
      <c r="F396" s="660">
        <f t="shared" si="40"/>
        <v>1840</v>
      </c>
      <c r="G396" s="921">
        <f>'Sannitary ware'!AF8</f>
        <v>35</v>
      </c>
      <c r="H396" s="665">
        <f t="shared" si="41"/>
        <v>805</v>
      </c>
      <c r="I396" s="665">
        <f t="shared" si="42"/>
        <v>2645</v>
      </c>
      <c r="J396" s="660"/>
    </row>
    <row r="397" spans="1:10">
      <c r="A397" s="685" t="str">
        <f>'Sannitary ware'!A9</f>
        <v>1'</v>
      </c>
      <c r="B397" s="863" t="str">
        <f>'Sannitary ware'!B9</f>
        <v xml:space="preserve"> - โถสุขภัณฑ์ฟลัชวาล์ว  (ห้องน้ำผู้พิการ)</v>
      </c>
      <c r="C397" s="506">
        <f>'Sannitary ware'!H9</f>
        <v>1</v>
      </c>
      <c r="D397" s="874" t="s">
        <v>15</v>
      </c>
      <c r="E397" s="920">
        <f>'Sannitary ware'!AD9</f>
        <v>6500</v>
      </c>
      <c r="F397" s="660">
        <f t="shared" si="40"/>
        <v>6500</v>
      </c>
      <c r="G397" s="921">
        <f>'Sannitary ware'!AF9</f>
        <v>450</v>
      </c>
      <c r="H397" s="665">
        <f t="shared" si="41"/>
        <v>450</v>
      </c>
      <c r="I397" s="665">
        <f t="shared" si="42"/>
        <v>6950</v>
      </c>
      <c r="J397" s="660"/>
    </row>
    <row r="398" spans="1:10">
      <c r="A398" s="685" t="str">
        <f>'Sannitary ware'!A10</f>
        <v>1'</v>
      </c>
      <c r="B398" s="863" t="str">
        <f>'Sannitary ware'!B10</f>
        <v xml:space="preserve">     • STOP VALVE 1/2" </v>
      </c>
      <c r="C398" s="506">
        <f>'Sannitary ware'!H10</f>
        <v>1</v>
      </c>
      <c r="D398" s="874" t="s">
        <v>27</v>
      </c>
      <c r="E398" s="920">
        <f>'Sannitary ware'!AD10</f>
        <v>80</v>
      </c>
      <c r="F398" s="660">
        <f t="shared" si="40"/>
        <v>80</v>
      </c>
      <c r="G398" s="921">
        <f>'Sannitary ware'!AF10</f>
        <v>35</v>
      </c>
      <c r="H398" s="665">
        <f t="shared" si="41"/>
        <v>35</v>
      </c>
      <c r="I398" s="665">
        <f t="shared" si="42"/>
        <v>115</v>
      </c>
      <c r="J398" s="489"/>
    </row>
    <row r="399" spans="1:10">
      <c r="A399" s="685">
        <f>'Sannitary ware'!A11</f>
        <v>2</v>
      </c>
      <c r="B399" s="863" t="str">
        <f>'Sannitary ware'!B11</f>
        <v xml:space="preserve"> - สายชำระพร้อมสต๊อปวาล์ว</v>
      </c>
      <c r="C399" s="506">
        <f>'Sannitary ware'!H11</f>
        <v>23</v>
      </c>
      <c r="D399" s="874" t="s">
        <v>15</v>
      </c>
      <c r="E399" s="920">
        <f>'Sannitary ware'!AD11</f>
        <v>300</v>
      </c>
      <c r="F399" s="660">
        <f t="shared" si="40"/>
        <v>6900</v>
      </c>
      <c r="G399" s="921">
        <f>'Sannitary ware'!AF11</f>
        <v>70</v>
      </c>
      <c r="H399" s="665">
        <f t="shared" si="41"/>
        <v>1610</v>
      </c>
      <c r="I399" s="665">
        <f t="shared" si="42"/>
        <v>8510</v>
      </c>
      <c r="J399" s="660"/>
    </row>
    <row r="400" spans="1:10">
      <c r="A400" s="685">
        <f>'Sannitary ware'!A12</f>
        <v>3</v>
      </c>
      <c r="B400" s="863" t="str">
        <f>'Sannitary ware'!B12</f>
        <v xml:space="preserve"> - โถปัสสาวะชายพร้อมฟลัชวาล์ว</v>
      </c>
      <c r="C400" s="506">
        <f>'Sannitary ware'!H12</f>
        <v>10</v>
      </c>
      <c r="D400" s="874" t="s">
        <v>15</v>
      </c>
      <c r="E400" s="920">
        <f>'Sannitary ware'!AD12</f>
        <v>5500</v>
      </c>
      <c r="F400" s="660">
        <f t="shared" si="40"/>
        <v>55000</v>
      </c>
      <c r="G400" s="921">
        <f>'Sannitary ware'!AF12</f>
        <v>450</v>
      </c>
      <c r="H400" s="665">
        <f t="shared" si="41"/>
        <v>4500</v>
      </c>
      <c r="I400" s="665">
        <f t="shared" si="42"/>
        <v>59500</v>
      </c>
      <c r="J400" s="660"/>
    </row>
    <row r="401" spans="1:10">
      <c r="A401" s="685">
        <f>'Sannitary ware'!A13</f>
        <v>4</v>
      </c>
      <c r="B401" s="863" t="str">
        <f>'Sannitary ware'!B13</f>
        <v xml:space="preserve"> - อ่างล้างหน้าแบบฝังเคาน์เตอร์ </v>
      </c>
      <c r="C401" s="506">
        <f>'Sannitary ware'!H13</f>
        <v>15</v>
      </c>
      <c r="D401" s="874" t="s">
        <v>15</v>
      </c>
      <c r="E401" s="920">
        <f>'Sannitary ware'!AD13</f>
        <v>3500</v>
      </c>
      <c r="F401" s="660">
        <f t="shared" si="40"/>
        <v>52500</v>
      </c>
      <c r="G401" s="1680">
        <f>'Sannitary ware'!AF13</f>
        <v>450</v>
      </c>
      <c r="H401" s="1683">
        <f t="shared" si="41"/>
        <v>6750</v>
      </c>
      <c r="I401" s="665">
        <f t="shared" si="42"/>
        <v>59250</v>
      </c>
      <c r="J401" s="660"/>
    </row>
    <row r="402" spans="1:10">
      <c r="A402" s="685">
        <f>'Sannitary ware'!A14</f>
        <v>4</v>
      </c>
      <c r="B402" s="863" t="str">
        <f>'Sannitary ware'!B14</f>
        <v xml:space="preserve">     • ก๊อกน้ำเดี่ยวอ่างล้างหน้า </v>
      </c>
      <c r="C402" s="506">
        <f>'Sannitary ware'!H14</f>
        <v>15</v>
      </c>
      <c r="D402" s="874" t="s">
        <v>15</v>
      </c>
      <c r="E402" s="920">
        <f>'Sannitary ware'!AD14</f>
        <v>0</v>
      </c>
      <c r="F402" s="660">
        <f t="shared" si="40"/>
        <v>0</v>
      </c>
      <c r="G402" s="1681"/>
      <c r="H402" s="1684"/>
      <c r="I402" s="665">
        <f t="shared" si="42"/>
        <v>0</v>
      </c>
      <c r="J402" s="660"/>
    </row>
    <row r="403" spans="1:10">
      <c r="A403" s="685">
        <f>'Sannitary ware'!A15</f>
        <v>4</v>
      </c>
      <c r="B403" s="863" t="str">
        <f>'Sannitary ware'!B15</f>
        <v xml:space="preserve">     • ท่อน้ำทิ้งอ่างล้างหน้า </v>
      </c>
      <c r="C403" s="506">
        <f>'Sannitary ware'!H15</f>
        <v>15</v>
      </c>
      <c r="D403" s="874" t="s">
        <v>15</v>
      </c>
      <c r="E403" s="920">
        <f>'Sannitary ware'!AD15</f>
        <v>0</v>
      </c>
      <c r="F403" s="660">
        <f t="shared" si="40"/>
        <v>0</v>
      </c>
      <c r="G403" s="1681"/>
      <c r="H403" s="1684"/>
      <c r="I403" s="665">
        <f t="shared" si="42"/>
        <v>0</v>
      </c>
      <c r="J403" s="660"/>
    </row>
    <row r="404" spans="1:10">
      <c r="A404" s="685">
        <f>'Sannitary ware'!A16</f>
        <v>4</v>
      </c>
      <c r="B404" s="863" t="str">
        <f>'Sannitary ware'!B16</f>
        <v xml:space="preserve">     • สะดืออ่างล้างหน้าแบบกด </v>
      </c>
      <c r="C404" s="506">
        <f>'Sannitary ware'!H16</f>
        <v>15</v>
      </c>
      <c r="D404" s="874" t="s">
        <v>15</v>
      </c>
      <c r="E404" s="920">
        <f>'Sannitary ware'!AD16</f>
        <v>0</v>
      </c>
      <c r="F404" s="660">
        <f t="shared" si="40"/>
        <v>0</v>
      </c>
      <c r="G404" s="1681"/>
      <c r="H404" s="1684"/>
      <c r="I404" s="665">
        <f t="shared" si="42"/>
        <v>0</v>
      </c>
      <c r="J404" s="660"/>
    </row>
    <row r="405" spans="1:10">
      <c r="A405" s="685">
        <f>'Sannitary ware'!A17</f>
        <v>4</v>
      </c>
      <c r="B405" s="863" t="str">
        <f>'Sannitary ware'!B17</f>
        <v xml:space="preserve">     • สายน้ำดีอ่างล้างหน้าสแตนเลสถักยาว 16" </v>
      </c>
      <c r="C405" s="506">
        <f>'Sannitary ware'!H17</f>
        <v>15</v>
      </c>
      <c r="D405" s="874" t="s">
        <v>15</v>
      </c>
      <c r="E405" s="920">
        <f>'Sannitary ware'!AD17</f>
        <v>0</v>
      </c>
      <c r="F405" s="660">
        <f t="shared" si="40"/>
        <v>0</v>
      </c>
      <c r="G405" s="1681"/>
      <c r="H405" s="1684"/>
      <c r="I405" s="665">
        <f t="shared" si="42"/>
        <v>0</v>
      </c>
      <c r="J405" s="922"/>
    </row>
    <row r="406" spans="1:10">
      <c r="A406" s="685">
        <f>'Sannitary ware'!A18</f>
        <v>4</v>
      </c>
      <c r="B406" s="863" t="str">
        <f>'Sannitary ware'!B18</f>
        <v xml:space="preserve">     • STOP VALVE 1/2" </v>
      </c>
      <c r="C406" s="506">
        <f>'Sannitary ware'!H18</f>
        <v>15</v>
      </c>
      <c r="D406" s="874" t="s">
        <v>27</v>
      </c>
      <c r="E406" s="920">
        <f>'Sannitary ware'!AD18</f>
        <v>0</v>
      </c>
      <c r="F406" s="660">
        <f t="shared" si="40"/>
        <v>0</v>
      </c>
      <c r="G406" s="1682"/>
      <c r="H406" s="1685"/>
      <c r="I406" s="665">
        <f t="shared" si="42"/>
        <v>0</v>
      </c>
      <c r="J406" s="660"/>
    </row>
    <row r="407" spans="1:10">
      <c r="A407" s="685" t="str">
        <f>'Sannitary ware'!A19</f>
        <v>4'</v>
      </c>
      <c r="B407" s="863" t="str">
        <f>'Sannitary ware'!B19</f>
        <v xml:space="preserve"> - อ่างล้างหน้าแบบแขวนผนัง (ห้องน้ำผู้พิการ)</v>
      </c>
      <c r="C407" s="506">
        <f>'Sannitary ware'!H19</f>
        <v>1</v>
      </c>
      <c r="D407" s="874" t="s">
        <v>15</v>
      </c>
      <c r="E407" s="920">
        <f>'Sannitary ware'!AD19</f>
        <v>2300</v>
      </c>
      <c r="F407" s="660">
        <f t="shared" si="40"/>
        <v>2300</v>
      </c>
      <c r="G407" s="1680">
        <f>'Sannitary ware'!AF19</f>
        <v>450</v>
      </c>
      <c r="H407" s="1683">
        <f>G407*C407</f>
        <v>450</v>
      </c>
      <c r="I407" s="665">
        <f t="shared" si="42"/>
        <v>2750</v>
      </c>
      <c r="J407" s="660"/>
    </row>
    <row r="408" spans="1:10">
      <c r="A408" s="685" t="str">
        <f>'Sannitary ware'!A20</f>
        <v>4'</v>
      </c>
      <c r="B408" s="863" t="str">
        <f>'Sannitary ware'!B20</f>
        <v xml:space="preserve">     • ก๊อกน้ำเดี่ยวอ่างล้างหน้า </v>
      </c>
      <c r="C408" s="506">
        <f>'Sannitary ware'!H20</f>
        <v>1</v>
      </c>
      <c r="D408" s="874" t="s">
        <v>15</v>
      </c>
      <c r="E408" s="920">
        <f>'Sannitary ware'!AD20</f>
        <v>0</v>
      </c>
      <c r="F408" s="660">
        <f t="shared" si="40"/>
        <v>0</v>
      </c>
      <c r="G408" s="1681"/>
      <c r="H408" s="1684"/>
      <c r="I408" s="665">
        <f t="shared" si="42"/>
        <v>0</v>
      </c>
      <c r="J408" s="660"/>
    </row>
    <row r="409" spans="1:10">
      <c r="A409" s="685" t="str">
        <f>'Sannitary ware'!A21</f>
        <v>4'</v>
      </c>
      <c r="B409" s="863" t="str">
        <f>'Sannitary ware'!B21</f>
        <v xml:space="preserve">     • ท่อน้ำทิ้งอ่างล้างหน้า </v>
      </c>
      <c r="C409" s="506">
        <f>'Sannitary ware'!H21</f>
        <v>1</v>
      </c>
      <c r="D409" s="874" t="s">
        <v>15</v>
      </c>
      <c r="E409" s="920">
        <f>'Sannitary ware'!AD21</f>
        <v>0</v>
      </c>
      <c r="F409" s="660">
        <f t="shared" si="40"/>
        <v>0</v>
      </c>
      <c r="G409" s="1681"/>
      <c r="H409" s="1684"/>
      <c r="I409" s="665">
        <f t="shared" si="42"/>
        <v>0</v>
      </c>
      <c r="J409" s="489"/>
    </row>
    <row r="410" spans="1:10">
      <c r="A410" s="685" t="str">
        <f>'Sannitary ware'!A22</f>
        <v>4'</v>
      </c>
      <c r="B410" s="863" t="str">
        <f>'Sannitary ware'!B22</f>
        <v xml:space="preserve">     • สะดืออ่างล้างหน้าแบบกด </v>
      </c>
      <c r="C410" s="506">
        <f>'Sannitary ware'!H22</f>
        <v>1</v>
      </c>
      <c r="D410" s="874" t="s">
        <v>15</v>
      </c>
      <c r="E410" s="920">
        <f>'Sannitary ware'!AD22</f>
        <v>0</v>
      </c>
      <c r="F410" s="660">
        <f t="shared" si="40"/>
        <v>0</v>
      </c>
      <c r="G410" s="1681"/>
      <c r="H410" s="1684"/>
      <c r="I410" s="665">
        <f t="shared" si="42"/>
        <v>0</v>
      </c>
      <c r="J410" s="489"/>
    </row>
    <row r="411" spans="1:10">
      <c r="A411" s="685" t="str">
        <f>'Sannitary ware'!A23</f>
        <v>4'</v>
      </c>
      <c r="B411" s="863" t="str">
        <f>'Sannitary ware'!B23</f>
        <v xml:space="preserve">     • สายน้ำดีอ่างล้างหน้าสแตนเลสถักยาว 16" </v>
      </c>
      <c r="C411" s="506">
        <f>'Sannitary ware'!H23</f>
        <v>1</v>
      </c>
      <c r="D411" s="874" t="s">
        <v>15</v>
      </c>
      <c r="E411" s="920">
        <f>'Sannitary ware'!AD23</f>
        <v>0</v>
      </c>
      <c r="F411" s="660">
        <f t="shared" si="40"/>
        <v>0</v>
      </c>
      <c r="G411" s="1681"/>
      <c r="H411" s="1684"/>
      <c r="I411" s="665">
        <f t="shared" si="42"/>
        <v>0</v>
      </c>
      <c r="J411" s="489"/>
    </row>
    <row r="412" spans="1:10">
      <c r="A412" s="685" t="str">
        <f>'Sannitary ware'!A24</f>
        <v>4'</v>
      </c>
      <c r="B412" s="863" t="str">
        <f>'Sannitary ware'!B24</f>
        <v xml:space="preserve">     • STOP VALVE 1/2" </v>
      </c>
      <c r="C412" s="506">
        <f>'Sannitary ware'!H24</f>
        <v>1</v>
      </c>
      <c r="D412" s="874" t="s">
        <v>27</v>
      </c>
      <c r="E412" s="920">
        <f>'Sannitary ware'!AD24</f>
        <v>0</v>
      </c>
      <c r="F412" s="660">
        <f t="shared" si="40"/>
        <v>0</v>
      </c>
      <c r="G412" s="1682"/>
      <c r="H412" s="1685"/>
      <c r="I412" s="665">
        <f t="shared" si="42"/>
        <v>0</v>
      </c>
      <c r="J412" s="489"/>
    </row>
    <row r="413" spans="1:10">
      <c r="A413" s="685">
        <f>'Sannitary ware'!A25</f>
        <v>5</v>
      </c>
      <c r="B413" s="863" t="str">
        <f>'Sannitary ware'!B25</f>
        <v xml:space="preserve"> - บานกระจกเงาหนา 6 มม. ขนาด 4.10  x 1.00 ม.</v>
      </c>
      <c r="C413" s="506">
        <f>'Sannitary ware'!H25</f>
        <v>1</v>
      </c>
      <c r="D413" s="505" t="s">
        <v>15</v>
      </c>
      <c r="E413" s="920">
        <f>'Sannitary ware'!AD25</f>
        <v>8827</v>
      </c>
      <c r="F413" s="660">
        <f t="shared" si="40"/>
        <v>8827</v>
      </c>
      <c r="G413" s="921">
        <f>'Sannitary ware'!AF25</f>
        <v>120</v>
      </c>
      <c r="H413" s="665">
        <f t="shared" ref="H413:H425" si="43">G413*C413</f>
        <v>120</v>
      </c>
      <c r="I413" s="665">
        <f t="shared" si="42"/>
        <v>8947</v>
      </c>
      <c r="J413" s="660"/>
    </row>
    <row r="414" spans="1:10">
      <c r="A414" s="685">
        <f>'Sannitary ware'!A26</f>
        <v>5</v>
      </c>
      <c r="B414" s="863" t="str">
        <f>'Sannitary ware'!B26</f>
        <v xml:space="preserve"> - บานกระจกเงาหนา 6 มม. ขนาด 2.90  x 1.00 ม.</v>
      </c>
      <c r="C414" s="506">
        <f>'Sannitary ware'!H26</f>
        <v>1</v>
      </c>
      <c r="D414" s="505" t="s">
        <v>15</v>
      </c>
      <c r="E414" s="920">
        <f>'Sannitary ware'!AD26</f>
        <v>6244</v>
      </c>
      <c r="F414" s="660">
        <f t="shared" si="40"/>
        <v>6244</v>
      </c>
      <c r="G414" s="921">
        <f>'Sannitary ware'!AF26</f>
        <v>120</v>
      </c>
      <c r="H414" s="665">
        <f t="shared" si="43"/>
        <v>120</v>
      </c>
      <c r="I414" s="665">
        <f t="shared" si="42"/>
        <v>6364</v>
      </c>
      <c r="J414" s="660"/>
    </row>
    <row r="415" spans="1:10">
      <c r="A415" s="685">
        <f>'Sannitary ware'!A27</f>
        <v>5</v>
      </c>
      <c r="B415" s="863" t="str">
        <f>'Sannitary ware'!B27</f>
        <v xml:space="preserve"> - บานกระจกเงาหนา 6 มม. ขนาด 3.50  x 1.00 ม.</v>
      </c>
      <c r="C415" s="506">
        <f>'Sannitary ware'!H27</f>
        <v>1</v>
      </c>
      <c r="D415" s="505" t="s">
        <v>15</v>
      </c>
      <c r="E415" s="920">
        <f>'Sannitary ware'!AD27</f>
        <v>7557</v>
      </c>
      <c r="F415" s="660">
        <f t="shared" si="40"/>
        <v>7557</v>
      </c>
      <c r="G415" s="921">
        <f>'Sannitary ware'!AF27</f>
        <v>120</v>
      </c>
      <c r="H415" s="665">
        <f t="shared" si="43"/>
        <v>120</v>
      </c>
      <c r="I415" s="665">
        <f t="shared" si="42"/>
        <v>7677</v>
      </c>
      <c r="J415" s="660"/>
    </row>
    <row r="416" spans="1:10">
      <c r="A416" s="685">
        <f>'Sannitary ware'!A28</f>
        <v>5</v>
      </c>
      <c r="B416" s="863" t="str">
        <f>'Sannitary ware'!B28</f>
        <v xml:space="preserve"> - บานกระจกเงาหนา 6 มม. ขนาด 8.70  x 1.00 ม.</v>
      </c>
      <c r="C416" s="506">
        <f>'Sannitary ware'!H28</f>
        <v>1</v>
      </c>
      <c r="D416" s="505" t="s">
        <v>15</v>
      </c>
      <c r="E416" s="920">
        <f>'Sannitary ware'!AD28</f>
        <v>18730</v>
      </c>
      <c r="F416" s="660">
        <f t="shared" si="40"/>
        <v>18730</v>
      </c>
      <c r="G416" s="921">
        <f>'Sannitary ware'!AF28</f>
        <v>120</v>
      </c>
      <c r="H416" s="665">
        <f t="shared" si="43"/>
        <v>120</v>
      </c>
      <c r="I416" s="665">
        <f t="shared" si="42"/>
        <v>18850</v>
      </c>
      <c r="J416" s="660"/>
    </row>
    <row r="417" spans="1:10">
      <c r="A417" s="685">
        <f>'Sannitary ware'!A29</f>
        <v>5</v>
      </c>
      <c r="B417" s="863" t="str">
        <f>'Sannitary ware'!B29</f>
        <v xml:space="preserve"> - บานกระจกเงาหนา 6 มม. ขนาด 0.60  x 1.00 ม. (ห้องน้ำผู้พิการ)</v>
      </c>
      <c r="C417" s="506">
        <f>'Sannitary ware'!H29</f>
        <v>1</v>
      </c>
      <c r="D417" s="505" t="s">
        <v>15</v>
      </c>
      <c r="E417" s="920">
        <f>'Sannitary ware'!AD29</f>
        <v>1292</v>
      </c>
      <c r="F417" s="660">
        <f t="shared" si="40"/>
        <v>1292</v>
      </c>
      <c r="G417" s="921">
        <f>'Sannitary ware'!AF29</f>
        <v>120</v>
      </c>
      <c r="H417" s="665">
        <f t="shared" si="43"/>
        <v>120</v>
      </c>
      <c r="I417" s="665">
        <f t="shared" si="42"/>
        <v>1412</v>
      </c>
      <c r="J417" s="660"/>
    </row>
    <row r="418" spans="1:10">
      <c r="A418" s="685">
        <f>'Sannitary ware'!A30</f>
        <v>6</v>
      </c>
      <c r="B418" s="863" t="str">
        <f>'Sannitary ware'!B30</f>
        <v xml:space="preserve"> - ราวจับตัวแอล</v>
      </c>
      <c r="C418" s="506">
        <f>'Sannitary ware'!H30</f>
        <v>2</v>
      </c>
      <c r="D418" s="505" t="s">
        <v>15</v>
      </c>
      <c r="E418" s="920">
        <f>'Sannitary ware'!AD30</f>
        <v>3600</v>
      </c>
      <c r="F418" s="660">
        <f t="shared" si="40"/>
        <v>7200</v>
      </c>
      <c r="G418" s="921">
        <f>'Sannitary ware'!AF30</f>
        <v>105</v>
      </c>
      <c r="H418" s="665">
        <f t="shared" si="43"/>
        <v>210</v>
      </c>
      <c r="I418" s="665">
        <f t="shared" si="42"/>
        <v>7410</v>
      </c>
      <c r="J418" s="660"/>
    </row>
    <row r="419" spans="1:10">
      <c r="A419" s="685" t="str">
        <f>'Sannitary ware'!A31</f>
        <v>6'</v>
      </c>
      <c r="B419" s="863" t="str">
        <f>'Sannitary ware'!B31</f>
        <v xml:space="preserve"> - ราวจับตัวที</v>
      </c>
      <c r="C419" s="506">
        <f>'Sannitary ware'!H31</f>
        <v>1</v>
      </c>
      <c r="D419" s="505" t="s">
        <v>15</v>
      </c>
      <c r="E419" s="920">
        <f>'Sannitary ware'!AD31</f>
        <v>2590</v>
      </c>
      <c r="F419" s="660">
        <f t="shared" si="40"/>
        <v>2590</v>
      </c>
      <c r="G419" s="921">
        <f>'Sannitary ware'!AF31</f>
        <v>105</v>
      </c>
      <c r="H419" s="665">
        <f t="shared" si="43"/>
        <v>105</v>
      </c>
      <c r="I419" s="665">
        <f t="shared" si="42"/>
        <v>2695</v>
      </c>
      <c r="J419" s="660"/>
    </row>
    <row r="420" spans="1:10">
      <c r="A420" s="685">
        <f>'Sannitary ware'!A32</f>
        <v>7</v>
      </c>
      <c r="B420" s="863" t="str">
        <f>'Sannitary ware'!B32</f>
        <v xml:space="preserve"> - ที่ใส่กระดาษชำระ (ห้องผู้พิการ,ห้อง VIP)</v>
      </c>
      <c r="C420" s="506">
        <f>'Sannitary ware'!H32</f>
        <v>1</v>
      </c>
      <c r="D420" s="505" t="s">
        <v>15</v>
      </c>
      <c r="E420" s="920">
        <f>'Sannitary ware'!AD32</f>
        <v>390</v>
      </c>
      <c r="F420" s="660">
        <f t="shared" si="40"/>
        <v>390</v>
      </c>
      <c r="G420" s="921">
        <f>'Sannitary ware'!AF32</f>
        <v>120</v>
      </c>
      <c r="H420" s="665">
        <f t="shared" si="43"/>
        <v>120</v>
      </c>
      <c r="I420" s="665">
        <f t="shared" si="42"/>
        <v>510</v>
      </c>
      <c r="J420" s="660"/>
    </row>
    <row r="421" spans="1:10">
      <c r="A421" s="685">
        <f>'Sannitary ware'!A33</f>
        <v>8</v>
      </c>
      <c r="B421" s="863" t="str">
        <f>'Sannitary ware'!B33</f>
        <v xml:space="preserve"> - ก๊อกล้างพื้น </v>
      </c>
      <c r="C421" s="506">
        <f>'Sannitary ware'!H33</f>
        <v>5</v>
      </c>
      <c r="D421" s="505" t="s">
        <v>15</v>
      </c>
      <c r="E421" s="920">
        <f>'Sannitary ware'!AD33</f>
        <v>125</v>
      </c>
      <c r="F421" s="660">
        <f t="shared" si="40"/>
        <v>625</v>
      </c>
      <c r="G421" s="921">
        <f>'Sannitary ware'!AF33</f>
        <v>25</v>
      </c>
      <c r="H421" s="665">
        <f t="shared" si="43"/>
        <v>125</v>
      </c>
      <c r="I421" s="665">
        <f t="shared" si="42"/>
        <v>750</v>
      </c>
      <c r="J421" s="660"/>
    </row>
    <row r="422" spans="1:10">
      <c r="A422" s="685"/>
      <c r="B422" s="863" t="str">
        <f>'Sannitary ware'!B34</f>
        <v xml:space="preserve"> - ตะแกรงระบายน้ำที่พื้น </v>
      </c>
      <c r="C422" s="506">
        <f>'Sannitary ware'!H34</f>
        <v>9</v>
      </c>
      <c r="D422" s="505" t="s">
        <v>15</v>
      </c>
      <c r="E422" s="920">
        <f>'Sannitary ware'!AD34</f>
        <v>350</v>
      </c>
      <c r="F422" s="660">
        <f t="shared" si="40"/>
        <v>3150</v>
      </c>
      <c r="G422" s="921">
        <f>'Sannitary ware'!AF34</f>
        <v>75</v>
      </c>
      <c r="H422" s="665">
        <f t="shared" si="43"/>
        <v>675</v>
      </c>
      <c r="I422" s="665">
        <f t="shared" si="42"/>
        <v>3825</v>
      </c>
      <c r="J422" s="660"/>
    </row>
    <row r="423" spans="1:10">
      <c r="A423" s="685" t="str">
        <f>'Sannitary ware'!A35</f>
        <v>P</v>
      </c>
      <c r="B423" s="863" t="str">
        <f>'Sannitary ware'!B35</f>
        <v xml:space="preserve"> - ชุดผนังห้องน้ำสำเร็จรูป </v>
      </c>
      <c r="C423" s="506">
        <f>'Sannitary ware'!H35</f>
        <v>23</v>
      </c>
      <c r="D423" s="505" t="s">
        <v>15</v>
      </c>
      <c r="E423" s="920">
        <f>'Sannitary ware'!AD35</f>
        <v>12600</v>
      </c>
      <c r="F423" s="660">
        <f t="shared" si="40"/>
        <v>289800</v>
      </c>
      <c r="G423" s="921">
        <f>'Sannitary ware'!AF35</f>
        <v>1250</v>
      </c>
      <c r="H423" s="665">
        <f t="shared" si="43"/>
        <v>28750</v>
      </c>
      <c r="I423" s="665">
        <f t="shared" si="42"/>
        <v>318550</v>
      </c>
      <c r="J423" s="660"/>
    </row>
    <row r="424" spans="1:10">
      <c r="A424" s="685"/>
      <c r="B424" s="863" t="str">
        <f>'Sannitary ware'!B37</f>
        <v xml:space="preserve"> - TOP หินแกรนิตสีดำ</v>
      </c>
      <c r="C424" s="506">
        <f>'Sannitary ware'!H37</f>
        <v>26</v>
      </c>
      <c r="D424" s="505" t="s">
        <v>16</v>
      </c>
      <c r="E424" s="920">
        <f>'Sannitary ware'!AD37</f>
        <v>2500</v>
      </c>
      <c r="F424" s="660">
        <f t="shared" si="40"/>
        <v>65000</v>
      </c>
      <c r="G424" s="921">
        <f>'Sannitary ware'!AF37</f>
        <v>250</v>
      </c>
      <c r="H424" s="665">
        <f t="shared" si="43"/>
        <v>6500</v>
      </c>
      <c r="I424" s="665">
        <f t="shared" si="42"/>
        <v>71500</v>
      </c>
      <c r="J424" s="660"/>
    </row>
    <row r="425" spans="1:10">
      <c r="A425" s="685"/>
      <c r="B425" s="863" t="str">
        <f>'Sannitary ware'!B38</f>
        <v xml:space="preserve"> - งานหล่อเคาน์เตอร์</v>
      </c>
      <c r="C425" s="506">
        <f>'Sannitary ware'!H38</f>
        <v>22</v>
      </c>
      <c r="D425" s="874" t="s">
        <v>14</v>
      </c>
      <c r="E425" s="920">
        <f>'Sannitary ware'!AD38</f>
        <v>0</v>
      </c>
      <c r="F425" s="660">
        <f t="shared" si="40"/>
        <v>0</v>
      </c>
      <c r="G425" s="921">
        <v>160</v>
      </c>
      <c r="H425" s="665">
        <f t="shared" si="43"/>
        <v>3520</v>
      </c>
      <c r="I425" s="665">
        <f t="shared" si="42"/>
        <v>3520</v>
      </c>
      <c r="J425" s="660"/>
    </row>
    <row r="426" spans="1:10">
      <c r="A426" s="661"/>
      <c r="B426" s="863" t="s">
        <v>453</v>
      </c>
      <c r="C426" s="923">
        <f>ROUNDUP((((0.6*C425*0.12)*2400)/393),0)</f>
        <v>10</v>
      </c>
      <c r="D426" s="505" t="s">
        <v>42</v>
      </c>
      <c r="E426" s="489">
        <v>135</v>
      </c>
      <c r="F426" s="660">
        <f t="shared" si="40"/>
        <v>1350</v>
      </c>
      <c r="G426" s="672">
        <v>0</v>
      </c>
      <c r="H426" s="660">
        <f t="shared" ref="H426:H431" si="44">G426*C426</f>
        <v>0</v>
      </c>
      <c r="I426" s="665">
        <f t="shared" si="42"/>
        <v>1350</v>
      </c>
      <c r="J426" s="660"/>
    </row>
    <row r="427" spans="1:10">
      <c r="A427" s="661"/>
      <c r="B427" s="863" t="s">
        <v>454</v>
      </c>
      <c r="C427" s="923">
        <f>ROUNDUP((((0.6*C426*0.12)*1450)/653),0)</f>
        <v>2</v>
      </c>
      <c r="D427" s="505" t="s">
        <v>43</v>
      </c>
      <c r="E427" s="489">
        <v>450</v>
      </c>
      <c r="F427" s="660">
        <f t="shared" si="40"/>
        <v>900</v>
      </c>
      <c r="G427" s="672">
        <v>0</v>
      </c>
      <c r="H427" s="660">
        <f t="shared" si="44"/>
        <v>0</v>
      </c>
      <c r="I427" s="665">
        <f t="shared" si="42"/>
        <v>900</v>
      </c>
      <c r="J427" s="660"/>
    </row>
    <row r="428" spans="1:10">
      <c r="A428" s="661"/>
      <c r="B428" s="863" t="s">
        <v>455</v>
      </c>
      <c r="C428" s="521">
        <f>C427</f>
        <v>2</v>
      </c>
      <c r="D428" s="505" t="s">
        <v>43</v>
      </c>
      <c r="E428" s="489">
        <v>460</v>
      </c>
      <c r="F428" s="660">
        <f t="shared" si="40"/>
        <v>920</v>
      </c>
      <c r="G428" s="672">
        <v>0</v>
      </c>
      <c r="H428" s="660">
        <f t="shared" si="44"/>
        <v>0</v>
      </c>
      <c r="I428" s="665">
        <f t="shared" si="42"/>
        <v>920</v>
      </c>
      <c r="J428" s="489"/>
    </row>
    <row r="429" spans="1:10">
      <c r="A429" s="661"/>
      <c r="B429" s="863" t="s">
        <v>456</v>
      </c>
      <c r="C429" s="920">
        <f>ROUNDUP((((0.6*(C425/0.15))*2)+((C425*(0.6/0.15)*2))*0.499),0)</f>
        <v>264</v>
      </c>
      <c r="D429" s="505" t="s">
        <v>19</v>
      </c>
      <c r="E429" s="489">
        <v>21.38</v>
      </c>
      <c r="F429" s="660">
        <f t="shared" si="40"/>
        <v>5644.32</v>
      </c>
      <c r="G429" s="672">
        <v>0</v>
      </c>
      <c r="H429" s="660">
        <f t="shared" si="44"/>
        <v>0</v>
      </c>
      <c r="I429" s="665">
        <f t="shared" si="42"/>
        <v>5644.32</v>
      </c>
      <c r="J429" s="489"/>
    </row>
    <row r="430" spans="1:10">
      <c r="A430" s="661"/>
      <c r="B430" s="863" t="s">
        <v>457</v>
      </c>
      <c r="C430" s="521">
        <f>(0.6*C425*0.2)</f>
        <v>2.64</v>
      </c>
      <c r="D430" s="874" t="s">
        <v>16</v>
      </c>
      <c r="E430" s="489">
        <v>400</v>
      </c>
      <c r="F430" s="660">
        <f t="shared" si="40"/>
        <v>1056</v>
      </c>
      <c r="G430" s="672">
        <v>0</v>
      </c>
      <c r="H430" s="660">
        <f t="shared" si="44"/>
        <v>0</v>
      </c>
      <c r="I430" s="665">
        <f t="shared" si="42"/>
        <v>1056</v>
      </c>
      <c r="J430" s="489"/>
    </row>
    <row r="431" spans="1:10">
      <c r="A431" s="661"/>
      <c r="B431" s="662" t="s">
        <v>1056</v>
      </c>
      <c r="C431" s="506">
        <v>1</v>
      </c>
      <c r="D431" s="505" t="s">
        <v>44</v>
      </c>
      <c r="E431" s="489">
        <f>SUM(F394:F430)*30%</f>
        <v>208768.59599999999</v>
      </c>
      <c r="F431" s="660">
        <f t="shared" si="40"/>
        <v>208768.59599999999</v>
      </c>
      <c r="G431" s="672">
        <v>0</v>
      </c>
      <c r="H431" s="660">
        <f t="shared" si="44"/>
        <v>0</v>
      </c>
      <c r="I431" s="665">
        <f t="shared" si="42"/>
        <v>208768.59599999999</v>
      </c>
      <c r="J431" s="489"/>
    </row>
    <row r="432" spans="1:10">
      <c r="A432" s="661" t="s">
        <v>1396</v>
      </c>
      <c r="B432" s="785" t="s">
        <v>47</v>
      </c>
      <c r="C432" s="506"/>
      <c r="D432" s="505"/>
      <c r="E432" s="489"/>
      <c r="F432" s="660"/>
      <c r="G432" s="672"/>
      <c r="H432" s="665"/>
      <c r="I432" s="665"/>
      <c r="J432" s="489"/>
    </row>
    <row r="433" spans="1:10">
      <c r="A433" s="661"/>
      <c r="B433" s="785" t="s">
        <v>48</v>
      </c>
      <c r="C433" s="506"/>
      <c r="D433" s="505"/>
      <c r="E433" s="489"/>
      <c r="F433" s="660"/>
      <c r="G433" s="672"/>
      <c r="H433" s="665"/>
      <c r="I433" s="665"/>
      <c r="J433" s="489"/>
    </row>
    <row r="434" spans="1:10" ht="48">
      <c r="A434" s="661"/>
      <c r="B434" s="924" t="str">
        <f>'Architecture '!DV14</f>
        <v xml:space="preserve"> - A.D1 ประตูบานเปิดสวิงคู่พร้อมช่องแสงติดตาย วงกบ 2"x4" อบสีดำ ลูกฟัก กระจกลามิเนตเขียวใสตัดแสง 6 มม. ขนาด 4.15 x 2.85 มม.</v>
      </c>
      <c r="C434" s="867">
        <f>'Architecture '!DP14</f>
        <v>1</v>
      </c>
      <c r="D434" s="744" t="s">
        <v>15</v>
      </c>
      <c r="E434" s="527">
        <f>'Architecture '!DX14</f>
        <v>47310</v>
      </c>
      <c r="F434" s="668">
        <f t="shared" ref="F434:F458" si="45">E434*C434</f>
        <v>47310</v>
      </c>
      <c r="G434" s="669">
        <v>0</v>
      </c>
      <c r="H434" s="668">
        <f t="shared" ref="H434:H446" si="46">G434*C434</f>
        <v>0</v>
      </c>
      <c r="I434" s="670">
        <f t="shared" ref="I434:I458" si="47">H434+F434</f>
        <v>47310</v>
      </c>
      <c r="J434" s="489"/>
    </row>
    <row r="435" spans="1:10" ht="48">
      <c r="A435" s="661"/>
      <c r="B435" s="924" t="str">
        <f>'Architecture '!DV15</f>
        <v xml:space="preserve"> - A.D2 ประตูบานเปิดสวิงคู่พร้อมช่องแสงติดตาย วงกบ 2"x4" อบสีดำ ลูกฟัก กระจกลามิเนตใสตัดแสง 6 มม. ขนาด 5.40 x 2.85 มม.</v>
      </c>
      <c r="C435" s="867">
        <f>'Architecture '!DP15</f>
        <v>3</v>
      </c>
      <c r="D435" s="744" t="s">
        <v>15</v>
      </c>
      <c r="E435" s="527">
        <f>'Architecture '!DX15</f>
        <v>61560</v>
      </c>
      <c r="F435" s="668">
        <f t="shared" si="45"/>
        <v>184680</v>
      </c>
      <c r="G435" s="669">
        <v>0</v>
      </c>
      <c r="H435" s="668">
        <f t="shared" si="46"/>
        <v>0</v>
      </c>
      <c r="I435" s="670">
        <f t="shared" si="47"/>
        <v>184680</v>
      </c>
      <c r="J435" s="489"/>
    </row>
    <row r="436" spans="1:10" ht="48">
      <c r="A436" s="661"/>
      <c r="B436" s="924" t="str">
        <f>'Architecture '!DV16</f>
        <v xml:space="preserve"> - A.D3 ประตูบานเปิดสวิงคู่พร้อมช่องแสงติดตาย วงกบ 2"x4" อบสีดำ ลูกฟัก กระจกลามิเนตใสตัดแสง 6 มม. ขนาด 5.40 x 2.85 มม.</v>
      </c>
      <c r="C436" s="867">
        <f>'Architecture '!DP16</f>
        <v>1</v>
      </c>
      <c r="D436" s="744" t="s">
        <v>15</v>
      </c>
      <c r="E436" s="527">
        <f>'Architecture '!DX16</f>
        <v>61560</v>
      </c>
      <c r="F436" s="668">
        <f t="shared" si="45"/>
        <v>61560</v>
      </c>
      <c r="G436" s="669">
        <v>0</v>
      </c>
      <c r="H436" s="668">
        <f t="shared" si="46"/>
        <v>0</v>
      </c>
      <c r="I436" s="670">
        <f t="shared" si="47"/>
        <v>61560</v>
      </c>
      <c r="J436" s="489"/>
    </row>
    <row r="437" spans="1:10" ht="48">
      <c r="A437" s="661"/>
      <c r="B437" s="924" t="str">
        <f>'Architecture '!DV17</f>
        <v xml:space="preserve"> - A.D4 ประตูบานเปิดสวิงคู่พร้อมช่องแสงติดตาย วงกบ 2"x4" อบสีดำ ลูกฟัก กระจกลามิเนตใสตัดแสง 6 มม. ขนาด 2.10 x 2.85 มม.</v>
      </c>
      <c r="C437" s="867">
        <f>'Architecture '!DP17</f>
        <v>1</v>
      </c>
      <c r="D437" s="744" t="s">
        <v>15</v>
      </c>
      <c r="E437" s="527">
        <f>'Architecture '!DX17</f>
        <v>23940</v>
      </c>
      <c r="F437" s="668">
        <f t="shared" si="45"/>
        <v>23940</v>
      </c>
      <c r="G437" s="669">
        <v>0</v>
      </c>
      <c r="H437" s="668">
        <f t="shared" si="46"/>
        <v>0</v>
      </c>
      <c r="I437" s="670">
        <f t="shared" si="47"/>
        <v>23940</v>
      </c>
      <c r="J437" s="489"/>
    </row>
    <row r="438" spans="1:10" ht="48">
      <c r="A438" s="661"/>
      <c r="B438" s="924" t="str">
        <f>'Architecture '!DV18</f>
        <v xml:space="preserve"> - A.D5 ประตูบานเปิดเดี่ยวพร้อมเกล็ดระบายอากาศด้านล่าง วงกบ ขนาด 2"x5" ทำสีตามตัวอย่าง ขนาด 0.80 x 2.05 มม.</v>
      </c>
      <c r="C438" s="867">
        <f>'Architecture '!DP18</f>
        <v>1</v>
      </c>
      <c r="D438" s="744" t="s">
        <v>15</v>
      </c>
      <c r="E438" s="527">
        <f>'Architecture '!DX18</f>
        <v>8200</v>
      </c>
      <c r="F438" s="668">
        <f t="shared" si="45"/>
        <v>8200</v>
      </c>
      <c r="G438" s="669">
        <v>800</v>
      </c>
      <c r="H438" s="668">
        <f t="shared" si="46"/>
        <v>800</v>
      </c>
      <c r="I438" s="670">
        <f t="shared" si="47"/>
        <v>9000</v>
      </c>
      <c r="J438" s="489"/>
    </row>
    <row r="439" spans="1:10" ht="48">
      <c r="A439" s="661"/>
      <c r="B439" s="924" t="str">
        <f>'Architecture '!DV19</f>
        <v xml:space="preserve"> - A.D6 ประตูบานเปิดคู่พร้อมช่องแสงติดตาย วงกบ ขนาด 2"x4" ทำสีตามตัวอย่าง ลูกฟัก กระจกลามิเนตใสตัดแสง 6 มม. ขนาด 2.10 x 2.85 มม.</v>
      </c>
      <c r="C439" s="867">
        <f>'Architecture '!DP19</f>
        <v>2</v>
      </c>
      <c r="D439" s="744" t="s">
        <v>15</v>
      </c>
      <c r="E439" s="527">
        <f>'Architecture '!DX19</f>
        <v>17955</v>
      </c>
      <c r="F439" s="668">
        <f t="shared" si="45"/>
        <v>35910</v>
      </c>
      <c r="G439" s="669">
        <v>1200</v>
      </c>
      <c r="H439" s="668">
        <f t="shared" si="46"/>
        <v>2400</v>
      </c>
      <c r="I439" s="670">
        <f t="shared" si="47"/>
        <v>38310</v>
      </c>
      <c r="J439" s="489"/>
    </row>
    <row r="440" spans="1:10" ht="48">
      <c r="A440" s="661"/>
      <c r="B440" s="924" t="str">
        <f>'Architecture '!DV21</f>
        <v xml:space="preserve"> - A.D7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1.90 x 2.05 มม.</v>
      </c>
      <c r="C440" s="867">
        <f>'Architecture '!DP21</f>
        <v>2</v>
      </c>
      <c r="D440" s="744" t="s">
        <v>15</v>
      </c>
      <c r="E440" s="527">
        <f>'Architecture '!DX21</f>
        <v>19475</v>
      </c>
      <c r="F440" s="668">
        <f t="shared" si="45"/>
        <v>38950</v>
      </c>
      <c r="G440" s="669">
        <v>1500</v>
      </c>
      <c r="H440" s="668">
        <f t="shared" si="46"/>
        <v>3000</v>
      </c>
      <c r="I440" s="670">
        <f t="shared" si="47"/>
        <v>41950</v>
      </c>
      <c r="J440" s="489"/>
    </row>
    <row r="441" spans="1:10" ht="48">
      <c r="A441" s="661"/>
      <c r="B441" s="924" t="str">
        <f>'Architecture '!DV22</f>
        <v xml:space="preserve"> - A.D8 ประตูบานเปิดสวิงคู่พร้อมช่องแสงติดตาย วงกบ 2"x4" อบสีดำ ลูกฟัก กระจกลามิเนตเขียวใสตัดแสง 6 มม. ขนาด 7.40 x 2.85 มม.</v>
      </c>
      <c r="C441" s="867">
        <f>'Architecture '!DP22</f>
        <v>1</v>
      </c>
      <c r="D441" s="744" t="s">
        <v>15</v>
      </c>
      <c r="E441" s="527">
        <f>'Architecture '!DX22</f>
        <v>84360</v>
      </c>
      <c r="F441" s="668">
        <f t="shared" si="45"/>
        <v>84360</v>
      </c>
      <c r="G441" s="669">
        <v>0</v>
      </c>
      <c r="H441" s="668">
        <f t="shared" si="46"/>
        <v>0</v>
      </c>
      <c r="I441" s="670">
        <f t="shared" si="47"/>
        <v>84360</v>
      </c>
      <c r="J441" s="489"/>
    </row>
    <row r="442" spans="1:10" ht="48">
      <c r="A442" s="661"/>
      <c r="B442" s="924" t="str">
        <f>'Architecture '!DV23</f>
        <v xml:space="preserve"> - A.D9 ประตูบานเปิดสวิงคู่พร้อมช่องแสงติดตาย วงกบ 2"x4" อบสีดำ ลูกฟัก กระจกลามิเนตใสตัดแสง 6 มม. ขนาด 2.10 x 2.50 มม.</v>
      </c>
      <c r="C442" s="867">
        <f>'Architecture '!DP23</f>
        <v>2</v>
      </c>
      <c r="D442" s="744" t="s">
        <v>15</v>
      </c>
      <c r="E442" s="527">
        <f>'Architecture '!DX23</f>
        <v>23940</v>
      </c>
      <c r="F442" s="668">
        <f t="shared" si="45"/>
        <v>47880</v>
      </c>
      <c r="G442" s="669">
        <v>0</v>
      </c>
      <c r="H442" s="668">
        <f t="shared" si="46"/>
        <v>0</v>
      </c>
      <c r="I442" s="670">
        <f t="shared" si="47"/>
        <v>47880</v>
      </c>
      <c r="J442" s="489"/>
    </row>
    <row r="443" spans="1:10" ht="48">
      <c r="A443" s="661"/>
      <c r="B443" s="924" t="str">
        <f>'Architecture '!DV25</f>
        <v xml:space="preserve"> - A.D10 ประตูบานเปิดคู่สวิง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443" s="867">
        <f>'Architecture '!DP25</f>
        <v>1</v>
      </c>
      <c r="D443" s="744" t="s">
        <v>15</v>
      </c>
      <c r="E443" s="527">
        <f>'Architecture '!DX25</f>
        <v>20295</v>
      </c>
      <c r="F443" s="668">
        <f t="shared" si="45"/>
        <v>20295</v>
      </c>
      <c r="G443" s="669">
        <v>1500</v>
      </c>
      <c r="H443" s="668">
        <f t="shared" si="46"/>
        <v>1500</v>
      </c>
      <c r="I443" s="670">
        <f t="shared" si="47"/>
        <v>21795</v>
      </c>
      <c r="J443" s="489"/>
    </row>
    <row r="444" spans="1:10" ht="48">
      <c r="A444" s="661"/>
      <c r="B444" s="924" t="str">
        <f>'Architecture '!DV26</f>
        <v xml:space="preserve"> - A.D11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444" s="867">
        <f>'Architecture '!DP26</f>
        <v>4</v>
      </c>
      <c r="D444" s="744" t="s">
        <v>15</v>
      </c>
      <c r="E444" s="527">
        <f>'Architecture '!DX26</f>
        <v>13750</v>
      </c>
      <c r="F444" s="668">
        <f t="shared" si="45"/>
        <v>55000</v>
      </c>
      <c r="G444" s="669">
        <v>1000</v>
      </c>
      <c r="H444" s="668">
        <f t="shared" si="46"/>
        <v>4000</v>
      </c>
      <c r="I444" s="670">
        <f t="shared" si="47"/>
        <v>59000</v>
      </c>
      <c r="J444" s="489"/>
    </row>
    <row r="445" spans="1:10">
      <c r="A445" s="661"/>
      <c r="B445" s="925" t="str">
        <f>'Architecture '!DV27</f>
        <v xml:space="preserve"> - A.D12 ประตูบานเลื่อนสำเร็จรูป สีเทา (หรือเทียบเท่า) ขนาด 1.00 x 2.50 มม.</v>
      </c>
      <c r="C445" s="867">
        <f>'Architecture '!DP27</f>
        <v>1</v>
      </c>
      <c r="D445" s="744" t="s">
        <v>15</v>
      </c>
      <c r="E445" s="527">
        <f>'Architecture '!DX27</f>
        <v>14500</v>
      </c>
      <c r="F445" s="668">
        <f t="shared" si="45"/>
        <v>14500</v>
      </c>
      <c r="G445" s="669">
        <v>0</v>
      </c>
      <c r="H445" s="668">
        <f t="shared" si="46"/>
        <v>0</v>
      </c>
      <c r="I445" s="670">
        <f t="shared" si="47"/>
        <v>14500</v>
      </c>
      <c r="J445" s="489"/>
    </row>
    <row r="446" spans="1:10" ht="48">
      <c r="A446" s="661"/>
      <c r="B446" s="924" t="str">
        <f>'Architecture '!DV28</f>
        <v xml:space="preserve"> - A.D13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446" s="867">
        <f>'Architecture '!DP28</f>
        <v>1</v>
      </c>
      <c r="D446" s="744" t="s">
        <v>15</v>
      </c>
      <c r="E446" s="527">
        <f>'Architecture '!DX28</f>
        <v>13530</v>
      </c>
      <c r="F446" s="668">
        <f t="shared" si="45"/>
        <v>13530</v>
      </c>
      <c r="G446" s="669">
        <v>1500</v>
      </c>
      <c r="H446" s="668">
        <f t="shared" si="46"/>
        <v>1500</v>
      </c>
      <c r="I446" s="670">
        <f t="shared" si="47"/>
        <v>15030</v>
      </c>
      <c r="J446" s="489"/>
    </row>
    <row r="447" spans="1:10">
      <c r="A447" s="661"/>
      <c r="B447" s="785" t="s">
        <v>49</v>
      </c>
      <c r="C447" s="867"/>
      <c r="D447" s="744"/>
      <c r="E447" s="527"/>
      <c r="F447" s="668"/>
      <c r="G447" s="669"/>
      <c r="H447" s="670"/>
      <c r="I447" s="670"/>
      <c r="J447" s="489"/>
    </row>
    <row r="448" spans="1:10" ht="48">
      <c r="A448" s="661"/>
      <c r="B448" s="924" t="str">
        <f>'Architecture '!DV40</f>
        <v xml:space="preserve"> - A.W1.1 หน้าต่างบานเปิดพร้อมช่องแสงติดตาย วงกบ 2"x4" อบสีดำ ลูกฟัก กระจกลามิเนตเขียวใสตัดแสง 6 มม. ขนาด 5.10 x 3.75 มม.</v>
      </c>
      <c r="C448" s="867">
        <f>'Architecture '!DP40</f>
        <v>14</v>
      </c>
      <c r="D448" s="744" t="s">
        <v>15</v>
      </c>
      <c r="E448" s="527">
        <f>'Architecture '!DX40</f>
        <v>57375</v>
      </c>
      <c r="F448" s="668">
        <f t="shared" si="45"/>
        <v>803250</v>
      </c>
      <c r="G448" s="669">
        <v>0</v>
      </c>
      <c r="H448" s="668">
        <f t="shared" ref="H448:H459" si="48">G448*C448</f>
        <v>0</v>
      </c>
      <c r="I448" s="670">
        <f t="shared" si="47"/>
        <v>803250</v>
      </c>
      <c r="J448" s="489"/>
    </row>
    <row r="449" spans="1:10" ht="48">
      <c r="A449" s="661"/>
      <c r="B449" s="924" t="str">
        <f>'Architecture '!DV41</f>
        <v xml:space="preserve"> - A.W2 ช่องแสงติดตาย วงกบ 2"x4" อบสีดำ ลูกฟัก กระจกลามิเนตเขียวใสตัดแสง 6 มม. ขนาด 5.40 x 2.35 มม.</v>
      </c>
      <c r="C449" s="867">
        <f>'Architecture '!DP41</f>
        <v>5</v>
      </c>
      <c r="D449" s="744" t="s">
        <v>15</v>
      </c>
      <c r="E449" s="527">
        <f>'Architecture '!DX41</f>
        <v>38070</v>
      </c>
      <c r="F449" s="668">
        <f t="shared" si="45"/>
        <v>190350</v>
      </c>
      <c r="G449" s="669">
        <v>0</v>
      </c>
      <c r="H449" s="668">
        <f t="shared" si="48"/>
        <v>0</v>
      </c>
      <c r="I449" s="670">
        <f t="shared" si="47"/>
        <v>190350</v>
      </c>
      <c r="J449" s="489"/>
    </row>
    <row r="450" spans="1:10" ht="48">
      <c r="A450" s="661"/>
      <c r="B450" s="924" t="str">
        <f>'Architecture '!DV42</f>
        <v xml:space="preserve"> - A.W3 ช่องแสงติดตาย วงกบ 2"x4" อบสีดำ ลูกฟัก กระจกลามิเนตเขียวใสตัดแสง 6 มม. ขนาด 2.60 x 2.35 มม.</v>
      </c>
      <c r="C450" s="867">
        <f>'Architecture '!DP42</f>
        <v>1</v>
      </c>
      <c r="D450" s="744" t="s">
        <v>15</v>
      </c>
      <c r="E450" s="527">
        <f>'Architecture '!DX42</f>
        <v>18330</v>
      </c>
      <c r="F450" s="668">
        <f t="shared" si="45"/>
        <v>18330</v>
      </c>
      <c r="G450" s="669">
        <v>0</v>
      </c>
      <c r="H450" s="668">
        <f t="shared" si="48"/>
        <v>0</v>
      </c>
      <c r="I450" s="670">
        <f t="shared" si="47"/>
        <v>18330</v>
      </c>
      <c r="J450" s="489"/>
    </row>
    <row r="451" spans="1:10" ht="48">
      <c r="A451" s="661"/>
      <c r="B451" s="924" t="str">
        <f>'Architecture '!DV43</f>
        <v xml:space="preserve"> - A.W4 หน้าต่างบานกระทุ้งพร้อมช่องแสงติดตาย วงกบ 2"x4" อบสีดำ ลูกฟัก กระจกลามิเนตเขียวใสตัดแสง 6 มม. ขนาด 5.10 x 0.50 มม.</v>
      </c>
      <c r="C451" s="867">
        <f>'Architecture '!DP43</f>
        <v>2</v>
      </c>
      <c r="D451" s="744" t="s">
        <v>15</v>
      </c>
      <c r="E451" s="527">
        <f>'Architecture '!DX43</f>
        <v>7650</v>
      </c>
      <c r="F451" s="668">
        <f t="shared" si="45"/>
        <v>15300</v>
      </c>
      <c r="G451" s="669">
        <v>0</v>
      </c>
      <c r="H451" s="668">
        <f t="shared" si="48"/>
        <v>0</v>
      </c>
      <c r="I451" s="670">
        <f t="shared" si="47"/>
        <v>15300</v>
      </c>
      <c r="J451" s="489"/>
    </row>
    <row r="452" spans="1:10" ht="48">
      <c r="A452" s="504"/>
      <c r="B452" s="924" t="str">
        <f>'Architecture '!DV46</f>
        <v xml:space="preserve"> - A.W5.1 หน้าต่างบานกระทุ้งพร้อมช่องแสงติดตาย วงกบ 2"x4" ลูกฟัก กระจกลามิเนตเขียวใสตัดแสง 6 มม. ขนาด 1.75 x 3.75 มม.</v>
      </c>
      <c r="C452" s="867">
        <f>'Architecture '!DP46</f>
        <v>1</v>
      </c>
      <c r="D452" s="744" t="s">
        <v>15</v>
      </c>
      <c r="E452" s="527">
        <f>'Architecture '!DX46</f>
        <v>19687.5</v>
      </c>
      <c r="F452" s="668">
        <f t="shared" si="45"/>
        <v>19687.5</v>
      </c>
      <c r="G452" s="669">
        <v>0</v>
      </c>
      <c r="H452" s="668">
        <f t="shared" si="48"/>
        <v>0</v>
      </c>
      <c r="I452" s="670">
        <f t="shared" si="47"/>
        <v>19687.5</v>
      </c>
      <c r="J452" s="489"/>
    </row>
    <row r="453" spans="1:10" ht="48">
      <c r="A453" s="504"/>
      <c r="B453" s="924" t="str">
        <f>'Architecture '!DV47</f>
        <v xml:space="preserve"> - A.W6 ช่องแสงติดตายบานสลับ วงกบ 2"x4" อบสีดำ ลูกฟัก กระจกฝ้า 6 มม. ขนาด 2.30 x 0.65 มม.</v>
      </c>
      <c r="C453" s="867">
        <f>'Architecture '!DP47</f>
        <v>6</v>
      </c>
      <c r="D453" s="744" t="s">
        <v>15</v>
      </c>
      <c r="E453" s="527">
        <f>'Architecture '!DX47</f>
        <v>4485</v>
      </c>
      <c r="F453" s="668">
        <f t="shared" si="45"/>
        <v>26910</v>
      </c>
      <c r="G453" s="669">
        <v>0</v>
      </c>
      <c r="H453" s="668">
        <f t="shared" si="48"/>
        <v>0</v>
      </c>
      <c r="I453" s="670">
        <f t="shared" si="47"/>
        <v>26910</v>
      </c>
      <c r="J453" s="489"/>
    </row>
    <row r="454" spans="1:10" ht="48">
      <c r="A454" s="504"/>
      <c r="B454" s="924" t="str">
        <f>'Architecture '!DV49</f>
        <v xml:space="preserve"> - A.W7 ช่องแสงติดตายบานสลับ วงกบ 2"x4" อบสีดำ ลูกฟัก กระจกฝ้า 6 มม. ขนาด 1.70 x 0.65 มม.</v>
      </c>
      <c r="C454" s="867">
        <f>'Architecture '!DP49</f>
        <v>1</v>
      </c>
      <c r="D454" s="744" t="s">
        <v>15</v>
      </c>
      <c r="E454" s="527">
        <f>'Architecture '!DX49</f>
        <v>3315</v>
      </c>
      <c r="F454" s="668">
        <f t="shared" si="45"/>
        <v>3315</v>
      </c>
      <c r="G454" s="669">
        <v>0</v>
      </c>
      <c r="H454" s="668">
        <f t="shared" si="48"/>
        <v>0</v>
      </c>
      <c r="I454" s="670">
        <f t="shared" si="47"/>
        <v>3315</v>
      </c>
      <c r="J454" s="489"/>
    </row>
    <row r="455" spans="1:10" ht="48">
      <c r="A455" s="504"/>
      <c r="B455" s="924" t="str">
        <f>'Architecture '!DV53</f>
        <v xml:space="preserve"> - A.W10 หน้าต่างบานเปิดพร้อมช่องแสงติดตาย วงกบ 2"x4" อบสีดำ ลูกฟัก กระจกลามิเนตเขียวใสตัดแสง 6 มม. ขนาด 1.90 x 3.75 มม.</v>
      </c>
      <c r="C455" s="867">
        <f>'Architecture '!DP53</f>
        <v>1</v>
      </c>
      <c r="D455" s="744" t="s">
        <v>15</v>
      </c>
      <c r="E455" s="527">
        <f>'Architecture '!DX53</f>
        <v>21375</v>
      </c>
      <c r="F455" s="668">
        <f t="shared" si="45"/>
        <v>21375</v>
      </c>
      <c r="G455" s="669">
        <v>0</v>
      </c>
      <c r="H455" s="668">
        <f t="shared" si="48"/>
        <v>0</v>
      </c>
      <c r="I455" s="670">
        <f t="shared" si="47"/>
        <v>21375</v>
      </c>
      <c r="J455" s="489"/>
    </row>
    <row r="456" spans="1:10" ht="48">
      <c r="A456" s="504"/>
      <c r="B456" s="924" t="str">
        <f>'Architecture '!DV57</f>
        <v xml:space="preserve"> - A.W12 ช่องแสงติดตาย วงกบ 2"x4" อบสีดำ ลูกฟัก กระจกลามิเนตใส 6 มม. ขนาด 7.50 x 2.85 มม.</v>
      </c>
      <c r="C456" s="867">
        <f>'Architecture '!DP57</f>
        <v>1</v>
      </c>
      <c r="D456" s="744" t="s">
        <v>15</v>
      </c>
      <c r="E456" s="527">
        <f>'Architecture '!DX57</f>
        <v>64125</v>
      </c>
      <c r="F456" s="668">
        <f t="shared" si="45"/>
        <v>64125</v>
      </c>
      <c r="G456" s="669">
        <v>0</v>
      </c>
      <c r="H456" s="668">
        <f t="shared" si="48"/>
        <v>0</v>
      </c>
      <c r="I456" s="670">
        <f t="shared" si="47"/>
        <v>64125</v>
      </c>
      <c r="J456" s="489"/>
    </row>
    <row r="457" spans="1:10" ht="48">
      <c r="A457" s="504"/>
      <c r="B457" s="924" t="str">
        <f>'Architecture '!DV60</f>
        <v xml:space="preserve"> - A.W15 หน้าต่างบานเปิดพร้อมช่องแสงติดตาย วงกบ 2"x4" อบสีดำ ลูกฟัก กระจกลามิเนตเขียวใสตัดแสง 6 มม. ขนาด 7.40 x 2.10 มม.</v>
      </c>
      <c r="C457" s="867">
        <f>'Architecture '!DP60</f>
        <v>1</v>
      </c>
      <c r="D457" s="744" t="s">
        <v>15</v>
      </c>
      <c r="E457" s="527">
        <f>'Architecture '!DX60</f>
        <v>46620</v>
      </c>
      <c r="F457" s="668">
        <f t="shared" si="45"/>
        <v>46620</v>
      </c>
      <c r="G457" s="669">
        <v>0</v>
      </c>
      <c r="H457" s="668">
        <f t="shared" si="48"/>
        <v>0</v>
      </c>
      <c r="I457" s="670">
        <f t="shared" si="47"/>
        <v>46620</v>
      </c>
      <c r="J457" s="489"/>
    </row>
    <row r="458" spans="1:10" ht="48">
      <c r="A458" s="504"/>
      <c r="B458" s="924" t="str">
        <f>'Architecture '!DV61</f>
        <v xml:space="preserve"> - A.W16 ช่องแสงติดตาย วงกบ 2"x4" อบสีดำ ลูกฟัก กระจกลามิเนตใส 6 มม. ขนาด 7.20 x 2.35 มม.</v>
      </c>
      <c r="C458" s="867">
        <f>'Architecture '!DP61</f>
        <v>1</v>
      </c>
      <c r="D458" s="744" t="s">
        <v>15</v>
      </c>
      <c r="E458" s="527">
        <f>'Architecture '!DX61</f>
        <v>50760.000000000007</v>
      </c>
      <c r="F458" s="668">
        <f t="shared" si="45"/>
        <v>50760.000000000007</v>
      </c>
      <c r="G458" s="669">
        <v>0</v>
      </c>
      <c r="H458" s="668">
        <f t="shared" si="48"/>
        <v>0</v>
      </c>
      <c r="I458" s="670">
        <f t="shared" si="47"/>
        <v>50760.000000000007</v>
      </c>
      <c r="J458" s="489"/>
    </row>
    <row r="459" spans="1:10">
      <c r="A459" s="504"/>
      <c r="B459" s="662" t="s">
        <v>1056</v>
      </c>
      <c r="C459" s="498">
        <v>1</v>
      </c>
      <c r="D459" s="499" t="s">
        <v>44</v>
      </c>
      <c r="E459" s="500">
        <f>SUM(F433:F458)*20%</f>
        <v>379227.5</v>
      </c>
      <c r="F459" s="663">
        <f>E459*C459</f>
        <v>379227.5</v>
      </c>
      <c r="G459" s="672">
        <v>0</v>
      </c>
      <c r="H459" s="660">
        <f t="shared" si="48"/>
        <v>0</v>
      </c>
      <c r="I459" s="665">
        <f>H459+F459</f>
        <v>379227.5</v>
      </c>
      <c r="J459" s="489"/>
    </row>
    <row r="460" spans="1:10">
      <c r="A460" s="504"/>
      <c r="B460" s="522"/>
      <c r="C460" s="506"/>
      <c r="D460" s="505"/>
      <c r="E460" s="489"/>
      <c r="F460" s="489"/>
      <c r="G460" s="507"/>
      <c r="H460" s="490"/>
      <c r="I460" s="490"/>
      <c r="J460" s="489"/>
    </row>
    <row r="461" spans="1:10">
      <c r="A461" s="504">
        <v>3.2</v>
      </c>
      <c r="B461" s="493" t="s">
        <v>1197</v>
      </c>
      <c r="C461" s="506"/>
      <c r="D461" s="505"/>
      <c r="E461" s="489"/>
      <c r="F461" s="489"/>
      <c r="G461" s="507"/>
      <c r="H461" s="490"/>
      <c r="I461" s="490"/>
      <c r="J461" s="489"/>
    </row>
    <row r="462" spans="1:10">
      <c r="A462" s="661" t="s">
        <v>50</v>
      </c>
      <c r="B462" s="919" t="s">
        <v>29</v>
      </c>
      <c r="C462" s="506"/>
      <c r="D462" s="505"/>
      <c r="E462" s="489"/>
      <c r="F462" s="660"/>
      <c r="G462" s="672"/>
      <c r="H462" s="665"/>
      <c r="I462" s="665"/>
      <c r="J462" s="489"/>
    </row>
    <row r="463" spans="1:10">
      <c r="A463" s="661"/>
      <c r="B463" s="926" t="s">
        <v>430</v>
      </c>
      <c r="C463" s="506">
        <f>'Architecture '!C99</f>
        <v>159</v>
      </c>
      <c r="D463" s="505" t="s">
        <v>16</v>
      </c>
      <c r="E463" s="489">
        <v>95</v>
      </c>
      <c r="F463" s="660">
        <f>E463*C463</f>
        <v>15105</v>
      </c>
      <c r="G463" s="672">
        <v>82</v>
      </c>
      <c r="H463" s="665">
        <f>G463*C463</f>
        <v>13038</v>
      </c>
      <c r="I463" s="665">
        <f>H463+F463</f>
        <v>28143</v>
      </c>
      <c r="J463" s="489"/>
    </row>
    <row r="464" spans="1:10">
      <c r="A464" s="661"/>
      <c r="B464" s="863" t="s">
        <v>1786</v>
      </c>
      <c r="C464" s="506">
        <f>'Architecture '!D99</f>
        <v>1467</v>
      </c>
      <c r="D464" s="505" t="s">
        <v>16</v>
      </c>
      <c r="E464" s="489">
        <v>350</v>
      </c>
      <c r="F464" s="660">
        <f>E464*C464</f>
        <v>513450</v>
      </c>
      <c r="G464" s="672">
        <v>198</v>
      </c>
      <c r="H464" s="665">
        <f>G464*C464</f>
        <v>290466</v>
      </c>
      <c r="I464" s="665">
        <f>H464+F464</f>
        <v>803916</v>
      </c>
      <c r="J464" s="489"/>
    </row>
    <row r="465" spans="1:10">
      <c r="A465" s="661"/>
      <c r="B465" s="926" t="s">
        <v>1788</v>
      </c>
      <c r="C465" s="506">
        <f>'Architecture '!E99</f>
        <v>161</v>
      </c>
      <c r="D465" s="505" t="s">
        <v>16</v>
      </c>
      <c r="E465" s="489">
        <v>560</v>
      </c>
      <c r="F465" s="660">
        <f>E465*C465</f>
        <v>90160</v>
      </c>
      <c r="G465" s="672">
        <v>250</v>
      </c>
      <c r="H465" s="665">
        <f>G465*C465</f>
        <v>40250</v>
      </c>
      <c r="I465" s="665">
        <f>H465+F465</f>
        <v>130410</v>
      </c>
      <c r="J465" s="489"/>
    </row>
    <row r="466" spans="1:10">
      <c r="A466" s="661"/>
      <c r="B466" s="863" t="s">
        <v>1425</v>
      </c>
      <c r="C466" s="506">
        <f>'Architecture '!H99</f>
        <v>537</v>
      </c>
      <c r="D466" s="505" t="s">
        <v>16</v>
      </c>
      <c r="E466" s="489">
        <v>101</v>
      </c>
      <c r="F466" s="683">
        <f>E466*C466</f>
        <v>54237</v>
      </c>
      <c r="G466" s="672">
        <v>82</v>
      </c>
      <c r="H466" s="684">
        <f>G466*C466</f>
        <v>44034</v>
      </c>
      <c r="I466" s="684">
        <f>H466+F466</f>
        <v>98271</v>
      </c>
      <c r="J466" s="489"/>
    </row>
    <row r="467" spans="1:10">
      <c r="A467" s="661"/>
      <c r="B467" s="863" t="s">
        <v>30</v>
      </c>
      <c r="C467" s="506">
        <f>C465</f>
        <v>161</v>
      </c>
      <c r="D467" s="505" t="s">
        <v>16</v>
      </c>
      <c r="E467" s="489">
        <v>83</v>
      </c>
      <c r="F467" s="660">
        <f>E467*C467</f>
        <v>13363</v>
      </c>
      <c r="G467" s="672">
        <v>82</v>
      </c>
      <c r="H467" s="665">
        <f>G467*C467</f>
        <v>13202</v>
      </c>
      <c r="I467" s="665">
        <f>H467+F467</f>
        <v>26565</v>
      </c>
      <c r="J467" s="489"/>
    </row>
    <row r="468" spans="1:10">
      <c r="A468" s="661" t="s">
        <v>51</v>
      </c>
      <c r="B468" s="919" t="s">
        <v>31</v>
      </c>
      <c r="C468" s="506"/>
      <c r="D468" s="874"/>
      <c r="E468" s="489"/>
      <c r="F468" s="660"/>
      <c r="G468" s="672"/>
      <c r="H468" s="665"/>
      <c r="I468" s="665"/>
      <c r="J468" s="489"/>
    </row>
    <row r="469" spans="1:10">
      <c r="A469" s="661"/>
      <c r="B469" s="919" t="s">
        <v>32</v>
      </c>
      <c r="C469" s="506"/>
      <c r="D469" s="874"/>
      <c r="E469" s="489"/>
      <c r="F469" s="660"/>
      <c r="G469" s="672"/>
      <c r="H469" s="665"/>
      <c r="I469" s="665"/>
      <c r="J469" s="489"/>
    </row>
    <row r="470" spans="1:10">
      <c r="A470" s="661"/>
      <c r="B470" s="863" t="s">
        <v>433</v>
      </c>
      <c r="C470" s="506">
        <f>'Architecture '!U99</f>
        <v>2046</v>
      </c>
      <c r="D470" s="874" t="s">
        <v>16</v>
      </c>
      <c r="E470" s="489">
        <v>285</v>
      </c>
      <c r="F470" s="660">
        <f>E470*C470</f>
        <v>583110</v>
      </c>
      <c r="G470" s="672">
        <v>89</v>
      </c>
      <c r="H470" s="665">
        <f>G470*C470</f>
        <v>182094</v>
      </c>
      <c r="I470" s="665">
        <f>H470+F470</f>
        <v>765204</v>
      </c>
      <c r="J470" s="489"/>
    </row>
    <row r="471" spans="1:10">
      <c r="A471" s="661"/>
      <c r="B471" s="863" t="s">
        <v>432</v>
      </c>
      <c r="C471" s="506">
        <f>'Architecture '!V99</f>
        <v>154</v>
      </c>
      <c r="D471" s="874" t="s">
        <v>16</v>
      </c>
      <c r="E471" s="489">
        <v>584</v>
      </c>
      <c r="F471" s="660">
        <f>E471*C471</f>
        <v>89936</v>
      </c>
      <c r="G471" s="672">
        <v>167</v>
      </c>
      <c r="H471" s="665">
        <f>G471*C471</f>
        <v>25718</v>
      </c>
      <c r="I471" s="665">
        <f>H471+F471</f>
        <v>115654</v>
      </c>
      <c r="J471" s="489"/>
    </row>
    <row r="472" spans="1:10">
      <c r="A472" s="661"/>
      <c r="B472" s="863" t="s">
        <v>33</v>
      </c>
      <c r="C472" s="506">
        <f>ROUNDUP('Architecture '!AQ99+'Architecture '!AR99+'Architecture '!AT99,0)</f>
        <v>791</v>
      </c>
      <c r="D472" s="874" t="s">
        <v>14</v>
      </c>
      <c r="E472" s="489">
        <v>70</v>
      </c>
      <c r="F472" s="660">
        <f>E472*C472</f>
        <v>55370</v>
      </c>
      <c r="G472" s="672">
        <v>44</v>
      </c>
      <c r="H472" s="665">
        <f>G472*C472</f>
        <v>34804</v>
      </c>
      <c r="I472" s="665">
        <f>H472+F472</f>
        <v>90174</v>
      </c>
      <c r="J472" s="489"/>
    </row>
    <row r="473" spans="1:10">
      <c r="A473" s="661"/>
      <c r="B473" s="785" t="s">
        <v>34</v>
      </c>
      <c r="C473" s="506"/>
      <c r="D473" s="505"/>
      <c r="E473" s="489"/>
      <c r="F473" s="660"/>
      <c r="G473" s="672"/>
      <c r="H473" s="665"/>
      <c r="I473" s="665"/>
      <c r="J473" s="489"/>
    </row>
    <row r="474" spans="1:10">
      <c r="A474" s="661"/>
      <c r="B474" s="863" t="s">
        <v>1390</v>
      </c>
      <c r="C474" s="506">
        <f>'Architecture '!AD99</f>
        <v>3199</v>
      </c>
      <c r="D474" s="874" t="s">
        <v>16</v>
      </c>
      <c r="E474" s="489">
        <v>75</v>
      </c>
      <c r="F474" s="660">
        <f>E474*C474</f>
        <v>239925</v>
      </c>
      <c r="G474" s="672">
        <v>82</v>
      </c>
      <c r="H474" s="665">
        <f>G474*C474</f>
        <v>262318</v>
      </c>
      <c r="I474" s="665">
        <f>H474+F474</f>
        <v>502243</v>
      </c>
      <c r="J474" s="489"/>
    </row>
    <row r="475" spans="1:10">
      <c r="A475" s="661"/>
      <c r="B475" s="863" t="s">
        <v>1372</v>
      </c>
      <c r="C475" s="506">
        <f>'Architecture '!AG99</f>
        <v>342</v>
      </c>
      <c r="D475" s="874" t="s">
        <v>16</v>
      </c>
      <c r="E475" s="489">
        <v>750</v>
      </c>
      <c r="F475" s="660">
        <f>E475*C475</f>
        <v>256500</v>
      </c>
      <c r="G475" s="672">
        <v>250</v>
      </c>
      <c r="H475" s="665">
        <f>G475*C475</f>
        <v>85500</v>
      </c>
      <c r="I475" s="665">
        <f>H475+F475</f>
        <v>342000</v>
      </c>
      <c r="J475" s="489"/>
    </row>
    <row r="476" spans="1:10">
      <c r="A476" s="661" t="s">
        <v>52</v>
      </c>
      <c r="B476" s="785" t="s">
        <v>35</v>
      </c>
      <c r="C476" s="506"/>
      <c r="D476" s="505"/>
      <c r="E476" s="489"/>
      <c r="F476" s="660"/>
      <c r="G476" s="672"/>
      <c r="H476" s="665"/>
      <c r="I476" s="665"/>
      <c r="J476" s="489"/>
    </row>
    <row r="477" spans="1:10">
      <c r="A477" s="518"/>
      <c r="B477" s="862" t="s">
        <v>1389</v>
      </c>
      <c r="C477" s="506">
        <f>'Architecture '!AZ99</f>
        <v>1567</v>
      </c>
      <c r="D477" s="505" t="s">
        <v>16</v>
      </c>
      <c r="E477" s="489">
        <v>180</v>
      </c>
      <c r="F477" s="660">
        <f>E477*C477</f>
        <v>282060</v>
      </c>
      <c r="G477" s="672">
        <v>50</v>
      </c>
      <c r="H477" s="665">
        <f>G477*C477</f>
        <v>78350</v>
      </c>
      <c r="I477" s="665">
        <f>H477+F477</f>
        <v>360410</v>
      </c>
      <c r="J477" s="489"/>
    </row>
    <row r="478" spans="1:10">
      <c r="A478" s="661" t="s">
        <v>53</v>
      </c>
      <c r="B478" s="919" t="s">
        <v>36</v>
      </c>
      <c r="C478" s="506"/>
      <c r="D478" s="874"/>
      <c r="E478" s="489"/>
      <c r="F478" s="660"/>
      <c r="G478" s="672"/>
      <c r="H478" s="665"/>
      <c r="I478" s="665"/>
      <c r="J478" s="489"/>
    </row>
    <row r="479" spans="1:10">
      <c r="A479" s="685"/>
      <c r="B479" s="863" t="s">
        <v>37</v>
      </c>
      <c r="C479" s="506">
        <f>'Architecture '!AU99</f>
        <v>835</v>
      </c>
      <c r="D479" s="874" t="s">
        <v>16</v>
      </c>
      <c r="E479" s="489">
        <v>292</v>
      </c>
      <c r="F479" s="660">
        <f>E479*C479</f>
        <v>243820</v>
      </c>
      <c r="G479" s="672">
        <v>75</v>
      </c>
      <c r="H479" s="665">
        <f>G479*C479</f>
        <v>62625</v>
      </c>
      <c r="I479" s="665">
        <f>H479+F479</f>
        <v>306445</v>
      </c>
      <c r="J479" s="489"/>
    </row>
    <row r="480" spans="1:10">
      <c r="A480" s="685"/>
      <c r="B480" s="863" t="s">
        <v>38</v>
      </c>
      <c r="C480" s="506">
        <f>'Architecture '!AV99</f>
        <v>161</v>
      </c>
      <c r="D480" s="874" t="s">
        <v>16</v>
      </c>
      <c r="E480" s="489">
        <v>312</v>
      </c>
      <c r="F480" s="660">
        <f>E480*C480</f>
        <v>50232</v>
      </c>
      <c r="G480" s="672">
        <v>75</v>
      </c>
      <c r="H480" s="665">
        <f>G480*C480</f>
        <v>12075</v>
      </c>
      <c r="I480" s="665">
        <f>H480+F480</f>
        <v>62307</v>
      </c>
      <c r="J480" s="489"/>
    </row>
    <row r="481" spans="1:10">
      <c r="A481" s="685"/>
      <c r="B481" s="862" t="s">
        <v>39</v>
      </c>
      <c r="C481" s="506">
        <f>'Architecture '!BC99</f>
        <v>1041</v>
      </c>
      <c r="D481" s="874" t="s">
        <v>16</v>
      </c>
      <c r="E481" s="489">
        <v>33</v>
      </c>
      <c r="F481" s="660">
        <f>E481*C481</f>
        <v>34353</v>
      </c>
      <c r="G481" s="672">
        <v>31</v>
      </c>
      <c r="H481" s="665">
        <f>G481*C481</f>
        <v>32271</v>
      </c>
      <c r="I481" s="665">
        <f>H481+F481</f>
        <v>66624</v>
      </c>
      <c r="J481" s="489"/>
    </row>
    <row r="482" spans="1:10">
      <c r="A482" s="661" t="s">
        <v>54</v>
      </c>
      <c r="B482" s="785" t="s">
        <v>452</v>
      </c>
      <c r="C482" s="506"/>
      <c r="D482" s="505"/>
      <c r="E482" s="489"/>
      <c r="F482" s="660"/>
      <c r="G482" s="672"/>
      <c r="H482" s="665"/>
      <c r="I482" s="665"/>
      <c r="J482" s="660"/>
    </row>
    <row r="483" spans="1:10">
      <c r="A483" s="661" t="s">
        <v>1408</v>
      </c>
      <c r="B483" s="785" t="s">
        <v>1400</v>
      </c>
      <c r="C483" s="506"/>
      <c r="D483" s="505"/>
      <c r="E483" s="489"/>
      <c r="F483" s="660"/>
      <c r="G483" s="672"/>
      <c r="H483" s="665"/>
      <c r="I483" s="665"/>
      <c r="J483" s="660"/>
    </row>
    <row r="484" spans="1:10">
      <c r="A484" s="661"/>
      <c r="B484" s="862" t="s">
        <v>1397</v>
      </c>
      <c r="C484" s="506">
        <f>ROUNDUP((4.3+0.4+4.3)*7.01,0)</f>
        <v>64</v>
      </c>
      <c r="D484" s="505" t="s">
        <v>19</v>
      </c>
      <c r="E484" s="489">
        <v>28</v>
      </c>
      <c r="F484" s="660">
        <f>E484*C484</f>
        <v>1792</v>
      </c>
      <c r="G484" s="672">
        <v>12</v>
      </c>
      <c r="H484" s="665">
        <f>G484*C484</f>
        <v>768</v>
      </c>
      <c r="I484" s="665">
        <f>H484+F484</f>
        <v>2560</v>
      </c>
      <c r="J484" s="660"/>
    </row>
    <row r="485" spans="1:10">
      <c r="A485" s="661"/>
      <c r="B485" s="862" t="s">
        <v>1398</v>
      </c>
      <c r="C485" s="506">
        <f>ROUNDUP(((4.3+0.3+4.3)*2)+((0.85*16)*2)*2.36,0)</f>
        <v>82</v>
      </c>
      <c r="D485" s="505" t="s">
        <v>19</v>
      </c>
      <c r="E485" s="489">
        <v>28</v>
      </c>
      <c r="F485" s="660">
        <f>E485*C485</f>
        <v>2296</v>
      </c>
      <c r="G485" s="672">
        <v>12</v>
      </c>
      <c r="H485" s="665">
        <f>G485*C485</f>
        <v>984</v>
      </c>
      <c r="I485" s="665">
        <f>H485+F485</f>
        <v>3280</v>
      </c>
      <c r="J485" s="660"/>
    </row>
    <row r="486" spans="1:10">
      <c r="A486" s="661"/>
      <c r="B486" s="862" t="s">
        <v>1756</v>
      </c>
      <c r="C486" s="506">
        <f>ROUNDUP(((0.1+0.05+0.1+0.05)*(4.3+0.4+4.3))+((0.05+0.05+0.006+0.006)*((4.3+0.3+4.3)*2)+((0.85*16)*2)),0)</f>
        <v>32</v>
      </c>
      <c r="D486" s="505" t="s">
        <v>16</v>
      </c>
      <c r="E486" s="489">
        <v>58</v>
      </c>
      <c r="F486" s="660">
        <f>E486*C486</f>
        <v>1856</v>
      </c>
      <c r="G486" s="672">
        <v>35</v>
      </c>
      <c r="H486" s="665">
        <f>G486*C486</f>
        <v>1120</v>
      </c>
      <c r="I486" s="665">
        <f>H486+F486</f>
        <v>2976</v>
      </c>
      <c r="J486" s="660"/>
    </row>
    <row r="487" spans="1:10">
      <c r="A487" s="661"/>
      <c r="B487" s="662" t="s">
        <v>450</v>
      </c>
      <c r="C487" s="498">
        <v>1</v>
      </c>
      <c r="D487" s="499" t="s">
        <v>44</v>
      </c>
      <c r="E487" s="500">
        <f>SUM(F484:F486)*20%</f>
        <v>1188.8</v>
      </c>
      <c r="F487" s="663">
        <f>E487*C487</f>
        <v>1188.8</v>
      </c>
      <c r="G487" s="664">
        <v>0</v>
      </c>
      <c r="H487" s="665">
        <f>G487*C487</f>
        <v>0</v>
      </c>
      <c r="I487" s="665">
        <f>H487+F487</f>
        <v>1188.8</v>
      </c>
      <c r="J487" s="660"/>
    </row>
    <row r="488" spans="1:10">
      <c r="A488" s="661" t="s">
        <v>1406</v>
      </c>
      <c r="B488" s="785" t="s">
        <v>1402</v>
      </c>
      <c r="C488" s="506"/>
      <c r="D488" s="505"/>
      <c r="E488" s="489"/>
      <c r="F488" s="660"/>
      <c r="G488" s="672"/>
      <c r="H488" s="665"/>
      <c r="I488" s="665"/>
      <c r="J488" s="660"/>
    </row>
    <row r="489" spans="1:10">
      <c r="A489" s="661"/>
      <c r="B489" s="862" t="s">
        <v>1397</v>
      </c>
      <c r="C489" s="506">
        <f>ROUNDUP((4.88+0.4+4.8+1.8)*7.01,0)</f>
        <v>84</v>
      </c>
      <c r="D489" s="505" t="s">
        <v>19</v>
      </c>
      <c r="E489" s="489">
        <v>28</v>
      </c>
      <c r="F489" s="660">
        <f>E489*C489</f>
        <v>2352</v>
      </c>
      <c r="G489" s="672">
        <v>12</v>
      </c>
      <c r="H489" s="665">
        <f>G489*C489</f>
        <v>1008</v>
      </c>
      <c r="I489" s="665">
        <f>H489+F489</f>
        <v>3360</v>
      </c>
      <c r="J489" s="660"/>
    </row>
    <row r="490" spans="1:10">
      <c r="A490" s="661"/>
      <c r="B490" s="862" t="s">
        <v>1398</v>
      </c>
      <c r="C490" s="506">
        <f>ROUNDUP(((1.35+0.3+3.34+0.3+3.2+1.8)*2)+((0.85*19)*2)*2.36,0)</f>
        <v>97</v>
      </c>
      <c r="D490" s="505" t="s">
        <v>19</v>
      </c>
      <c r="E490" s="489">
        <v>28</v>
      </c>
      <c r="F490" s="660">
        <f>E490*C490</f>
        <v>2716</v>
      </c>
      <c r="G490" s="672">
        <v>12</v>
      </c>
      <c r="H490" s="665">
        <f>G490*C490</f>
        <v>1164</v>
      </c>
      <c r="I490" s="665">
        <f>H490+F490</f>
        <v>3880</v>
      </c>
      <c r="J490" s="660"/>
    </row>
    <row r="491" spans="1:10">
      <c r="A491" s="661"/>
      <c r="B491" s="862" t="s">
        <v>1756</v>
      </c>
      <c r="C491" s="506">
        <f>ROUNDUP(((0.1+0.05+0.1+0.05)*(4.88+0.4+4.8+1.8))+((0.05+0.05+0.006+0.006)*((1.35+0.3+3.34+0.3+3.2+1.8)*2)+((0.85*19)*2)),0)</f>
        <v>39</v>
      </c>
      <c r="D491" s="505" t="s">
        <v>16</v>
      </c>
      <c r="E491" s="489">
        <v>58</v>
      </c>
      <c r="F491" s="660">
        <f>E491*C491</f>
        <v>2262</v>
      </c>
      <c r="G491" s="672">
        <v>35</v>
      </c>
      <c r="H491" s="665">
        <f>G491*C491</f>
        <v>1365</v>
      </c>
      <c r="I491" s="665">
        <f>H491+F491</f>
        <v>3627</v>
      </c>
      <c r="J491" s="660"/>
    </row>
    <row r="492" spans="1:10">
      <c r="A492" s="661"/>
      <c r="B492" s="662" t="s">
        <v>450</v>
      </c>
      <c r="C492" s="498">
        <v>1</v>
      </c>
      <c r="D492" s="499" t="s">
        <v>44</v>
      </c>
      <c r="E492" s="500">
        <f>SUM(F489:F491)*20%</f>
        <v>1466</v>
      </c>
      <c r="F492" s="663">
        <f>E492*C492</f>
        <v>1466</v>
      </c>
      <c r="G492" s="664">
        <v>0</v>
      </c>
      <c r="H492" s="665">
        <f>G492*C492</f>
        <v>0</v>
      </c>
      <c r="I492" s="665">
        <f>H492+F492</f>
        <v>1466</v>
      </c>
      <c r="J492" s="660"/>
    </row>
    <row r="493" spans="1:10">
      <c r="A493" s="661" t="s">
        <v>1413</v>
      </c>
      <c r="B493" s="785" t="s">
        <v>1411</v>
      </c>
      <c r="C493" s="506"/>
      <c r="D493" s="505"/>
      <c r="E493" s="489"/>
      <c r="F493" s="660"/>
      <c r="G493" s="672"/>
      <c r="H493" s="665"/>
      <c r="I493" s="665"/>
      <c r="J493" s="489"/>
    </row>
    <row r="494" spans="1:10">
      <c r="A494" s="661"/>
      <c r="B494" s="862" t="s">
        <v>1397</v>
      </c>
      <c r="C494" s="506">
        <f>ROUNDUP(130*7.01,0)</f>
        <v>912</v>
      </c>
      <c r="D494" s="505" t="s">
        <v>19</v>
      </c>
      <c r="E494" s="489">
        <v>28</v>
      </c>
      <c r="F494" s="660">
        <f>E494*C494</f>
        <v>25536</v>
      </c>
      <c r="G494" s="672">
        <v>12</v>
      </c>
      <c r="H494" s="665">
        <f>G494*C494</f>
        <v>10944</v>
      </c>
      <c r="I494" s="665">
        <f>H494+F494</f>
        <v>36480</v>
      </c>
      <c r="J494" s="489"/>
    </row>
    <row r="495" spans="1:10">
      <c r="A495" s="661"/>
      <c r="B495" s="862" t="s">
        <v>1398</v>
      </c>
      <c r="C495" s="506">
        <f>ROUNDUP((130*3)+(0.85*((11*2)+(46*2))*2)*2.36,0)</f>
        <v>848</v>
      </c>
      <c r="D495" s="505" t="s">
        <v>19</v>
      </c>
      <c r="E495" s="489">
        <v>28</v>
      </c>
      <c r="F495" s="660">
        <f>E495*C495</f>
        <v>23744</v>
      </c>
      <c r="G495" s="672">
        <v>12</v>
      </c>
      <c r="H495" s="665">
        <f>G495*C495</f>
        <v>10176</v>
      </c>
      <c r="I495" s="665">
        <f>H495+F495</f>
        <v>33920</v>
      </c>
      <c r="J495" s="489"/>
    </row>
    <row r="496" spans="1:10">
      <c r="A496" s="661"/>
      <c r="B496" s="862" t="s">
        <v>1756</v>
      </c>
      <c r="C496" s="506">
        <f>ROUNDUP(((0.1+0.05+0.1+0.05)*130)+((0.05+0.05+0.006+0.006)*(130*3)+(0.85*((11*2)+(46*2))*2)),0)</f>
        <v>277</v>
      </c>
      <c r="D496" s="505" t="s">
        <v>16</v>
      </c>
      <c r="E496" s="489">
        <v>58</v>
      </c>
      <c r="F496" s="660">
        <f>E496*C496</f>
        <v>16066</v>
      </c>
      <c r="G496" s="672">
        <v>35</v>
      </c>
      <c r="H496" s="665">
        <f>G496*C496</f>
        <v>9695</v>
      </c>
      <c r="I496" s="665">
        <f>H496+F496</f>
        <v>25761</v>
      </c>
      <c r="J496" s="489"/>
    </row>
    <row r="497" spans="1:10">
      <c r="A497" s="661"/>
      <c r="B497" s="662" t="s">
        <v>450</v>
      </c>
      <c r="C497" s="498">
        <v>1</v>
      </c>
      <c r="D497" s="499" t="s">
        <v>44</v>
      </c>
      <c r="E497" s="500">
        <f>SUM(F494:F496)*20%</f>
        <v>13069.2</v>
      </c>
      <c r="F497" s="663">
        <f>E497*C497</f>
        <v>13069.2</v>
      </c>
      <c r="G497" s="664">
        <v>0</v>
      </c>
      <c r="H497" s="665">
        <f>G497*C497</f>
        <v>0</v>
      </c>
      <c r="I497" s="665">
        <f>H497+F497</f>
        <v>13069.2</v>
      </c>
      <c r="J497" s="489"/>
    </row>
    <row r="498" spans="1:10">
      <c r="A498" s="661" t="s">
        <v>55</v>
      </c>
      <c r="B498" s="785" t="s">
        <v>471</v>
      </c>
      <c r="C498" s="506"/>
      <c r="D498" s="505"/>
      <c r="E498" s="489"/>
      <c r="F498" s="660"/>
      <c r="G498" s="672"/>
      <c r="H498" s="665"/>
      <c r="I498" s="665"/>
      <c r="J498" s="489"/>
    </row>
    <row r="499" spans="1:10">
      <c r="A499" s="661"/>
      <c r="B499" s="919" t="s">
        <v>40</v>
      </c>
      <c r="C499" s="506"/>
      <c r="D499" s="874"/>
      <c r="E499" s="489"/>
      <c r="F499" s="660"/>
      <c r="G499" s="672"/>
      <c r="H499" s="665"/>
      <c r="I499" s="665"/>
      <c r="J499" s="489"/>
    </row>
    <row r="500" spans="1:10">
      <c r="A500" s="685">
        <f>'Sannitary ware'!A43</f>
        <v>1</v>
      </c>
      <c r="B500" s="863" t="str">
        <f>'Sannitary ware'!B43</f>
        <v xml:space="preserve"> - โถสุขภัณฑ์ฟลัชวาล์ว</v>
      </c>
      <c r="C500" s="506">
        <f>'Sannitary ware'!H43</f>
        <v>23</v>
      </c>
      <c r="D500" s="874" t="s">
        <v>15</v>
      </c>
      <c r="E500" s="920">
        <f>'Sannitary ware'!AD7</f>
        <v>6500</v>
      </c>
      <c r="F500" s="660">
        <f t="shared" ref="F500:F536" si="49">E500*C500</f>
        <v>149500</v>
      </c>
      <c r="G500" s="921">
        <f>'Sannitary ware'!AF7</f>
        <v>450</v>
      </c>
      <c r="H500" s="665">
        <f t="shared" ref="H500:H536" si="50">G500*C500</f>
        <v>10350</v>
      </c>
      <c r="I500" s="665">
        <f t="shared" ref="I500:I536" si="51">H500+F500</f>
        <v>159850</v>
      </c>
      <c r="J500" s="660"/>
    </row>
    <row r="501" spans="1:10">
      <c r="A501" s="685">
        <f>'Sannitary ware'!A44</f>
        <v>1</v>
      </c>
      <c r="B501" s="863" t="str">
        <f>'Sannitary ware'!B44</f>
        <v xml:space="preserve">     • STOP VALVE 1/2" </v>
      </c>
      <c r="C501" s="506">
        <f>'Sannitary ware'!H44</f>
        <v>23</v>
      </c>
      <c r="D501" s="874" t="s">
        <v>27</v>
      </c>
      <c r="E501" s="920">
        <f>'Sannitary ware'!AD8</f>
        <v>80</v>
      </c>
      <c r="F501" s="660">
        <f t="shared" si="49"/>
        <v>1840</v>
      </c>
      <c r="G501" s="921">
        <f>'Sannitary ware'!AF8</f>
        <v>35</v>
      </c>
      <c r="H501" s="665">
        <f t="shared" si="50"/>
        <v>805</v>
      </c>
      <c r="I501" s="665">
        <f t="shared" si="51"/>
        <v>2645</v>
      </c>
      <c r="J501" s="660"/>
    </row>
    <row r="502" spans="1:10">
      <c r="A502" s="685" t="str">
        <f>'Sannitary ware'!A45</f>
        <v>1'</v>
      </c>
      <c r="B502" s="863" t="str">
        <f>'Sannitary ware'!B45</f>
        <v xml:space="preserve"> - โถสุขภัณฑ์ฟลัชวาล์ว  (ห้องน้ำผู้พิการ)</v>
      </c>
      <c r="C502" s="506">
        <f>'Sannitary ware'!H45</f>
        <v>1</v>
      </c>
      <c r="D502" s="874" t="s">
        <v>15</v>
      </c>
      <c r="E502" s="920">
        <f>'Sannitary ware'!AD9</f>
        <v>6500</v>
      </c>
      <c r="F502" s="660">
        <f t="shared" si="49"/>
        <v>6500</v>
      </c>
      <c r="G502" s="921">
        <f>'Sannitary ware'!AF9</f>
        <v>450</v>
      </c>
      <c r="H502" s="665">
        <f t="shared" si="50"/>
        <v>450</v>
      </c>
      <c r="I502" s="665">
        <f t="shared" si="51"/>
        <v>6950</v>
      </c>
      <c r="J502" s="489"/>
    </row>
    <row r="503" spans="1:10">
      <c r="A503" s="685" t="str">
        <f>'Sannitary ware'!A46</f>
        <v>1'</v>
      </c>
      <c r="B503" s="863" t="str">
        <f>'Sannitary ware'!B46</f>
        <v xml:space="preserve">     • STOP VALVE 1/2" </v>
      </c>
      <c r="C503" s="506">
        <f>'Sannitary ware'!H46</f>
        <v>1</v>
      </c>
      <c r="D503" s="874" t="s">
        <v>27</v>
      </c>
      <c r="E503" s="920">
        <f>'Sannitary ware'!AD10</f>
        <v>80</v>
      </c>
      <c r="F503" s="660">
        <f t="shared" si="49"/>
        <v>80</v>
      </c>
      <c r="G503" s="921">
        <f>'Sannitary ware'!AF10</f>
        <v>35</v>
      </c>
      <c r="H503" s="665">
        <f t="shared" si="50"/>
        <v>35</v>
      </c>
      <c r="I503" s="665">
        <f t="shared" si="51"/>
        <v>115</v>
      </c>
      <c r="J503" s="660"/>
    </row>
    <row r="504" spans="1:10">
      <c r="A504" s="685">
        <f>'Sannitary ware'!A47</f>
        <v>2</v>
      </c>
      <c r="B504" s="863" t="str">
        <f>'Sannitary ware'!B47</f>
        <v xml:space="preserve"> - สายชำระพร้อมสต๊อปวาล์ว</v>
      </c>
      <c r="C504" s="506">
        <f>'Sannitary ware'!H47</f>
        <v>23</v>
      </c>
      <c r="D504" s="874" t="s">
        <v>15</v>
      </c>
      <c r="E504" s="920">
        <f>'Sannitary ware'!AD11</f>
        <v>300</v>
      </c>
      <c r="F504" s="660">
        <f t="shared" si="49"/>
        <v>6900</v>
      </c>
      <c r="G504" s="921">
        <f>'Sannitary ware'!AF11</f>
        <v>70</v>
      </c>
      <c r="H504" s="665">
        <f t="shared" si="50"/>
        <v>1610</v>
      </c>
      <c r="I504" s="665">
        <f t="shared" si="51"/>
        <v>8510</v>
      </c>
      <c r="J504" s="660"/>
    </row>
    <row r="505" spans="1:10">
      <c r="A505" s="685">
        <f>'Sannitary ware'!A48</f>
        <v>3</v>
      </c>
      <c r="B505" s="863" t="str">
        <f>'Sannitary ware'!B48</f>
        <v xml:space="preserve"> - โถปัสสาวะชายพร้อมฟลัชวาล์ว</v>
      </c>
      <c r="C505" s="506">
        <f>'Sannitary ware'!H48</f>
        <v>10</v>
      </c>
      <c r="D505" s="874" t="s">
        <v>15</v>
      </c>
      <c r="E505" s="920">
        <f>'Sannitary ware'!AD12</f>
        <v>5500</v>
      </c>
      <c r="F505" s="660">
        <f t="shared" si="49"/>
        <v>55000</v>
      </c>
      <c r="G505" s="921">
        <f>'Sannitary ware'!AF12</f>
        <v>450</v>
      </c>
      <c r="H505" s="665">
        <f t="shared" si="50"/>
        <v>4500</v>
      </c>
      <c r="I505" s="665">
        <f t="shared" si="51"/>
        <v>59500</v>
      </c>
      <c r="J505" s="660"/>
    </row>
    <row r="506" spans="1:10">
      <c r="A506" s="685">
        <f>'Sannitary ware'!A49</f>
        <v>4</v>
      </c>
      <c r="B506" s="863" t="str">
        <f>'Sannitary ware'!B49</f>
        <v xml:space="preserve"> - อ่างล้างหน้าแบบฝังเคาน์เตอร์ </v>
      </c>
      <c r="C506" s="506">
        <f>'Sannitary ware'!H49</f>
        <v>15</v>
      </c>
      <c r="D506" s="874" t="s">
        <v>15</v>
      </c>
      <c r="E506" s="920">
        <f>'Sannitary ware'!AD13</f>
        <v>3500</v>
      </c>
      <c r="F506" s="660">
        <f t="shared" si="49"/>
        <v>52500</v>
      </c>
      <c r="G506" s="1680">
        <f>'Sannitary ware'!AF13</f>
        <v>450</v>
      </c>
      <c r="H506" s="1683">
        <f t="shared" si="50"/>
        <v>6750</v>
      </c>
      <c r="I506" s="665">
        <f t="shared" si="51"/>
        <v>59250</v>
      </c>
      <c r="J506" s="660"/>
    </row>
    <row r="507" spans="1:10">
      <c r="A507" s="685">
        <f>'Sannitary ware'!A50</f>
        <v>4</v>
      </c>
      <c r="B507" s="863" t="str">
        <f>'Sannitary ware'!B50</f>
        <v xml:space="preserve">     • ก๊อกน้ำเดี่ยวอ่างล้างหน้า </v>
      </c>
      <c r="C507" s="506">
        <f>'Sannitary ware'!H50</f>
        <v>15</v>
      </c>
      <c r="D507" s="874" t="s">
        <v>15</v>
      </c>
      <c r="E507" s="920">
        <f>'Sannitary ware'!AD14</f>
        <v>0</v>
      </c>
      <c r="F507" s="660">
        <f t="shared" si="49"/>
        <v>0</v>
      </c>
      <c r="G507" s="1681"/>
      <c r="H507" s="1684"/>
      <c r="I507" s="665">
        <f t="shared" si="51"/>
        <v>0</v>
      </c>
      <c r="J507" s="660"/>
    </row>
    <row r="508" spans="1:10">
      <c r="A508" s="685">
        <f>'Sannitary ware'!A51</f>
        <v>4</v>
      </c>
      <c r="B508" s="863" t="str">
        <f>'Sannitary ware'!B51</f>
        <v xml:space="preserve">     • ท่อน้ำทิ้งอ่างล้างหน้า </v>
      </c>
      <c r="C508" s="506">
        <f>'Sannitary ware'!H51</f>
        <v>15</v>
      </c>
      <c r="D508" s="874" t="s">
        <v>15</v>
      </c>
      <c r="E508" s="920">
        <f>'Sannitary ware'!AD15</f>
        <v>0</v>
      </c>
      <c r="F508" s="660">
        <f t="shared" si="49"/>
        <v>0</v>
      </c>
      <c r="G508" s="1681"/>
      <c r="H508" s="1684"/>
      <c r="I508" s="665">
        <f t="shared" si="51"/>
        <v>0</v>
      </c>
      <c r="J508" s="660"/>
    </row>
    <row r="509" spans="1:10">
      <c r="A509" s="685">
        <f>'Sannitary ware'!A52</f>
        <v>4</v>
      </c>
      <c r="B509" s="863" t="str">
        <f>'Sannitary ware'!B52</f>
        <v xml:space="preserve">     • สะดืออ่างล้างหน้าแบบกด </v>
      </c>
      <c r="C509" s="506">
        <f>'Sannitary ware'!H52</f>
        <v>15</v>
      </c>
      <c r="D509" s="874" t="s">
        <v>15</v>
      </c>
      <c r="E509" s="920">
        <f>'Sannitary ware'!AD16</f>
        <v>0</v>
      </c>
      <c r="F509" s="660">
        <f t="shared" si="49"/>
        <v>0</v>
      </c>
      <c r="G509" s="1681"/>
      <c r="H509" s="1684"/>
      <c r="I509" s="665">
        <f t="shared" si="51"/>
        <v>0</v>
      </c>
      <c r="J509" s="660"/>
    </row>
    <row r="510" spans="1:10">
      <c r="A510" s="685">
        <f>'Sannitary ware'!A53</f>
        <v>4</v>
      </c>
      <c r="B510" s="863" t="str">
        <f>'Sannitary ware'!B53</f>
        <v xml:space="preserve">     • สายน้ำดีอ่างล้างหน้าสแตนเลสถักยาว 16" </v>
      </c>
      <c r="C510" s="506">
        <f>'Sannitary ware'!H53</f>
        <v>15</v>
      </c>
      <c r="D510" s="874" t="s">
        <v>15</v>
      </c>
      <c r="E510" s="920">
        <f>'Sannitary ware'!AD17</f>
        <v>0</v>
      </c>
      <c r="F510" s="660">
        <f t="shared" si="49"/>
        <v>0</v>
      </c>
      <c r="G510" s="1681"/>
      <c r="H510" s="1684"/>
      <c r="I510" s="665">
        <f t="shared" si="51"/>
        <v>0</v>
      </c>
      <c r="J510" s="922"/>
    </row>
    <row r="511" spans="1:10">
      <c r="A511" s="685">
        <f>'Sannitary ware'!A54</f>
        <v>4</v>
      </c>
      <c r="B511" s="863" t="str">
        <f>'Sannitary ware'!B54</f>
        <v xml:space="preserve">     • STOP VALVE 1/2" </v>
      </c>
      <c r="C511" s="506">
        <f>'Sannitary ware'!H54</f>
        <v>15</v>
      </c>
      <c r="D511" s="874" t="s">
        <v>27</v>
      </c>
      <c r="E511" s="920">
        <f>'Sannitary ware'!AD18</f>
        <v>0</v>
      </c>
      <c r="F511" s="660">
        <f t="shared" si="49"/>
        <v>0</v>
      </c>
      <c r="G511" s="1682"/>
      <c r="H511" s="1685"/>
      <c r="I511" s="665">
        <f t="shared" si="51"/>
        <v>0</v>
      </c>
      <c r="J511" s="660"/>
    </row>
    <row r="512" spans="1:10">
      <c r="A512" s="685" t="str">
        <f>'Sannitary ware'!A55</f>
        <v>4'</v>
      </c>
      <c r="B512" s="863" t="str">
        <f>'Sannitary ware'!B55</f>
        <v xml:space="preserve"> - อ่างล้างหน้าแบบแขวนผนัง (ห้องน้ำผู้พิการ)</v>
      </c>
      <c r="C512" s="506">
        <f>'Sannitary ware'!H55</f>
        <v>1</v>
      </c>
      <c r="D512" s="874" t="s">
        <v>15</v>
      </c>
      <c r="E512" s="920">
        <f>'Sannitary ware'!AD19</f>
        <v>2300</v>
      </c>
      <c r="F512" s="660">
        <f t="shared" si="49"/>
        <v>2300</v>
      </c>
      <c r="G512" s="1680">
        <f>'Sannitary ware'!AF19</f>
        <v>450</v>
      </c>
      <c r="H512" s="1683">
        <f t="shared" si="50"/>
        <v>450</v>
      </c>
      <c r="I512" s="665">
        <f t="shared" si="51"/>
        <v>2750</v>
      </c>
      <c r="J512" s="660"/>
    </row>
    <row r="513" spans="1:10">
      <c r="A513" s="685" t="str">
        <f>'Sannitary ware'!A56</f>
        <v>4'</v>
      </c>
      <c r="B513" s="863" t="str">
        <f>'Sannitary ware'!B56</f>
        <v xml:space="preserve">     • ก๊อกน้ำเดี่ยวอ่างล้างหน้า </v>
      </c>
      <c r="C513" s="506">
        <f>'Sannitary ware'!H56</f>
        <v>1</v>
      </c>
      <c r="D513" s="874" t="s">
        <v>15</v>
      </c>
      <c r="E513" s="920">
        <f>'Sannitary ware'!AD20</f>
        <v>0</v>
      </c>
      <c r="F513" s="660">
        <f t="shared" si="49"/>
        <v>0</v>
      </c>
      <c r="G513" s="1681"/>
      <c r="H513" s="1684"/>
      <c r="I513" s="665">
        <f t="shared" si="51"/>
        <v>0</v>
      </c>
      <c r="J513" s="660"/>
    </row>
    <row r="514" spans="1:10">
      <c r="A514" s="685" t="str">
        <f>'Sannitary ware'!A57</f>
        <v>4'</v>
      </c>
      <c r="B514" s="863" t="str">
        <f>'Sannitary ware'!B57</f>
        <v xml:space="preserve">     • ท่อน้ำทิ้งอ่างล้างหน้า </v>
      </c>
      <c r="C514" s="506">
        <f>'Sannitary ware'!H57</f>
        <v>1</v>
      </c>
      <c r="D514" s="874" t="s">
        <v>15</v>
      </c>
      <c r="E514" s="920">
        <f>'Sannitary ware'!AD21</f>
        <v>0</v>
      </c>
      <c r="F514" s="660">
        <f t="shared" si="49"/>
        <v>0</v>
      </c>
      <c r="G514" s="1681"/>
      <c r="H514" s="1684"/>
      <c r="I514" s="665">
        <f t="shared" si="51"/>
        <v>0</v>
      </c>
      <c r="J514" s="489"/>
    </row>
    <row r="515" spans="1:10">
      <c r="A515" s="685" t="str">
        <f>'Sannitary ware'!A58</f>
        <v>4'</v>
      </c>
      <c r="B515" s="863" t="str">
        <f>'Sannitary ware'!B58</f>
        <v xml:space="preserve">     • สะดืออ่างล้างหน้าแบบกด </v>
      </c>
      <c r="C515" s="506">
        <f>'Sannitary ware'!H58</f>
        <v>1</v>
      </c>
      <c r="D515" s="874" t="s">
        <v>15</v>
      </c>
      <c r="E515" s="920">
        <f>'Sannitary ware'!AD22</f>
        <v>0</v>
      </c>
      <c r="F515" s="660">
        <f t="shared" si="49"/>
        <v>0</v>
      </c>
      <c r="G515" s="1681"/>
      <c r="H515" s="1684"/>
      <c r="I515" s="665">
        <f t="shared" si="51"/>
        <v>0</v>
      </c>
      <c r="J515" s="489"/>
    </row>
    <row r="516" spans="1:10">
      <c r="A516" s="685" t="str">
        <f>'Sannitary ware'!A59</f>
        <v>4'</v>
      </c>
      <c r="B516" s="863" t="str">
        <f>'Sannitary ware'!B59</f>
        <v xml:space="preserve">     • สายน้ำดีอ่างล้างหน้าสแตนเลสถักยาว 16" </v>
      </c>
      <c r="C516" s="506">
        <f>'Sannitary ware'!H59</f>
        <v>1</v>
      </c>
      <c r="D516" s="874" t="s">
        <v>15</v>
      </c>
      <c r="E516" s="920">
        <f>'Sannitary ware'!AD23</f>
        <v>0</v>
      </c>
      <c r="F516" s="660">
        <f t="shared" si="49"/>
        <v>0</v>
      </c>
      <c r="G516" s="1681"/>
      <c r="H516" s="1684"/>
      <c r="I516" s="665">
        <f t="shared" si="51"/>
        <v>0</v>
      </c>
      <c r="J516" s="489"/>
    </row>
    <row r="517" spans="1:10">
      <c r="A517" s="685" t="str">
        <f>'Sannitary ware'!A60</f>
        <v>4'</v>
      </c>
      <c r="B517" s="863" t="str">
        <f>'Sannitary ware'!B60</f>
        <v xml:space="preserve">     • STOP VALVE 1/2" </v>
      </c>
      <c r="C517" s="506">
        <f>'Sannitary ware'!H60</f>
        <v>1</v>
      </c>
      <c r="D517" s="874" t="s">
        <v>27</v>
      </c>
      <c r="E517" s="920">
        <f>'Sannitary ware'!AD24</f>
        <v>0</v>
      </c>
      <c r="F517" s="660">
        <f t="shared" si="49"/>
        <v>0</v>
      </c>
      <c r="G517" s="1682"/>
      <c r="H517" s="1685"/>
      <c r="I517" s="665">
        <f t="shared" si="51"/>
        <v>0</v>
      </c>
      <c r="J517" s="489"/>
    </row>
    <row r="518" spans="1:10">
      <c r="A518" s="685">
        <f>'Sannitary ware'!A61</f>
        <v>5</v>
      </c>
      <c r="B518" s="863" t="str">
        <f>'Sannitary ware'!B61</f>
        <v xml:space="preserve"> - บานกระจกเงาหนา 6 มม. ขนาด 4.10  x 1.00 ม.</v>
      </c>
      <c r="C518" s="506">
        <f>'Sannitary ware'!H61</f>
        <v>1</v>
      </c>
      <c r="D518" s="874" t="s">
        <v>15</v>
      </c>
      <c r="E518" s="920">
        <f>'Sannitary ware'!AD25</f>
        <v>8827</v>
      </c>
      <c r="F518" s="660">
        <f t="shared" si="49"/>
        <v>8827</v>
      </c>
      <c r="G518" s="921">
        <f>'Sannitary ware'!AF25</f>
        <v>120</v>
      </c>
      <c r="H518" s="665">
        <f t="shared" si="50"/>
        <v>120</v>
      </c>
      <c r="I518" s="665">
        <f t="shared" si="51"/>
        <v>8947</v>
      </c>
      <c r="J518" s="660"/>
    </row>
    <row r="519" spans="1:10">
      <c r="A519" s="685">
        <f>'Sannitary ware'!A62</f>
        <v>5</v>
      </c>
      <c r="B519" s="863" t="str">
        <f>'Sannitary ware'!B62</f>
        <v xml:space="preserve"> - บานกระจกเงาหนา 6 มม. ขนาด 2.90  x 1.00 ม.</v>
      </c>
      <c r="C519" s="506">
        <f>'Sannitary ware'!H62</f>
        <v>1</v>
      </c>
      <c r="D519" s="874" t="s">
        <v>15</v>
      </c>
      <c r="E519" s="920">
        <f>'Sannitary ware'!AD26</f>
        <v>6244</v>
      </c>
      <c r="F519" s="660">
        <f t="shared" si="49"/>
        <v>6244</v>
      </c>
      <c r="G519" s="921">
        <f>'Sannitary ware'!AF26</f>
        <v>120</v>
      </c>
      <c r="H519" s="665">
        <f t="shared" si="50"/>
        <v>120</v>
      </c>
      <c r="I519" s="665">
        <f t="shared" si="51"/>
        <v>6364</v>
      </c>
      <c r="J519" s="660"/>
    </row>
    <row r="520" spans="1:10">
      <c r="A520" s="685">
        <f>'Sannitary ware'!A63</f>
        <v>5</v>
      </c>
      <c r="B520" s="863" t="str">
        <f>'Sannitary ware'!B63</f>
        <v xml:space="preserve"> - บานกระจกเงาหนา 6 มม. ขนาด 3.50  x 1.00 ม.</v>
      </c>
      <c r="C520" s="506">
        <f>'Sannitary ware'!H63</f>
        <v>1</v>
      </c>
      <c r="D520" s="874" t="s">
        <v>15</v>
      </c>
      <c r="E520" s="920">
        <f>'Sannitary ware'!AD27</f>
        <v>7557</v>
      </c>
      <c r="F520" s="660">
        <f t="shared" si="49"/>
        <v>7557</v>
      </c>
      <c r="G520" s="921">
        <f>'Sannitary ware'!AF27</f>
        <v>120</v>
      </c>
      <c r="H520" s="665">
        <f t="shared" si="50"/>
        <v>120</v>
      </c>
      <c r="I520" s="665">
        <f t="shared" si="51"/>
        <v>7677</v>
      </c>
      <c r="J520" s="660"/>
    </row>
    <row r="521" spans="1:10">
      <c r="A521" s="685">
        <f>'Sannitary ware'!A64</f>
        <v>5</v>
      </c>
      <c r="B521" s="863" t="str">
        <f>'Sannitary ware'!B64</f>
        <v xml:space="preserve"> - บานกระจกเงาหนา 6 มม. ขนาด 8.70  x 1.00 ม.</v>
      </c>
      <c r="C521" s="506">
        <f>'Sannitary ware'!H64</f>
        <v>1</v>
      </c>
      <c r="D521" s="874" t="s">
        <v>15</v>
      </c>
      <c r="E521" s="920">
        <f>'Sannitary ware'!AD28</f>
        <v>18730</v>
      </c>
      <c r="F521" s="660">
        <f t="shared" si="49"/>
        <v>18730</v>
      </c>
      <c r="G521" s="921">
        <f>'Sannitary ware'!AF28</f>
        <v>120</v>
      </c>
      <c r="H521" s="665">
        <f t="shared" si="50"/>
        <v>120</v>
      </c>
      <c r="I521" s="665">
        <f t="shared" si="51"/>
        <v>18850</v>
      </c>
      <c r="J521" s="660"/>
    </row>
    <row r="522" spans="1:10">
      <c r="A522" s="685">
        <f>'Sannitary ware'!A65</f>
        <v>5</v>
      </c>
      <c r="B522" s="863" t="str">
        <f>'Sannitary ware'!B65</f>
        <v xml:space="preserve"> - บานกระจกเงาหนา 6 มม. ขนาด 0.60  x 1.00 ม. (ห้องน้ำผู้พิการ)</v>
      </c>
      <c r="C522" s="506">
        <f>'Sannitary ware'!H65</f>
        <v>1</v>
      </c>
      <c r="D522" s="874" t="s">
        <v>15</v>
      </c>
      <c r="E522" s="920">
        <f>'Sannitary ware'!AD29</f>
        <v>1292</v>
      </c>
      <c r="F522" s="660">
        <f t="shared" si="49"/>
        <v>1292</v>
      </c>
      <c r="G522" s="921">
        <f>'Sannitary ware'!AF29</f>
        <v>120</v>
      </c>
      <c r="H522" s="665">
        <f t="shared" si="50"/>
        <v>120</v>
      </c>
      <c r="I522" s="665">
        <f t="shared" si="51"/>
        <v>1412</v>
      </c>
      <c r="J522" s="660"/>
    </row>
    <row r="523" spans="1:10">
      <c r="A523" s="685">
        <f>'Sannitary ware'!A66</f>
        <v>6</v>
      </c>
      <c r="B523" s="863" t="str">
        <f>'Sannitary ware'!B66</f>
        <v xml:space="preserve"> - ราวจับตัวแอล</v>
      </c>
      <c r="C523" s="506">
        <f>'Sannitary ware'!H66</f>
        <v>2</v>
      </c>
      <c r="D523" s="874" t="s">
        <v>15</v>
      </c>
      <c r="E523" s="920">
        <f>'Sannitary ware'!AD30</f>
        <v>3600</v>
      </c>
      <c r="F523" s="660">
        <f t="shared" si="49"/>
        <v>7200</v>
      </c>
      <c r="G523" s="921">
        <f>'Sannitary ware'!AF30</f>
        <v>105</v>
      </c>
      <c r="H523" s="665">
        <f t="shared" si="50"/>
        <v>210</v>
      </c>
      <c r="I523" s="665">
        <f t="shared" si="51"/>
        <v>7410</v>
      </c>
      <c r="J523" s="660"/>
    </row>
    <row r="524" spans="1:10">
      <c r="A524" s="685" t="str">
        <f>'Sannitary ware'!A67</f>
        <v>6'</v>
      </c>
      <c r="B524" s="863" t="str">
        <f>'Sannitary ware'!B67</f>
        <v xml:space="preserve"> - ราวจับตัวที</v>
      </c>
      <c r="C524" s="506">
        <f>'Sannitary ware'!H67</f>
        <v>1</v>
      </c>
      <c r="D524" s="874" t="s">
        <v>15</v>
      </c>
      <c r="E524" s="920">
        <f>'Sannitary ware'!AD31</f>
        <v>2590</v>
      </c>
      <c r="F524" s="660">
        <f t="shared" si="49"/>
        <v>2590</v>
      </c>
      <c r="G524" s="921">
        <f>'Sannitary ware'!AF31</f>
        <v>105</v>
      </c>
      <c r="H524" s="665">
        <f t="shared" si="50"/>
        <v>105</v>
      </c>
      <c r="I524" s="665">
        <f t="shared" si="51"/>
        <v>2695</v>
      </c>
      <c r="J524" s="660"/>
    </row>
    <row r="525" spans="1:10">
      <c r="A525" s="685">
        <f>'Sannitary ware'!A68</f>
        <v>7</v>
      </c>
      <c r="B525" s="863" t="str">
        <f>'Sannitary ware'!B68</f>
        <v xml:space="preserve"> - ที่ใส่กระดาษชำระ (ห้องผู้พิการ,ห้อง VIP)</v>
      </c>
      <c r="C525" s="506">
        <f>'Sannitary ware'!H68</f>
        <v>1</v>
      </c>
      <c r="D525" s="874" t="s">
        <v>15</v>
      </c>
      <c r="E525" s="920">
        <f>'Sannitary ware'!AD32</f>
        <v>390</v>
      </c>
      <c r="F525" s="660">
        <f t="shared" si="49"/>
        <v>390</v>
      </c>
      <c r="G525" s="921">
        <f>'Sannitary ware'!AF32</f>
        <v>120</v>
      </c>
      <c r="H525" s="665">
        <f t="shared" si="50"/>
        <v>120</v>
      </c>
      <c r="I525" s="665">
        <f t="shared" si="51"/>
        <v>510</v>
      </c>
      <c r="J525" s="660"/>
    </row>
    <row r="526" spans="1:10">
      <c r="A526" s="685">
        <f>'Sannitary ware'!A69</f>
        <v>8</v>
      </c>
      <c r="B526" s="863" t="str">
        <f>'Sannitary ware'!B69</f>
        <v xml:space="preserve"> - ก๊อกล้างพื้น </v>
      </c>
      <c r="C526" s="506">
        <f>'Sannitary ware'!H69</f>
        <v>5</v>
      </c>
      <c r="D526" s="874" t="s">
        <v>15</v>
      </c>
      <c r="E526" s="920">
        <f>'Sannitary ware'!AD33</f>
        <v>125</v>
      </c>
      <c r="F526" s="660">
        <f t="shared" si="49"/>
        <v>625</v>
      </c>
      <c r="G526" s="921">
        <f>'Sannitary ware'!AF33</f>
        <v>25</v>
      </c>
      <c r="H526" s="665">
        <f t="shared" si="50"/>
        <v>125</v>
      </c>
      <c r="I526" s="665">
        <f t="shared" si="51"/>
        <v>750</v>
      </c>
      <c r="J526" s="660"/>
    </row>
    <row r="527" spans="1:10">
      <c r="A527" s="685"/>
      <c r="B527" s="863" t="str">
        <f>'Sannitary ware'!B70</f>
        <v xml:space="preserve"> - ตะแกรงระบายน้ำที่พื้น </v>
      </c>
      <c r="C527" s="506">
        <f>'Sannitary ware'!H70</f>
        <v>9</v>
      </c>
      <c r="D527" s="874" t="s">
        <v>15</v>
      </c>
      <c r="E527" s="920">
        <f>'Sannitary ware'!AD34</f>
        <v>350</v>
      </c>
      <c r="F527" s="660">
        <f t="shared" si="49"/>
        <v>3150</v>
      </c>
      <c r="G527" s="921">
        <f>'Sannitary ware'!AF34</f>
        <v>75</v>
      </c>
      <c r="H527" s="665">
        <f t="shared" si="50"/>
        <v>675</v>
      </c>
      <c r="I527" s="665">
        <f t="shared" si="51"/>
        <v>3825</v>
      </c>
      <c r="J527" s="660"/>
    </row>
    <row r="528" spans="1:10">
      <c r="A528" s="685" t="str">
        <f>'Sannitary ware'!A71</f>
        <v>P</v>
      </c>
      <c r="B528" s="863" t="str">
        <f>'Sannitary ware'!B71</f>
        <v xml:space="preserve"> - ชุดผนังห้องน้ำสำเร็จรูป </v>
      </c>
      <c r="C528" s="506">
        <f>'Sannitary ware'!H71</f>
        <v>23</v>
      </c>
      <c r="D528" s="874" t="s">
        <v>15</v>
      </c>
      <c r="E528" s="920">
        <f>'Sannitary ware'!AD35</f>
        <v>12600</v>
      </c>
      <c r="F528" s="660">
        <f t="shared" si="49"/>
        <v>289800</v>
      </c>
      <c r="G528" s="921">
        <f>'Sannitary ware'!AF35</f>
        <v>1250</v>
      </c>
      <c r="H528" s="665">
        <f t="shared" si="50"/>
        <v>28750</v>
      </c>
      <c r="I528" s="665">
        <f t="shared" si="51"/>
        <v>318550</v>
      </c>
      <c r="J528" s="660"/>
    </row>
    <row r="529" spans="1:10">
      <c r="A529" s="685"/>
      <c r="B529" s="863" t="str">
        <f>'Sannitary ware'!B73</f>
        <v xml:space="preserve"> - TOP หินแกรนิตสีดำ</v>
      </c>
      <c r="C529" s="506">
        <f>'Sannitary ware'!H73</f>
        <v>26</v>
      </c>
      <c r="D529" s="505" t="s">
        <v>16</v>
      </c>
      <c r="E529" s="920">
        <f>'Sannitary ware'!AD37</f>
        <v>2500</v>
      </c>
      <c r="F529" s="660">
        <f t="shared" si="49"/>
        <v>65000</v>
      </c>
      <c r="G529" s="921">
        <f>'Sannitary ware'!AF37</f>
        <v>250</v>
      </c>
      <c r="H529" s="665">
        <f t="shared" si="50"/>
        <v>6500</v>
      </c>
      <c r="I529" s="665">
        <f t="shared" si="51"/>
        <v>71500</v>
      </c>
      <c r="J529" s="660"/>
    </row>
    <row r="530" spans="1:10">
      <c r="A530" s="685"/>
      <c r="B530" s="863" t="str">
        <f>'Sannitary ware'!B74</f>
        <v xml:space="preserve"> - งานหล่อเคาน์เตอร์</v>
      </c>
      <c r="C530" s="506">
        <f>'Sannitary ware'!H74</f>
        <v>22</v>
      </c>
      <c r="D530" s="874" t="s">
        <v>14</v>
      </c>
      <c r="E530" s="920">
        <f>'Sannitary ware'!AD38</f>
        <v>0</v>
      </c>
      <c r="F530" s="660">
        <f t="shared" si="49"/>
        <v>0</v>
      </c>
      <c r="G530" s="921">
        <v>160</v>
      </c>
      <c r="H530" s="665">
        <f t="shared" si="50"/>
        <v>3520</v>
      </c>
      <c r="I530" s="665">
        <f t="shared" si="51"/>
        <v>3520</v>
      </c>
      <c r="J530" s="660"/>
    </row>
    <row r="531" spans="1:10">
      <c r="A531" s="661"/>
      <c r="B531" s="863" t="s">
        <v>453</v>
      </c>
      <c r="C531" s="923">
        <f>ROUNDUP((((0.6*C530*0.12)*2400)/393),0)</f>
        <v>10</v>
      </c>
      <c r="D531" s="505" t="s">
        <v>42</v>
      </c>
      <c r="E531" s="489">
        <v>135</v>
      </c>
      <c r="F531" s="660">
        <f t="shared" si="49"/>
        <v>1350</v>
      </c>
      <c r="G531" s="672">
        <v>0</v>
      </c>
      <c r="H531" s="660">
        <f t="shared" si="50"/>
        <v>0</v>
      </c>
      <c r="I531" s="665">
        <f t="shared" si="51"/>
        <v>1350</v>
      </c>
      <c r="J531" s="660"/>
    </row>
    <row r="532" spans="1:10">
      <c r="A532" s="661"/>
      <c r="B532" s="863" t="s">
        <v>454</v>
      </c>
      <c r="C532" s="923">
        <f>ROUNDUP((((0.6*C531*0.12)*1450)/653),0)</f>
        <v>2</v>
      </c>
      <c r="D532" s="505" t="s">
        <v>43</v>
      </c>
      <c r="E532" s="489">
        <v>450</v>
      </c>
      <c r="F532" s="660">
        <f t="shared" si="49"/>
        <v>900</v>
      </c>
      <c r="G532" s="672">
        <v>0</v>
      </c>
      <c r="H532" s="660">
        <f t="shared" si="50"/>
        <v>0</v>
      </c>
      <c r="I532" s="665">
        <f t="shared" si="51"/>
        <v>900</v>
      </c>
      <c r="J532" s="660"/>
    </row>
    <row r="533" spans="1:10">
      <c r="A533" s="661"/>
      <c r="B533" s="863" t="s">
        <v>455</v>
      </c>
      <c r="C533" s="521">
        <f>C532</f>
        <v>2</v>
      </c>
      <c r="D533" s="505" t="s">
        <v>43</v>
      </c>
      <c r="E533" s="489">
        <v>460</v>
      </c>
      <c r="F533" s="660">
        <f t="shared" si="49"/>
        <v>920</v>
      </c>
      <c r="G533" s="672">
        <v>0</v>
      </c>
      <c r="H533" s="660">
        <f t="shared" si="50"/>
        <v>0</v>
      </c>
      <c r="I533" s="665">
        <f t="shared" si="51"/>
        <v>920</v>
      </c>
      <c r="J533" s="489"/>
    </row>
    <row r="534" spans="1:10">
      <c r="A534" s="661"/>
      <c r="B534" s="863" t="s">
        <v>456</v>
      </c>
      <c r="C534" s="920">
        <f>ROUNDUP((((0.6*(C530/0.15))*2)+((C530*(0.6/0.15)*2))*0.499),0)</f>
        <v>264</v>
      </c>
      <c r="D534" s="505" t="s">
        <v>19</v>
      </c>
      <c r="E534" s="489">
        <v>21.38</v>
      </c>
      <c r="F534" s="660">
        <f t="shared" si="49"/>
        <v>5644.32</v>
      </c>
      <c r="G534" s="672">
        <v>0</v>
      </c>
      <c r="H534" s="660">
        <f t="shared" si="50"/>
        <v>0</v>
      </c>
      <c r="I534" s="665">
        <f t="shared" si="51"/>
        <v>5644.32</v>
      </c>
      <c r="J534" s="660"/>
    </row>
    <row r="535" spans="1:10">
      <c r="A535" s="661"/>
      <c r="B535" s="863" t="s">
        <v>457</v>
      </c>
      <c r="C535" s="521">
        <f>(0.6*C530*0.2)</f>
        <v>2.64</v>
      </c>
      <c r="D535" s="874" t="s">
        <v>16</v>
      </c>
      <c r="E535" s="489">
        <v>400</v>
      </c>
      <c r="F535" s="660">
        <f t="shared" si="49"/>
        <v>1056</v>
      </c>
      <c r="G535" s="672">
        <v>0</v>
      </c>
      <c r="H535" s="660">
        <f t="shared" si="50"/>
        <v>0</v>
      </c>
      <c r="I535" s="665">
        <f t="shared" si="51"/>
        <v>1056</v>
      </c>
      <c r="J535" s="660"/>
    </row>
    <row r="536" spans="1:10">
      <c r="A536" s="661"/>
      <c r="B536" s="662" t="s">
        <v>1056</v>
      </c>
      <c r="C536" s="506">
        <v>1</v>
      </c>
      <c r="D536" s="505" t="s">
        <v>44</v>
      </c>
      <c r="E536" s="489">
        <f>SUM(F500:F535)*30%</f>
        <v>208768.59599999999</v>
      </c>
      <c r="F536" s="660">
        <f t="shared" si="49"/>
        <v>208768.59599999999</v>
      </c>
      <c r="G536" s="672">
        <v>0</v>
      </c>
      <c r="H536" s="660">
        <f t="shared" si="50"/>
        <v>0</v>
      </c>
      <c r="I536" s="665">
        <f t="shared" si="51"/>
        <v>208768.59599999999</v>
      </c>
      <c r="J536" s="489"/>
    </row>
    <row r="537" spans="1:10">
      <c r="A537" s="661" t="s">
        <v>1072</v>
      </c>
      <c r="B537" s="785" t="s">
        <v>47</v>
      </c>
      <c r="C537" s="506"/>
      <c r="D537" s="505"/>
      <c r="E537" s="489"/>
      <c r="F537" s="660"/>
      <c r="G537" s="672"/>
      <c r="H537" s="665"/>
      <c r="I537" s="665"/>
      <c r="J537" s="660"/>
    </row>
    <row r="538" spans="1:10">
      <c r="A538" s="661"/>
      <c r="B538" s="785" t="s">
        <v>48</v>
      </c>
      <c r="C538" s="506"/>
      <c r="D538" s="505"/>
      <c r="E538" s="489"/>
      <c r="F538" s="660"/>
      <c r="G538" s="672"/>
      <c r="H538" s="665"/>
      <c r="I538" s="665"/>
      <c r="J538" s="660"/>
    </row>
    <row r="539" spans="1:10" ht="48">
      <c r="A539" s="661"/>
      <c r="B539" s="924" t="str">
        <f>'Architecture '!DV15</f>
        <v xml:space="preserve"> - A.D2 ประตูบานเปิดสวิงคู่พร้อมช่องแสงติดตาย วงกบ 2"x4" อบสีดำ ลูกฟัก กระจกลามิเนตใสตัดแสง 6 มม. ขนาด 5.40 x 2.85 มม.</v>
      </c>
      <c r="C539" s="867">
        <f>'Architecture '!DQ15</f>
        <v>3</v>
      </c>
      <c r="D539" s="744" t="s">
        <v>15</v>
      </c>
      <c r="E539" s="527">
        <f>'Architecture '!DX15</f>
        <v>61560</v>
      </c>
      <c r="F539" s="668">
        <f t="shared" ref="F539:F557" si="52">E539*C539</f>
        <v>184680</v>
      </c>
      <c r="G539" s="669">
        <v>0</v>
      </c>
      <c r="H539" s="668">
        <f t="shared" ref="H539:H550" si="53">G539*C539</f>
        <v>0</v>
      </c>
      <c r="I539" s="670">
        <f t="shared" ref="I539:I557" si="54">H539+F539</f>
        <v>184680</v>
      </c>
      <c r="J539" s="660"/>
    </row>
    <row r="540" spans="1:10" ht="48">
      <c r="A540" s="661"/>
      <c r="B540" s="924" t="str">
        <f>'Architecture '!DV16</f>
        <v xml:space="preserve"> - A.D3 ประตูบานเปิดสวิงคู่พร้อมช่องแสงติดตาย วงกบ 2"x4" อบสีดำ ลูกฟัก กระจกลามิเนตใสตัดแสง 6 มม. ขนาด 5.40 x 2.85 มม.</v>
      </c>
      <c r="C540" s="867">
        <f>'Architecture '!DQ16</f>
        <v>1</v>
      </c>
      <c r="D540" s="744" t="s">
        <v>15</v>
      </c>
      <c r="E540" s="527">
        <f>'Architecture '!DX16</f>
        <v>61560</v>
      </c>
      <c r="F540" s="668">
        <f t="shared" si="52"/>
        <v>61560</v>
      </c>
      <c r="G540" s="669">
        <v>0</v>
      </c>
      <c r="H540" s="668">
        <f t="shared" si="53"/>
        <v>0</v>
      </c>
      <c r="I540" s="670">
        <f t="shared" si="54"/>
        <v>61560</v>
      </c>
      <c r="J540" s="660"/>
    </row>
    <row r="541" spans="1:10" ht="48">
      <c r="A541" s="661"/>
      <c r="B541" s="924" t="str">
        <f>'Architecture '!DV17</f>
        <v xml:space="preserve"> - A.D4 ประตูบานเปิดสวิงคู่พร้อมช่องแสงติดตาย วงกบ 2"x4" อบสีดำ ลูกฟัก กระจกลามิเนตใสตัดแสง 6 มม. ขนาด 2.10 x 2.85 มม.</v>
      </c>
      <c r="C541" s="867">
        <f>'Architecture '!DQ17</f>
        <v>1</v>
      </c>
      <c r="D541" s="744" t="s">
        <v>15</v>
      </c>
      <c r="E541" s="527">
        <f>'Architecture '!DX17</f>
        <v>23940</v>
      </c>
      <c r="F541" s="668">
        <f t="shared" si="52"/>
        <v>23940</v>
      </c>
      <c r="G541" s="669">
        <v>0</v>
      </c>
      <c r="H541" s="668">
        <f t="shared" si="53"/>
        <v>0</v>
      </c>
      <c r="I541" s="670">
        <f t="shared" si="54"/>
        <v>23940</v>
      </c>
      <c r="J541" s="660"/>
    </row>
    <row r="542" spans="1:10" ht="48">
      <c r="A542" s="661"/>
      <c r="B542" s="924" t="str">
        <f>'Architecture '!DV18</f>
        <v xml:space="preserve"> - A.D5 ประตูบานเปิดเดี่ยวพร้อมเกล็ดระบายอากาศด้านล่าง วงกบ ขนาด 2"x5" ทำสีตามตัวอย่าง ขนาด 0.80 x 2.05 มม.</v>
      </c>
      <c r="C542" s="867">
        <f>'Architecture '!DQ18</f>
        <v>1</v>
      </c>
      <c r="D542" s="744" t="s">
        <v>15</v>
      </c>
      <c r="E542" s="527">
        <f>'Architecture '!DX18</f>
        <v>8200</v>
      </c>
      <c r="F542" s="668">
        <f t="shared" si="52"/>
        <v>8200</v>
      </c>
      <c r="G542" s="669">
        <v>800</v>
      </c>
      <c r="H542" s="668">
        <f t="shared" si="53"/>
        <v>800</v>
      </c>
      <c r="I542" s="670">
        <f t="shared" si="54"/>
        <v>9000</v>
      </c>
      <c r="J542" s="660"/>
    </row>
    <row r="543" spans="1:10" ht="48">
      <c r="A543" s="661"/>
      <c r="B543" s="924" t="str">
        <f>'Architecture '!DV20</f>
        <v xml:space="preserve"> - A.D6.1 ประตูบานเปิดคู่พร้อมช่องแสงติดตาย วงกบ ขนาด 2"x4" ทำสีตามตัวอย่าง ลูกฟัก กระจกลามิเนตใสตัดแสง 6 มม. ขนาด 2.10 x 2.50 มม.</v>
      </c>
      <c r="C543" s="867">
        <f>'Architecture '!DQ20</f>
        <v>1</v>
      </c>
      <c r="D543" s="744" t="s">
        <v>15</v>
      </c>
      <c r="E543" s="527">
        <f>'Architecture '!DX20</f>
        <v>15750</v>
      </c>
      <c r="F543" s="668">
        <f t="shared" si="52"/>
        <v>15750</v>
      </c>
      <c r="G543" s="669">
        <v>1200</v>
      </c>
      <c r="H543" s="668">
        <f t="shared" si="53"/>
        <v>1200</v>
      </c>
      <c r="I543" s="670">
        <f t="shared" si="54"/>
        <v>16950</v>
      </c>
      <c r="J543" s="660"/>
    </row>
    <row r="544" spans="1:10" ht="48">
      <c r="A544" s="661"/>
      <c r="B544" s="924" t="str">
        <f>'Architecture '!DV24</f>
        <v xml:space="preserve"> - A.D9.1 ประตูบานเปิดสวิงคู่พร้อมช่องแสงติดตาย วงกบ 2"x4" อบสีดำ ลูกฟัก กระจกลามิเนตใสตัดแสง 6 มม. ขนาด 2.10 x 2.85 มม.</v>
      </c>
      <c r="C544" s="867">
        <f>'Architecture '!DQ24</f>
        <v>1</v>
      </c>
      <c r="D544" s="744" t="s">
        <v>15</v>
      </c>
      <c r="E544" s="527">
        <f>'Architecture '!DX24</f>
        <v>21000</v>
      </c>
      <c r="F544" s="668">
        <f t="shared" si="52"/>
        <v>21000</v>
      </c>
      <c r="G544" s="669">
        <v>0</v>
      </c>
      <c r="H544" s="668">
        <f t="shared" si="53"/>
        <v>0</v>
      </c>
      <c r="I544" s="670">
        <f t="shared" si="54"/>
        <v>21000</v>
      </c>
      <c r="J544" s="660"/>
    </row>
    <row r="545" spans="1:10" ht="48">
      <c r="A545" s="661"/>
      <c r="B545" s="924" t="str">
        <f>'Architecture '!DV25</f>
        <v xml:space="preserve"> - A.D10 ประตูบานเปิดคู่สวิง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545" s="867">
        <f>'Architecture '!DQ25</f>
        <v>1</v>
      </c>
      <c r="D545" s="744" t="s">
        <v>15</v>
      </c>
      <c r="E545" s="527">
        <f>'Architecture '!DX25</f>
        <v>20295</v>
      </c>
      <c r="F545" s="668">
        <f t="shared" si="52"/>
        <v>20295</v>
      </c>
      <c r="G545" s="669">
        <v>1500</v>
      </c>
      <c r="H545" s="668">
        <f t="shared" si="53"/>
        <v>1500</v>
      </c>
      <c r="I545" s="670">
        <f t="shared" si="54"/>
        <v>21795</v>
      </c>
      <c r="J545" s="660"/>
    </row>
    <row r="546" spans="1:10" ht="48">
      <c r="A546" s="661"/>
      <c r="B546" s="924" t="str">
        <f>'Architecture '!DV26</f>
        <v xml:space="preserve"> - A.D11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546" s="867">
        <f>'Architecture '!DQ26</f>
        <v>4</v>
      </c>
      <c r="D546" s="744" t="s">
        <v>15</v>
      </c>
      <c r="E546" s="527">
        <f>'Architecture '!DX26</f>
        <v>13750</v>
      </c>
      <c r="F546" s="668">
        <f t="shared" si="52"/>
        <v>55000</v>
      </c>
      <c r="G546" s="669">
        <v>1000</v>
      </c>
      <c r="H546" s="668">
        <f t="shared" si="53"/>
        <v>4000</v>
      </c>
      <c r="I546" s="670">
        <f t="shared" si="54"/>
        <v>59000</v>
      </c>
      <c r="J546" s="660"/>
    </row>
    <row r="547" spans="1:10">
      <c r="A547" s="661"/>
      <c r="B547" s="925" t="str">
        <f>'Architecture '!DV27</f>
        <v xml:space="preserve"> - A.D12 ประตูบานเลื่อนสำเร็จรูป สีเทา (หรือเทียบเท่า) ขนาด 1.00 x 2.50 มม.</v>
      </c>
      <c r="C547" s="867">
        <f>'Architecture '!DQ27</f>
        <v>1</v>
      </c>
      <c r="D547" s="744" t="s">
        <v>15</v>
      </c>
      <c r="E547" s="527">
        <f>'Architecture '!DX27</f>
        <v>14500</v>
      </c>
      <c r="F547" s="668">
        <f t="shared" si="52"/>
        <v>14500</v>
      </c>
      <c r="G547" s="669">
        <v>0</v>
      </c>
      <c r="H547" s="668">
        <f t="shared" si="53"/>
        <v>0</v>
      </c>
      <c r="I547" s="670">
        <f t="shared" si="54"/>
        <v>14500</v>
      </c>
      <c r="J547" s="660"/>
    </row>
    <row r="548" spans="1:10" ht="48">
      <c r="A548" s="661"/>
      <c r="B548" s="924" t="str">
        <f>'Architecture '!DV28</f>
        <v xml:space="preserve"> - A.D13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548" s="867">
        <f>'Architecture '!DQ28</f>
        <v>2</v>
      </c>
      <c r="D548" s="744" t="s">
        <v>15</v>
      </c>
      <c r="E548" s="527">
        <f>'Architecture '!DX28</f>
        <v>13530</v>
      </c>
      <c r="F548" s="668">
        <f t="shared" si="52"/>
        <v>27060</v>
      </c>
      <c r="G548" s="669">
        <v>1500</v>
      </c>
      <c r="H548" s="668">
        <f t="shared" si="53"/>
        <v>3000</v>
      </c>
      <c r="I548" s="670">
        <f t="shared" si="54"/>
        <v>30060</v>
      </c>
      <c r="J548" s="660"/>
    </row>
    <row r="549" spans="1:10" ht="48">
      <c r="A549" s="661"/>
      <c r="B549" s="924" t="str">
        <f>'Architecture '!DV29</f>
        <v xml:space="preserve"> - A.D14 ประตูบานเปิดเดี่ยวพร้อมช่องแสงติดตาย วงกบ ขนาด 2"x4" ทำสีตามตัวอย่าง ลูกฟัก กระจกลามิเนตใส 6 มม. ขนาด 1.10 x 2.50 มม.</v>
      </c>
      <c r="C549" s="867">
        <f>'Architecture '!DQ29</f>
        <v>16</v>
      </c>
      <c r="D549" s="744" t="s">
        <v>15</v>
      </c>
      <c r="E549" s="527">
        <f>'Architecture '!DX29</f>
        <v>12375</v>
      </c>
      <c r="F549" s="668">
        <f t="shared" si="52"/>
        <v>198000</v>
      </c>
      <c r="G549" s="669">
        <v>0</v>
      </c>
      <c r="H549" s="668">
        <f t="shared" si="53"/>
        <v>0</v>
      </c>
      <c r="I549" s="670">
        <f t="shared" si="54"/>
        <v>198000</v>
      </c>
      <c r="J549" s="660"/>
    </row>
    <row r="550" spans="1:10" ht="48">
      <c r="A550" s="661"/>
      <c r="B550" s="924" t="str">
        <f>'Architecture '!DV30</f>
        <v xml:space="preserve"> - A.D15 ประตูบานเปิดคู่พร้อมช่องแสงติดตาย วงกบ 2"x4" อบสีดำ ลูกฟัก กระจกลามิเนตใส 6 มม. ขนาด 5.40 x 2.50 มม.</v>
      </c>
      <c r="C550" s="867">
        <f>'Architecture '!DQ30</f>
        <v>1</v>
      </c>
      <c r="D550" s="744" t="s">
        <v>15</v>
      </c>
      <c r="E550" s="527">
        <f>'Architecture '!DX30</f>
        <v>19950</v>
      </c>
      <c r="F550" s="668">
        <f t="shared" si="52"/>
        <v>19950</v>
      </c>
      <c r="G550" s="669">
        <v>0</v>
      </c>
      <c r="H550" s="668">
        <f t="shared" si="53"/>
        <v>0</v>
      </c>
      <c r="I550" s="670">
        <f t="shared" si="54"/>
        <v>19950</v>
      </c>
      <c r="J550" s="660"/>
    </row>
    <row r="551" spans="1:10">
      <c r="A551" s="661"/>
      <c r="B551" s="785" t="s">
        <v>49</v>
      </c>
      <c r="C551" s="867"/>
      <c r="D551" s="744"/>
      <c r="E551" s="527"/>
      <c r="F551" s="668"/>
      <c r="G551" s="669"/>
      <c r="H551" s="670"/>
      <c r="I551" s="670"/>
      <c r="J551" s="660"/>
    </row>
    <row r="552" spans="1:10" ht="48">
      <c r="A552" s="661"/>
      <c r="B552" s="924" t="str">
        <f>'Architecture '!DV39</f>
        <v xml:space="preserve"> - A.W1 หน้าต่างบานเปิดพร้อมช่องแสงติดตาย วงกบ 2"x4" อบสีดำ ลูกฟัก กระจกลามิเนตเขียวใสตัดแสง 6 มม. ขนาด 5.10 x 1.65 มม.</v>
      </c>
      <c r="C552" s="867">
        <f>'Architecture '!DQ39</f>
        <v>20</v>
      </c>
      <c r="D552" s="744" t="s">
        <v>15</v>
      </c>
      <c r="E552" s="527">
        <f>'Architecture '!DX39</f>
        <v>25245</v>
      </c>
      <c r="F552" s="668">
        <f t="shared" si="52"/>
        <v>504900</v>
      </c>
      <c r="G552" s="669">
        <v>0</v>
      </c>
      <c r="H552" s="668">
        <f t="shared" ref="H552:H558" si="55">G552*C552</f>
        <v>0</v>
      </c>
      <c r="I552" s="670">
        <f t="shared" si="54"/>
        <v>504900</v>
      </c>
      <c r="J552" s="489"/>
    </row>
    <row r="553" spans="1:10" ht="48">
      <c r="A553" s="661"/>
      <c r="B553" s="924" t="str">
        <f>'Architecture '!DV44</f>
        <v xml:space="preserve"> - A.W4.1 หน้าต่างบานกระทุ้งพร้อมช่องแสงติดตาย วงกบ 2"x4" อบสีดำ ลูกฟัก กระจกลามิเนตใส 6 มม. ขนาด 5.10 x 1.65 มม.</v>
      </c>
      <c r="C553" s="867">
        <f>'Architecture '!DQ44</f>
        <v>3</v>
      </c>
      <c r="D553" s="744" t="s">
        <v>15</v>
      </c>
      <c r="E553" s="527">
        <f>'Architecture '!DX44</f>
        <v>25245</v>
      </c>
      <c r="F553" s="668">
        <f t="shared" si="52"/>
        <v>75735</v>
      </c>
      <c r="G553" s="669">
        <v>0</v>
      </c>
      <c r="H553" s="668">
        <f t="shared" si="55"/>
        <v>0</v>
      </c>
      <c r="I553" s="670">
        <f t="shared" si="54"/>
        <v>75735</v>
      </c>
      <c r="J553" s="489"/>
    </row>
    <row r="554" spans="1:10" ht="48">
      <c r="A554" s="661"/>
      <c r="B554" s="924" t="str">
        <f>'Architecture '!DV45</f>
        <v xml:space="preserve"> - A.W5 หน้าต่างบานกระทุ้งพร้อมช่องแสงติดตาย วงกบ 2"x4" อบสีดำ ลูกฟัก กระจกลามิเนตเขียวใสตัดแสง 6 มม. ขนาด 1.75 x 1.65 มม.</v>
      </c>
      <c r="C554" s="867">
        <f>'Architecture '!DQ45</f>
        <v>1</v>
      </c>
      <c r="D554" s="744" t="s">
        <v>15</v>
      </c>
      <c r="E554" s="527">
        <f>'Architecture '!DX45</f>
        <v>8663</v>
      </c>
      <c r="F554" s="668">
        <f t="shared" si="52"/>
        <v>8663</v>
      </c>
      <c r="G554" s="669">
        <v>0</v>
      </c>
      <c r="H554" s="668">
        <f t="shared" si="55"/>
        <v>0</v>
      </c>
      <c r="I554" s="670">
        <f t="shared" si="54"/>
        <v>8663</v>
      </c>
      <c r="J554" s="489"/>
    </row>
    <row r="555" spans="1:10" ht="48">
      <c r="A555" s="661"/>
      <c r="B555" s="924" t="str">
        <f>'Architecture '!DV48</f>
        <v xml:space="preserve"> - A.W6.1 ช่องแสงติดตายบานสลับ วงกบ 2"x4" อบสีดำ ลูกฟัก กระจกฝ้า 6 มม. ขนาด 2.30 x 0.85 มม.</v>
      </c>
      <c r="C555" s="867">
        <f>'Architecture '!DQ48</f>
        <v>6</v>
      </c>
      <c r="D555" s="744" t="s">
        <v>15</v>
      </c>
      <c r="E555" s="527">
        <f>'Architecture '!DX48</f>
        <v>6842.4999999999991</v>
      </c>
      <c r="F555" s="668">
        <f t="shared" si="52"/>
        <v>41054.999999999993</v>
      </c>
      <c r="G555" s="669">
        <v>0</v>
      </c>
      <c r="H555" s="668">
        <f t="shared" si="55"/>
        <v>0</v>
      </c>
      <c r="I555" s="670">
        <f t="shared" si="54"/>
        <v>41054.999999999993</v>
      </c>
      <c r="J555" s="489"/>
    </row>
    <row r="556" spans="1:10" ht="48">
      <c r="A556" s="661"/>
      <c r="B556" s="924" t="str">
        <f>'Architecture '!DV50</f>
        <v xml:space="preserve"> - A.W7.1 ช่องแสงติดตายบานสลับ วงกบ 2"x4" อบสีดำ ลูกฟัก กระจกฝ้า 6 มม. ขนาด 1.70 x 0.85 มม.</v>
      </c>
      <c r="C556" s="867">
        <f>'Architecture '!DQ50</f>
        <v>1</v>
      </c>
      <c r="D556" s="744" t="s">
        <v>15</v>
      </c>
      <c r="E556" s="527">
        <f>'Architecture '!DX50</f>
        <v>5057.4999999999991</v>
      </c>
      <c r="F556" s="668">
        <f t="shared" si="52"/>
        <v>5057.4999999999991</v>
      </c>
      <c r="G556" s="669">
        <v>0</v>
      </c>
      <c r="H556" s="668">
        <f t="shared" si="55"/>
        <v>0</v>
      </c>
      <c r="I556" s="670">
        <f t="shared" si="54"/>
        <v>5057.4999999999991</v>
      </c>
      <c r="J556" s="489"/>
    </row>
    <row r="557" spans="1:10" ht="48">
      <c r="A557" s="661"/>
      <c r="B557" s="924" t="str">
        <f>'Architecture '!DV54</f>
        <v xml:space="preserve"> - A.W10.1 หน้าต่างบานเปิดพร้อมช่องแสงติดตาย วงกบ 2"x4" อบสีดำ ลูกฟัก กระจกลามิเนตเขียวใสตัดแสง 6 มม. ขนาด 1.90 x 1.65 มม.</v>
      </c>
      <c r="C557" s="867">
        <f>'Architecture '!DQ54</f>
        <v>1</v>
      </c>
      <c r="D557" s="744" t="s">
        <v>15</v>
      </c>
      <c r="E557" s="527">
        <f>'Architecture '!DX54</f>
        <v>9405</v>
      </c>
      <c r="F557" s="668">
        <f t="shared" si="52"/>
        <v>9405</v>
      </c>
      <c r="G557" s="669">
        <v>0</v>
      </c>
      <c r="H557" s="668">
        <f t="shared" si="55"/>
        <v>0</v>
      </c>
      <c r="I557" s="670">
        <f t="shared" si="54"/>
        <v>9405</v>
      </c>
      <c r="J557" s="489"/>
    </row>
    <row r="558" spans="1:10">
      <c r="A558" s="661"/>
      <c r="B558" s="662" t="s">
        <v>1056</v>
      </c>
      <c r="C558" s="498">
        <v>1</v>
      </c>
      <c r="D558" s="499" t="s">
        <v>44</v>
      </c>
      <c r="E558" s="500">
        <f>SUM(F538:F557)*20%</f>
        <v>258950.1</v>
      </c>
      <c r="F558" s="663">
        <f>E558*C558</f>
        <v>258950.1</v>
      </c>
      <c r="G558" s="672">
        <v>0</v>
      </c>
      <c r="H558" s="660">
        <f t="shared" si="55"/>
        <v>0</v>
      </c>
      <c r="I558" s="665">
        <f>H558+F558</f>
        <v>258950.1</v>
      </c>
      <c r="J558" s="489"/>
    </row>
    <row r="559" spans="1:10">
      <c r="A559" s="661" t="s">
        <v>1073</v>
      </c>
      <c r="B559" s="525" t="s">
        <v>382</v>
      </c>
      <c r="C559" s="506"/>
      <c r="D559" s="505"/>
      <c r="E559" s="489"/>
      <c r="F559" s="660"/>
      <c r="G559" s="672"/>
      <c r="H559" s="665"/>
      <c r="I559" s="665"/>
      <c r="J559" s="489"/>
    </row>
    <row r="560" spans="1:10">
      <c r="A560" s="661"/>
      <c r="B560" s="927" t="s">
        <v>1429</v>
      </c>
      <c r="C560" s="867">
        <f>'Architecture '!DN99</f>
        <v>540</v>
      </c>
      <c r="D560" s="526" t="s">
        <v>16</v>
      </c>
      <c r="E560" s="527">
        <v>6000</v>
      </c>
      <c r="F560" s="527">
        <f>E560*C560</f>
        <v>3240000</v>
      </c>
      <c r="G560" s="672">
        <f>E560*0.2</f>
        <v>1200</v>
      </c>
      <c r="H560" s="528">
        <f>G560*C560</f>
        <v>648000</v>
      </c>
      <c r="I560" s="528">
        <f>H560+F560</f>
        <v>3888000</v>
      </c>
      <c r="J560" s="527"/>
    </row>
    <row r="561" spans="1:10">
      <c r="A561" s="661"/>
      <c r="B561" s="662" t="s">
        <v>450</v>
      </c>
      <c r="C561" s="498">
        <v>1</v>
      </c>
      <c r="D561" s="499" t="s">
        <v>44</v>
      </c>
      <c r="E561" s="500">
        <f>SUM(F560)*20%</f>
        <v>648000</v>
      </c>
      <c r="F561" s="663">
        <f>E561*C561</f>
        <v>648000</v>
      </c>
      <c r="G561" s="672">
        <v>0</v>
      </c>
      <c r="H561" s="660">
        <f>G561*C561</f>
        <v>0</v>
      </c>
      <c r="I561" s="665">
        <f>H561+F561</f>
        <v>648000</v>
      </c>
      <c r="J561" s="489"/>
    </row>
    <row r="562" spans="1:10">
      <c r="A562" s="661"/>
      <c r="B562" s="785"/>
      <c r="C562" s="506"/>
      <c r="D562" s="505"/>
      <c r="E562" s="489"/>
      <c r="F562" s="660"/>
      <c r="G562" s="672"/>
      <c r="H562" s="665"/>
      <c r="I562" s="665"/>
      <c r="J562" s="489"/>
    </row>
    <row r="563" spans="1:10">
      <c r="A563" s="504">
        <v>3.3</v>
      </c>
      <c r="B563" s="493" t="s">
        <v>1200</v>
      </c>
      <c r="C563" s="506"/>
      <c r="D563" s="505"/>
      <c r="E563" s="489"/>
      <c r="F563" s="489"/>
      <c r="G563" s="507"/>
      <c r="H563" s="490"/>
      <c r="I563" s="490"/>
      <c r="J563" s="489"/>
    </row>
    <row r="564" spans="1:10">
      <c r="A564" s="661" t="s">
        <v>1074</v>
      </c>
      <c r="B564" s="919" t="s">
        <v>29</v>
      </c>
      <c r="C564" s="506"/>
      <c r="D564" s="505"/>
      <c r="E564" s="489"/>
      <c r="F564" s="660"/>
      <c r="G564" s="672"/>
      <c r="H564" s="665"/>
      <c r="I564" s="665"/>
      <c r="J564" s="489"/>
    </row>
    <row r="565" spans="1:10">
      <c r="A565" s="661"/>
      <c r="B565" s="863" t="s">
        <v>430</v>
      </c>
      <c r="C565" s="506">
        <f>'Architecture '!C153</f>
        <v>88</v>
      </c>
      <c r="D565" s="505" t="s">
        <v>16</v>
      </c>
      <c r="E565" s="489">
        <v>95</v>
      </c>
      <c r="F565" s="660">
        <f>E565*C565</f>
        <v>8360</v>
      </c>
      <c r="G565" s="672">
        <v>82</v>
      </c>
      <c r="H565" s="665">
        <f>G565*C565</f>
        <v>7216</v>
      </c>
      <c r="I565" s="665">
        <f>H565+F565</f>
        <v>15576</v>
      </c>
      <c r="J565" s="489"/>
    </row>
    <row r="566" spans="1:10">
      <c r="A566" s="661"/>
      <c r="B566" s="863" t="s">
        <v>1786</v>
      </c>
      <c r="C566" s="506">
        <f>'Architecture '!D153</f>
        <v>1527</v>
      </c>
      <c r="D566" s="505" t="s">
        <v>16</v>
      </c>
      <c r="E566" s="489">
        <v>350</v>
      </c>
      <c r="F566" s="660">
        <f>E566*C566</f>
        <v>534450</v>
      </c>
      <c r="G566" s="672">
        <v>198</v>
      </c>
      <c r="H566" s="665">
        <f>G566*C566</f>
        <v>302346</v>
      </c>
      <c r="I566" s="665">
        <f>H566+F566</f>
        <v>836796</v>
      </c>
      <c r="J566" s="489"/>
    </row>
    <row r="567" spans="1:10">
      <c r="A567" s="661"/>
      <c r="B567" s="863" t="s">
        <v>1788</v>
      </c>
      <c r="C567" s="506">
        <f>'Architecture '!E153</f>
        <v>161</v>
      </c>
      <c r="D567" s="505" t="s">
        <v>16</v>
      </c>
      <c r="E567" s="489">
        <v>560</v>
      </c>
      <c r="F567" s="660">
        <f>E567*C567</f>
        <v>90160</v>
      </c>
      <c r="G567" s="672">
        <v>250</v>
      </c>
      <c r="H567" s="665">
        <f>G567*C567</f>
        <v>40250</v>
      </c>
      <c r="I567" s="665">
        <f>H567+F567</f>
        <v>130410</v>
      </c>
      <c r="J567" s="489"/>
    </row>
    <row r="568" spans="1:10">
      <c r="A568" s="661"/>
      <c r="B568" s="863" t="s">
        <v>1425</v>
      </c>
      <c r="C568" s="506">
        <f>'Architecture '!H153</f>
        <v>118</v>
      </c>
      <c r="D568" s="505" t="s">
        <v>16</v>
      </c>
      <c r="E568" s="489">
        <v>101</v>
      </c>
      <c r="F568" s="660">
        <f>E568*C568</f>
        <v>11918</v>
      </c>
      <c r="G568" s="672">
        <v>82</v>
      </c>
      <c r="H568" s="665">
        <f>G568*C568</f>
        <v>9676</v>
      </c>
      <c r="I568" s="665">
        <f>H568+F568</f>
        <v>21594</v>
      </c>
      <c r="J568" s="489"/>
    </row>
    <row r="569" spans="1:10">
      <c r="A569" s="661"/>
      <c r="B569" s="863" t="s">
        <v>30</v>
      </c>
      <c r="C569" s="506">
        <f>C567</f>
        <v>161</v>
      </c>
      <c r="D569" s="505" t="s">
        <v>16</v>
      </c>
      <c r="E569" s="489">
        <v>83</v>
      </c>
      <c r="F569" s="660">
        <f>E569*C569</f>
        <v>13363</v>
      </c>
      <c r="G569" s="672">
        <v>82</v>
      </c>
      <c r="H569" s="665">
        <f>G569*C569</f>
        <v>13202</v>
      </c>
      <c r="I569" s="665">
        <f>H569+F569</f>
        <v>26565</v>
      </c>
      <c r="J569" s="489"/>
    </row>
    <row r="570" spans="1:10">
      <c r="A570" s="661" t="s">
        <v>1075</v>
      </c>
      <c r="B570" s="919" t="s">
        <v>31</v>
      </c>
      <c r="C570" s="506"/>
      <c r="D570" s="874"/>
      <c r="E570" s="489"/>
      <c r="F570" s="660"/>
      <c r="G570" s="672"/>
      <c r="H570" s="665"/>
      <c r="I570" s="665"/>
      <c r="J570" s="489"/>
    </row>
    <row r="571" spans="1:10">
      <c r="A571" s="661"/>
      <c r="B571" s="919" t="s">
        <v>32</v>
      </c>
      <c r="C571" s="506"/>
      <c r="D571" s="874"/>
      <c r="E571" s="489"/>
      <c r="F571" s="660"/>
      <c r="G571" s="672"/>
      <c r="H571" s="665"/>
      <c r="I571" s="665"/>
      <c r="J571" s="489"/>
    </row>
    <row r="572" spans="1:10">
      <c r="A572" s="661"/>
      <c r="B572" s="863" t="s">
        <v>433</v>
      </c>
      <c r="C572" s="506">
        <f>'Architecture '!U153</f>
        <v>2426</v>
      </c>
      <c r="D572" s="874" t="s">
        <v>16</v>
      </c>
      <c r="E572" s="489">
        <v>285</v>
      </c>
      <c r="F572" s="660">
        <f>E572*C572</f>
        <v>691410</v>
      </c>
      <c r="G572" s="672">
        <v>89</v>
      </c>
      <c r="H572" s="665">
        <f>G572*C572</f>
        <v>215914</v>
      </c>
      <c r="I572" s="665">
        <f>H572+F572</f>
        <v>907324</v>
      </c>
      <c r="J572" s="489"/>
    </row>
    <row r="573" spans="1:10">
      <c r="A573" s="661"/>
      <c r="B573" s="863" t="s">
        <v>432</v>
      </c>
      <c r="C573" s="506">
        <f>'Architecture '!V153</f>
        <v>153</v>
      </c>
      <c r="D573" s="874" t="s">
        <v>16</v>
      </c>
      <c r="E573" s="489">
        <v>584</v>
      </c>
      <c r="F573" s="660">
        <f>E573*C573</f>
        <v>89352</v>
      </c>
      <c r="G573" s="672">
        <v>167</v>
      </c>
      <c r="H573" s="665">
        <f>G573*C573</f>
        <v>25551</v>
      </c>
      <c r="I573" s="665">
        <f>H573+F573</f>
        <v>114903</v>
      </c>
      <c r="J573" s="489"/>
    </row>
    <row r="574" spans="1:10">
      <c r="A574" s="661"/>
      <c r="B574" s="863" t="s">
        <v>33</v>
      </c>
      <c r="C574" s="506">
        <f>ROUNDUP('Architecture '!AQ153+'Architecture '!AR153+'Architecture '!AT153,0)</f>
        <v>919</v>
      </c>
      <c r="D574" s="874" t="s">
        <v>14</v>
      </c>
      <c r="E574" s="489">
        <v>70</v>
      </c>
      <c r="F574" s="660">
        <f>E574*C574</f>
        <v>64330</v>
      </c>
      <c r="G574" s="672">
        <v>44</v>
      </c>
      <c r="H574" s="665">
        <f>G574*C574</f>
        <v>40436</v>
      </c>
      <c r="I574" s="665">
        <f>H574+F574</f>
        <v>104766</v>
      </c>
      <c r="J574" s="489"/>
    </row>
    <row r="575" spans="1:10">
      <c r="A575" s="661"/>
      <c r="B575" s="785" t="s">
        <v>34</v>
      </c>
      <c r="C575" s="506"/>
      <c r="D575" s="505"/>
      <c r="E575" s="489"/>
      <c r="F575" s="660"/>
      <c r="G575" s="672"/>
      <c r="H575" s="665"/>
      <c r="I575" s="665"/>
      <c r="J575" s="489"/>
    </row>
    <row r="576" spans="1:10">
      <c r="A576" s="661"/>
      <c r="B576" s="863" t="s">
        <v>1390</v>
      </c>
      <c r="C576" s="506">
        <f>'Architecture '!AD153</f>
        <v>3680</v>
      </c>
      <c r="D576" s="874" t="s">
        <v>16</v>
      </c>
      <c r="E576" s="489">
        <v>75</v>
      </c>
      <c r="F576" s="660">
        <f>E576*C576</f>
        <v>276000</v>
      </c>
      <c r="G576" s="672">
        <v>82</v>
      </c>
      <c r="H576" s="665">
        <f>G576*C576</f>
        <v>301760</v>
      </c>
      <c r="I576" s="665">
        <f>H576+F576</f>
        <v>577760</v>
      </c>
      <c r="J576" s="489"/>
    </row>
    <row r="577" spans="1:10">
      <c r="A577" s="661"/>
      <c r="B577" s="863" t="s">
        <v>1372</v>
      </c>
      <c r="C577" s="506">
        <f>'Architecture '!AG153</f>
        <v>343</v>
      </c>
      <c r="D577" s="874" t="s">
        <v>16</v>
      </c>
      <c r="E577" s="489">
        <v>750</v>
      </c>
      <c r="F577" s="660">
        <f>E577*C577</f>
        <v>257250</v>
      </c>
      <c r="G577" s="672">
        <v>250</v>
      </c>
      <c r="H577" s="665">
        <f>G577*C577</f>
        <v>85750</v>
      </c>
      <c r="I577" s="665">
        <f>H577+F577</f>
        <v>343000</v>
      </c>
      <c r="J577" s="489"/>
    </row>
    <row r="578" spans="1:10">
      <c r="A578" s="661" t="s">
        <v>1076</v>
      </c>
      <c r="B578" s="785" t="s">
        <v>35</v>
      </c>
      <c r="C578" s="506"/>
      <c r="D578" s="505"/>
      <c r="E578" s="489"/>
      <c r="F578" s="660"/>
      <c r="G578" s="672"/>
      <c r="H578" s="665"/>
      <c r="I578" s="665"/>
      <c r="J578" s="489"/>
    </row>
    <row r="579" spans="1:10">
      <c r="A579" s="518"/>
      <c r="B579" s="862" t="s">
        <v>1389</v>
      </c>
      <c r="C579" s="506">
        <f>'Architecture '!AZ153</f>
        <v>3077</v>
      </c>
      <c r="D579" s="505" t="s">
        <v>16</v>
      </c>
      <c r="E579" s="489">
        <v>180</v>
      </c>
      <c r="F579" s="660">
        <f>E579*C579</f>
        <v>553860</v>
      </c>
      <c r="G579" s="672">
        <v>50</v>
      </c>
      <c r="H579" s="665">
        <f>G579*C579</f>
        <v>153850</v>
      </c>
      <c r="I579" s="665">
        <f>H579+F579</f>
        <v>707710</v>
      </c>
      <c r="J579" s="489"/>
    </row>
    <row r="580" spans="1:10">
      <c r="A580" s="661" t="s">
        <v>1077</v>
      </c>
      <c r="B580" s="919" t="s">
        <v>36</v>
      </c>
      <c r="C580" s="506"/>
      <c r="D580" s="874"/>
      <c r="E580" s="489"/>
      <c r="F580" s="660"/>
      <c r="G580" s="672"/>
      <c r="H580" s="665"/>
      <c r="I580" s="665"/>
      <c r="J580" s="489"/>
    </row>
    <row r="581" spans="1:10">
      <c r="A581" s="685"/>
      <c r="B581" s="863" t="s">
        <v>37</v>
      </c>
      <c r="C581" s="506">
        <f>'Architecture '!AU153</f>
        <v>880</v>
      </c>
      <c r="D581" s="874" t="s">
        <v>16</v>
      </c>
      <c r="E581" s="489">
        <v>292</v>
      </c>
      <c r="F581" s="660">
        <f>E581*C581</f>
        <v>256960</v>
      </c>
      <c r="G581" s="672">
        <v>75</v>
      </c>
      <c r="H581" s="665">
        <f>G581*C581</f>
        <v>66000</v>
      </c>
      <c r="I581" s="665">
        <f>H581+F581</f>
        <v>322960</v>
      </c>
      <c r="J581" s="489"/>
    </row>
    <row r="582" spans="1:10">
      <c r="A582" s="685"/>
      <c r="B582" s="863" t="s">
        <v>38</v>
      </c>
      <c r="C582" s="506">
        <f>'Architecture '!AV153</f>
        <v>161</v>
      </c>
      <c r="D582" s="874" t="s">
        <v>16</v>
      </c>
      <c r="E582" s="489">
        <v>312</v>
      </c>
      <c r="F582" s="660">
        <f>E582*C582</f>
        <v>50232</v>
      </c>
      <c r="G582" s="672">
        <v>75</v>
      </c>
      <c r="H582" s="665">
        <f>G582*C582</f>
        <v>12075</v>
      </c>
      <c r="I582" s="665">
        <f>H582+F582</f>
        <v>62307</v>
      </c>
      <c r="J582" s="489"/>
    </row>
    <row r="583" spans="1:10">
      <c r="A583" s="685"/>
      <c r="B583" s="862" t="s">
        <v>39</v>
      </c>
      <c r="C583" s="506">
        <f>'Architecture '!BC153</f>
        <v>1748</v>
      </c>
      <c r="D583" s="874" t="s">
        <v>16</v>
      </c>
      <c r="E583" s="489">
        <v>33</v>
      </c>
      <c r="F583" s="660">
        <f>E583*C583</f>
        <v>57684</v>
      </c>
      <c r="G583" s="672">
        <v>31</v>
      </c>
      <c r="H583" s="665">
        <f>G583*C583</f>
        <v>54188</v>
      </c>
      <c r="I583" s="665">
        <f>H583+F583</f>
        <v>111872</v>
      </c>
      <c r="J583" s="489"/>
    </row>
    <row r="584" spans="1:10">
      <c r="A584" s="661" t="s">
        <v>1078</v>
      </c>
      <c r="B584" s="785" t="s">
        <v>1410</v>
      </c>
      <c r="C584" s="506"/>
      <c r="D584" s="505"/>
      <c r="E584" s="489"/>
      <c r="F584" s="660"/>
      <c r="G584" s="672"/>
      <c r="H584" s="665"/>
      <c r="I584" s="665"/>
      <c r="J584" s="489"/>
    </row>
    <row r="585" spans="1:10">
      <c r="A585" s="661" t="s">
        <v>1409</v>
      </c>
      <c r="B585" s="785" t="s">
        <v>1401</v>
      </c>
      <c r="C585" s="506"/>
      <c r="D585" s="505"/>
      <c r="E585" s="489"/>
      <c r="F585" s="660"/>
      <c r="G585" s="672"/>
      <c r="H585" s="665"/>
      <c r="I585" s="665"/>
      <c r="J585" s="489"/>
    </row>
    <row r="586" spans="1:10">
      <c r="A586" s="661"/>
      <c r="B586" s="862" t="s">
        <v>1397</v>
      </c>
      <c r="C586" s="506">
        <f>ROUNDUP((4.3+0.4+4.3+2.35)*7.01,0)</f>
        <v>80</v>
      </c>
      <c r="D586" s="505" t="s">
        <v>19</v>
      </c>
      <c r="E586" s="489">
        <v>28</v>
      </c>
      <c r="F586" s="660">
        <f>E586*C586</f>
        <v>2240</v>
      </c>
      <c r="G586" s="672">
        <v>12</v>
      </c>
      <c r="H586" s="665">
        <f>G586*C586</f>
        <v>960</v>
      </c>
      <c r="I586" s="665">
        <f>H586+F586</f>
        <v>3200</v>
      </c>
      <c r="J586" s="489"/>
    </row>
    <row r="587" spans="1:10">
      <c r="A587" s="661"/>
      <c r="B587" s="862" t="s">
        <v>1398</v>
      </c>
      <c r="C587" s="506">
        <f>ROUNDUP(((4.3+0.3+4.3+2.35)*2)+((0.85*20)*2)*2.36,0)</f>
        <v>103</v>
      </c>
      <c r="D587" s="505" t="s">
        <v>19</v>
      </c>
      <c r="E587" s="489">
        <v>28</v>
      </c>
      <c r="F587" s="660">
        <f>E587*C587</f>
        <v>2884</v>
      </c>
      <c r="G587" s="672">
        <v>12</v>
      </c>
      <c r="H587" s="665">
        <f>G587*C587</f>
        <v>1236</v>
      </c>
      <c r="I587" s="665">
        <f>H587+F587</f>
        <v>4120</v>
      </c>
      <c r="J587" s="489"/>
    </row>
    <row r="588" spans="1:10">
      <c r="A588" s="661"/>
      <c r="B588" s="862" t="s">
        <v>1756</v>
      </c>
      <c r="C588" s="506">
        <f>ROUNDUP(((0.1+0.05+0.1+0.05)*(4.3+0.4+4.3+2.35))+((0.05+0.05+0.006+0.006)*((4.3+0.3+4.3+2.35)*2)+((0.85*20)*2)),0)</f>
        <v>40</v>
      </c>
      <c r="D588" s="505" t="s">
        <v>16</v>
      </c>
      <c r="E588" s="489">
        <v>58</v>
      </c>
      <c r="F588" s="660">
        <f>E588*C588</f>
        <v>2320</v>
      </c>
      <c r="G588" s="672">
        <v>35</v>
      </c>
      <c r="H588" s="665">
        <f>G588*C588</f>
        <v>1400</v>
      </c>
      <c r="I588" s="665">
        <f>H588+F588</f>
        <v>3720</v>
      </c>
      <c r="J588" s="489"/>
    </row>
    <row r="589" spans="1:10">
      <c r="A589" s="661"/>
      <c r="B589" s="662" t="s">
        <v>450</v>
      </c>
      <c r="C589" s="498">
        <v>1</v>
      </c>
      <c r="D589" s="499" t="s">
        <v>44</v>
      </c>
      <c r="E589" s="500">
        <f>SUM(F586:F588)*20%</f>
        <v>1488.8000000000002</v>
      </c>
      <c r="F589" s="663">
        <f>E589*C589</f>
        <v>1488.8000000000002</v>
      </c>
      <c r="G589" s="664">
        <v>0</v>
      </c>
      <c r="H589" s="665">
        <f>G589*C589</f>
        <v>0</v>
      </c>
      <c r="I589" s="665">
        <f>H589+F589</f>
        <v>1488.8000000000002</v>
      </c>
      <c r="J589" s="489"/>
    </row>
    <row r="590" spans="1:10">
      <c r="A590" s="661" t="s">
        <v>1412</v>
      </c>
      <c r="B590" s="785" t="s">
        <v>1411</v>
      </c>
      <c r="C590" s="506"/>
      <c r="D590" s="505"/>
      <c r="E590" s="489"/>
      <c r="F590" s="660"/>
      <c r="G590" s="672"/>
      <c r="H590" s="665"/>
      <c r="I590" s="665"/>
      <c r="J590" s="489"/>
    </row>
    <row r="591" spans="1:10">
      <c r="A591" s="661"/>
      <c r="B591" s="862" t="s">
        <v>1397</v>
      </c>
      <c r="C591" s="506">
        <f>ROUNDUP(130*7.01,0)</f>
        <v>912</v>
      </c>
      <c r="D591" s="505" t="s">
        <v>19</v>
      </c>
      <c r="E591" s="489">
        <v>28</v>
      </c>
      <c r="F591" s="660">
        <f>E591*C591</f>
        <v>25536</v>
      </c>
      <c r="G591" s="672">
        <v>12</v>
      </c>
      <c r="H591" s="665">
        <f>G591*C591</f>
        <v>10944</v>
      </c>
      <c r="I591" s="665">
        <f>H591+F591</f>
        <v>36480</v>
      </c>
      <c r="J591" s="489"/>
    </row>
    <row r="592" spans="1:10">
      <c r="A592" s="661"/>
      <c r="B592" s="862" t="s">
        <v>1398</v>
      </c>
      <c r="C592" s="506">
        <f>ROUNDUP((130*3)+(0.85*((11*2)+(46*2))*2)*2.36,0)</f>
        <v>848</v>
      </c>
      <c r="D592" s="505" t="s">
        <v>19</v>
      </c>
      <c r="E592" s="489">
        <v>28</v>
      </c>
      <c r="F592" s="660">
        <f>E592*C592</f>
        <v>23744</v>
      </c>
      <c r="G592" s="672">
        <v>12</v>
      </c>
      <c r="H592" s="665">
        <f>G592*C592</f>
        <v>10176</v>
      </c>
      <c r="I592" s="665">
        <f>H592+F592</f>
        <v>33920</v>
      </c>
      <c r="J592" s="489"/>
    </row>
    <row r="593" spans="1:10">
      <c r="A593" s="661"/>
      <c r="B593" s="862" t="s">
        <v>1756</v>
      </c>
      <c r="C593" s="506">
        <f>ROUNDUP(((0.1+0.05+0.1+0.05)*130)+((0.05+0.05+0.006+0.006)*(130*3)+(0.85*((11*2)+(46*2))*2)),0)</f>
        <v>277</v>
      </c>
      <c r="D593" s="505" t="s">
        <v>16</v>
      </c>
      <c r="E593" s="489">
        <v>58</v>
      </c>
      <c r="F593" s="660">
        <f>E593*C593</f>
        <v>16066</v>
      </c>
      <c r="G593" s="672">
        <v>35</v>
      </c>
      <c r="H593" s="665">
        <f>G593*C593</f>
        <v>9695</v>
      </c>
      <c r="I593" s="665">
        <f>H593+F593</f>
        <v>25761</v>
      </c>
      <c r="J593" s="489"/>
    </row>
    <row r="594" spans="1:10">
      <c r="A594" s="661"/>
      <c r="B594" s="662" t="s">
        <v>450</v>
      </c>
      <c r="C594" s="498">
        <v>1</v>
      </c>
      <c r="D594" s="499" t="s">
        <v>44</v>
      </c>
      <c r="E594" s="500">
        <f>SUM(F591:F593)*20%</f>
        <v>13069.2</v>
      </c>
      <c r="F594" s="663">
        <f>E594*C594</f>
        <v>13069.2</v>
      </c>
      <c r="G594" s="664">
        <v>0</v>
      </c>
      <c r="H594" s="665">
        <f>G594*C594</f>
        <v>0</v>
      </c>
      <c r="I594" s="665">
        <f>H594+F594</f>
        <v>13069.2</v>
      </c>
      <c r="J594" s="489"/>
    </row>
    <row r="595" spans="1:10">
      <c r="A595" s="661" t="s">
        <v>1079</v>
      </c>
      <c r="B595" s="785" t="s">
        <v>471</v>
      </c>
      <c r="C595" s="506"/>
      <c r="D595" s="505"/>
      <c r="E595" s="489"/>
      <c r="F595" s="660"/>
      <c r="G595" s="672"/>
      <c r="H595" s="665"/>
      <c r="I595" s="665"/>
      <c r="J595" s="489"/>
    </row>
    <row r="596" spans="1:10">
      <c r="A596" s="661"/>
      <c r="B596" s="919" t="s">
        <v>40</v>
      </c>
      <c r="C596" s="506"/>
      <c r="D596" s="874"/>
      <c r="E596" s="489"/>
      <c r="F596" s="660"/>
      <c r="G596" s="672"/>
      <c r="H596" s="665"/>
      <c r="I596" s="665"/>
      <c r="J596" s="489"/>
    </row>
    <row r="597" spans="1:10">
      <c r="A597" s="685">
        <f>'Sannitary ware'!A81</f>
        <v>1</v>
      </c>
      <c r="B597" s="863" t="str">
        <f>'Sannitary ware'!B81</f>
        <v xml:space="preserve"> - โถสุขภัณฑ์ฟลัชวาล์ว</v>
      </c>
      <c r="C597" s="506">
        <f>'Sannitary ware'!H81</f>
        <v>23</v>
      </c>
      <c r="D597" s="874" t="s">
        <v>15</v>
      </c>
      <c r="E597" s="920">
        <f>'Sannitary ware'!AD7</f>
        <v>6500</v>
      </c>
      <c r="F597" s="660">
        <f t="shared" ref="F597:F633" si="56">E597*C597</f>
        <v>149500</v>
      </c>
      <c r="G597" s="921">
        <f>'Sannitary ware'!AF7</f>
        <v>450</v>
      </c>
      <c r="H597" s="665">
        <f t="shared" ref="H597:H633" si="57">G597*C597</f>
        <v>10350</v>
      </c>
      <c r="I597" s="665">
        <f t="shared" ref="I597:I633" si="58">H597+F597</f>
        <v>159850</v>
      </c>
      <c r="J597" s="660"/>
    </row>
    <row r="598" spans="1:10">
      <c r="A598" s="685">
        <f>'Sannitary ware'!A82</f>
        <v>1</v>
      </c>
      <c r="B598" s="863" t="str">
        <f>'Sannitary ware'!B82</f>
        <v xml:space="preserve">     • STOP VALVE 1/2" </v>
      </c>
      <c r="C598" s="506">
        <f>'Sannitary ware'!H82</f>
        <v>23</v>
      </c>
      <c r="D598" s="874" t="s">
        <v>27</v>
      </c>
      <c r="E598" s="920">
        <f>'Sannitary ware'!AD8</f>
        <v>80</v>
      </c>
      <c r="F598" s="660">
        <f t="shared" si="56"/>
        <v>1840</v>
      </c>
      <c r="G598" s="921">
        <f>'Sannitary ware'!AF8</f>
        <v>35</v>
      </c>
      <c r="H598" s="665">
        <f t="shared" si="57"/>
        <v>805</v>
      </c>
      <c r="I598" s="665">
        <f t="shared" si="58"/>
        <v>2645</v>
      </c>
      <c r="J598" s="660"/>
    </row>
    <row r="599" spans="1:10">
      <c r="A599" s="685" t="str">
        <f>'Sannitary ware'!A83</f>
        <v>1'</v>
      </c>
      <c r="B599" s="863" t="str">
        <f>'Sannitary ware'!B83</f>
        <v xml:space="preserve"> - โถสุขภัณฑ์ฟลัชวาล์ว  (ห้องน้ำผู้พิการ)</v>
      </c>
      <c r="C599" s="506">
        <f>'Sannitary ware'!H83</f>
        <v>1</v>
      </c>
      <c r="D599" s="874" t="s">
        <v>15</v>
      </c>
      <c r="E599" s="920">
        <f>'Sannitary ware'!AD9</f>
        <v>6500</v>
      </c>
      <c r="F599" s="660">
        <f t="shared" si="56"/>
        <v>6500</v>
      </c>
      <c r="G599" s="921">
        <f>'Sannitary ware'!AF9</f>
        <v>450</v>
      </c>
      <c r="H599" s="665">
        <f t="shared" si="57"/>
        <v>450</v>
      </c>
      <c r="I599" s="665">
        <f t="shared" si="58"/>
        <v>6950</v>
      </c>
      <c r="J599" s="660"/>
    </row>
    <row r="600" spans="1:10">
      <c r="A600" s="685" t="str">
        <f>'Sannitary ware'!A84</f>
        <v>1'</v>
      </c>
      <c r="B600" s="863" t="str">
        <f>'Sannitary ware'!B84</f>
        <v xml:space="preserve">     • STOP VALVE 1/2" </v>
      </c>
      <c r="C600" s="506">
        <f>'Sannitary ware'!H84</f>
        <v>1</v>
      </c>
      <c r="D600" s="874" t="s">
        <v>27</v>
      </c>
      <c r="E600" s="920">
        <f>'Sannitary ware'!AD10</f>
        <v>80</v>
      </c>
      <c r="F600" s="660">
        <f t="shared" si="56"/>
        <v>80</v>
      </c>
      <c r="G600" s="921">
        <f>'Sannitary ware'!AF10</f>
        <v>35</v>
      </c>
      <c r="H600" s="665">
        <f t="shared" si="57"/>
        <v>35</v>
      </c>
      <c r="I600" s="665">
        <f t="shared" si="58"/>
        <v>115</v>
      </c>
      <c r="J600" s="660"/>
    </row>
    <row r="601" spans="1:10">
      <c r="A601" s="685">
        <f>'Sannitary ware'!A85</f>
        <v>2</v>
      </c>
      <c r="B601" s="863" t="str">
        <f>'Sannitary ware'!B85</f>
        <v xml:space="preserve"> - สายชำระพร้อมสต๊อปวาล์ว</v>
      </c>
      <c r="C601" s="506">
        <f>'Sannitary ware'!H85</f>
        <v>23</v>
      </c>
      <c r="D601" s="874" t="s">
        <v>15</v>
      </c>
      <c r="E601" s="920">
        <f>'Sannitary ware'!AD11</f>
        <v>300</v>
      </c>
      <c r="F601" s="660">
        <f t="shared" si="56"/>
        <v>6900</v>
      </c>
      <c r="G601" s="921">
        <f>'Sannitary ware'!AF11</f>
        <v>70</v>
      </c>
      <c r="H601" s="665">
        <f t="shared" si="57"/>
        <v>1610</v>
      </c>
      <c r="I601" s="665">
        <f t="shared" si="58"/>
        <v>8510</v>
      </c>
      <c r="J601" s="489"/>
    </row>
    <row r="602" spans="1:10">
      <c r="A602" s="685">
        <f>'Sannitary ware'!A86</f>
        <v>3</v>
      </c>
      <c r="B602" s="863" t="str">
        <f>'Sannitary ware'!B86</f>
        <v xml:space="preserve"> - โถปัสสาวะชายพร้อมฟลัชวาล์ว</v>
      </c>
      <c r="C602" s="506">
        <f>'Sannitary ware'!H86</f>
        <v>10</v>
      </c>
      <c r="D602" s="874" t="s">
        <v>15</v>
      </c>
      <c r="E602" s="920">
        <f>'Sannitary ware'!AD12</f>
        <v>5500</v>
      </c>
      <c r="F602" s="660">
        <f t="shared" si="56"/>
        <v>55000</v>
      </c>
      <c r="G602" s="921">
        <f>'Sannitary ware'!AF12</f>
        <v>450</v>
      </c>
      <c r="H602" s="665">
        <f t="shared" si="57"/>
        <v>4500</v>
      </c>
      <c r="I602" s="665">
        <f t="shared" si="58"/>
        <v>59500</v>
      </c>
      <c r="J602" s="660"/>
    </row>
    <row r="603" spans="1:10">
      <c r="A603" s="685">
        <f>'Sannitary ware'!A87</f>
        <v>4</v>
      </c>
      <c r="B603" s="863" t="str">
        <f>'Sannitary ware'!B87</f>
        <v xml:space="preserve"> - อ่างล้างหน้าแบบฝังเคาน์เตอร์ </v>
      </c>
      <c r="C603" s="506">
        <f>'Sannitary ware'!H87</f>
        <v>15</v>
      </c>
      <c r="D603" s="874" t="s">
        <v>15</v>
      </c>
      <c r="E603" s="920">
        <f>'Sannitary ware'!AD13</f>
        <v>3500</v>
      </c>
      <c r="F603" s="660">
        <f t="shared" si="56"/>
        <v>52500</v>
      </c>
      <c r="G603" s="1680">
        <f>'Sannitary ware'!AF13</f>
        <v>450</v>
      </c>
      <c r="H603" s="1683">
        <f t="shared" si="57"/>
        <v>6750</v>
      </c>
      <c r="I603" s="665">
        <f t="shared" si="58"/>
        <v>59250</v>
      </c>
      <c r="J603" s="660"/>
    </row>
    <row r="604" spans="1:10">
      <c r="A604" s="685">
        <f>'Sannitary ware'!A88</f>
        <v>4</v>
      </c>
      <c r="B604" s="863" t="str">
        <f>'Sannitary ware'!B88</f>
        <v xml:space="preserve">     • ก๊อกน้ำเดี่ยวอ่างล้างหน้า </v>
      </c>
      <c r="C604" s="506">
        <f>'Sannitary ware'!H88</f>
        <v>15</v>
      </c>
      <c r="D604" s="874" t="s">
        <v>15</v>
      </c>
      <c r="E604" s="920">
        <f>'Sannitary ware'!AD14</f>
        <v>0</v>
      </c>
      <c r="F604" s="660">
        <f t="shared" si="56"/>
        <v>0</v>
      </c>
      <c r="G604" s="1681"/>
      <c r="H604" s="1684"/>
      <c r="I604" s="665">
        <f t="shared" si="58"/>
        <v>0</v>
      </c>
      <c r="J604" s="660"/>
    </row>
    <row r="605" spans="1:10">
      <c r="A605" s="685">
        <f>'Sannitary ware'!A89</f>
        <v>4</v>
      </c>
      <c r="B605" s="863" t="str">
        <f>'Sannitary ware'!B89</f>
        <v xml:space="preserve">     • ท่อน้ำทิ้งอ่างล้างหน้า </v>
      </c>
      <c r="C605" s="506">
        <f>'Sannitary ware'!H89</f>
        <v>15</v>
      </c>
      <c r="D605" s="874" t="s">
        <v>15</v>
      </c>
      <c r="E605" s="920">
        <f>'Sannitary ware'!AD15</f>
        <v>0</v>
      </c>
      <c r="F605" s="660">
        <f t="shared" si="56"/>
        <v>0</v>
      </c>
      <c r="G605" s="1681"/>
      <c r="H605" s="1684"/>
      <c r="I605" s="665">
        <f t="shared" si="58"/>
        <v>0</v>
      </c>
      <c r="J605" s="660"/>
    </row>
    <row r="606" spans="1:10">
      <c r="A606" s="685">
        <f>'Sannitary ware'!A90</f>
        <v>4</v>
      </c>
      <c r="B606" s="863" t="str">
        <f>'Sannitary ware'!B90</f>
        <v xml:space="preserve">     • สะดืออ่างล้างหน้าแบบกด </v>
      </c>
      <c r="C606" s="506">
        <f>'Sannitary ware'!H90</f>
        <v>15</v>
      </c>
      <c r="D606" s="874" t="s">
        <v>15</v>
      </c>
      <c r="E606" s="920">
        <f>'Sannitary ware'!AD16</f>
        <v>0</v>
      </c>
      <c r="F606" s="660">
        <f t="shared" si="56"/>
        <v>0</v>
      </c>
      <c r="G606" s="1681"/>
      <c r="H606" s="1684"/>
      <c r="I606" s="665">
        <f t="shared" si="58"/>
        <v>0</v>
      </c>
      <c r="J606" s="660"/>
    </row>
    <row r="607" spans="1:10">
      <c r="A607" s="685">
        <f>'Sannitary ware'!A91</f>
        <v>4</v>
      </c>
      <c r="B607" s="863" t="str">
        <f>'Sannitary ware'!B91</f>
        <v xml:space="preserve">     • สายน้ำดีอ่างล้างหน้าสแตนเลสถักยาว 16" </v>
      </c>
      <c r="C607" s="506">
        <f>'Sannitary ware'!H91</f>
        <v>15</v>
      </c>
      <c r="D607" s="874" t="s">
        <v>15</v>
      </c>
      <c r="E607" s="920">
        <f>'Sannitary ware'!AD17</f>
        <v>0</v>
      </c>
      <c r="F607" s="660">
        <f t="shared" si="56"/>
        <v>0</v>
      </c>
      <c r="G607" s="1681"/>
      <c r="H607" s="1684"/>
      <c r="I607" s="665">
        <f t="shared" si="58"/>
        <v>0</v>
      </c>
      <c r="J607" s="922"/>
    </row>
    <row r="608" spans="1:10">
      <c r="A608" s="685">
        <f>'Sannitary ware'!A92</f>
        <v>4</v>
      </c>
      <c r="B608" s="863" t="str">
        <f>'Sannitary ware'!B92</f>
        <v xml:space="preserve">     • STOP VALVE 1/2" </v>
      </c>
      <c r="C608" s="506">
        <f>'Sannitary ware'!H92</f>
        <v>15</v>
      </c>
      <c r="D608" s="874" t="s">
        <v>27</v>
      </c>
      <c r="E608" s="920">
        <f>'Sannitary ware'!AD18</f>
        <v>0</v>
      </c>
      <c r="F608" s="660">
        <f t="shared" si="56"/>
        <v>0</v>
      </c>
      <c r="G608" s="1682"/>
      <c r="H608" s="1685"/>
      <c r="I608" s="665">
        <f t="shared" si="58"/>
        <v>0</v>
      </c>
      <c r="J608" s="660"/>
    </row>
    <row r="609" spans="1:10">
      <c r="A609" s="685" t="str">
        <f>'Sannitary ware'!A93</f>
        <v>4'</v>
      </c>
      <c r="B609" s="863" t="str">
        <f>'Sannitary ware'!B93</f>
        <v xml:space="preserve"> - อ่างล้างหน้าแบบแขวนผนัง (ห้องน้ำผู้พิการ)</v>
      </c>
      <c r="C609" s="506">
        <f>'Sannitary ware'!H93</f>
        <v>1</v>
      </c>
      <c r="D609" s="874" t="s">
        <v>15</v>
      </c>
      <c r="E609" s="920">
        <f>'Sannitary ware'!AD19</f>
        <v>2300</v>
      </c>
      <c r="F609" s="660">
        <f t="shared" si="56"/>
        <v>2300</v>
      </c>
      <c r="G609" s="1680">
        <f>'Sannitary ware'!AF19</f>
        <v>450</v>
      </c>
      <c r="H609" s="1683">
        <f t="shared" si="57"/>
        <v>450</v>
      </c>
      <c r="I609" s="665">
        <f t="shared" si="58"/>
        <v>2750</v>
      </c>
      <c r="J609" s="660"/>
    </row>
    <row r="610" spans="1:10">
      <c r="A610" s="685" t="str">
        <f>'Sannitary ware'!A94</f>
        <v>4'</v>
      </c>
      <c r="B610" s="863" t="str">
        <f>'Sannitary ware'!B94</f>
        <v xml:space="preserve">     • ก๊อกน้ำเดี่ยวอ่างล้างหน้า </v>
      </c>
      <c r="C610" s="506">
        <f>'Sannitary ware'!H94</f>
        <v>1</v>
      </c>
      <c r="D610" s="874" t="s">
        <v>15</v>
      </c>
      <c r="E610" s="920">
        <f>'Sannitary ware'!AD20</f>
        <v>0</v>
      </c>
      <c r="F610" s="660">
        <f t="shared" si="56"/>
        <v>0</v>
      </c>
      <c r="G610" s="1681"/>
      <c r="H610" s="1684"/>
      <c r="I610" s="665">
        <f t="shared" si="58"/>
        <v>0</v>
      </c>
      <c r="J610" s="660"/>
    </row>
    <row r="611" spans="1:10">
      <c r="A611" s="685" t="str">
        <f>'Sannitary ware'!A95</f>
        <v>4'</v>
      </c>
      <c r="B611" s="863" t="str">
        <f>'Sannitary ware'!B95</f>
        <v xml:space="preserve">     • ท่อน้ำทิ้งอ่างล้างหน้า </v>
      </c>
      <c r="C611" s="506">
        <f>'Sannitary ware'!H95</f>
        <v>1</v>
      </c>
      <c r="D611" s="874" t="s">
        <v>15</v>
      </c>
      <c r="E611" s="920">
        <f>'Sannitary ware'!AD21</f>
        <v>0</v>
      </c>
      <c r="F611" s="660">
        <f t="shared" si="56"/>
        <v>0</v>
      </c>
      <c r="G611" s="1681"/>
      <c r="H611" s="1684"/>
      <c r="I611" s="665">
        <f t="shared" si="58"/>
        <v>0</v>
      </c>
      <c r="J611" s="489"/>
    </row>
    <row r="612" spans="1:10">
      <c r="A612" s="685" t="str">
        <f>'Sannitary ware'!A96</f>
        <v>4'</v>
      </c>
      <c r="B612" s="863" t="str">
        <f>'Sannitary ware'!B96</f>
        <v xml:space="preserve">     • สะดืออ่างล้างหน้าแบบกด </v>
      </c>
      <c r="C612" s="506">
        <f>'Sannitary ware'!H96</f>
        <v>1</v>
      </c>
      <c r="D612" s="874" t="s">
        <v>15</v>
      </c>
      <c r="E612" s="920">
        <f>'Sannitary ware'!AD22</f>
        <v>0</v>
      </c>
      <c r="F612" s="660">
        <f t="shared" si="56"/>
        <v>0</v>
      </c>
      <c r="G612" s="1681"/>
      <c r="H612" s="1684"/>
      <c r="I612" s="665">
        <f t="shared" si="58"/>
        <v>0</v>
      </c>
      <c r="J612" s="489"/>
    </row>
    <row r="613" spans="1:10">
      <c r="A613" s="685" t="str">
        <f>'Sannitary ware'!A97</f>
        <v>4'</v>
      </c>
      <c r="B613" s="863" t="str">
        <f>'Sannitary ware'!B97</f>
        <v xml:space="preserve">     • สายน้ำดีอ่างล้างหน้าสแตนเลสถักยาว 16" </v>
      </c>
      <c r="C613" s="506">
        <f>'Sannitary ware'!H97</f>
        <v>1</v>
      </c>
      <c r="D613" s="874" t="s">
        <v>15</v>
      </c>
      <c r="E613" s="920">
        <f>'Sannitary ware'!AD23</f>
        <v>0</v>
      </c>
      <c r="F613" s="660">
        <f t="shared" si="56"/>
        <v>0</v>
      </c>
      <c r="G613" s="1681"/>
      <c r="H613" s="1684"/>
      <c r="I613" s="665">
        <f t="shared" si="58"/>
        <v>0</v>
      </c>
      <c r="J613" s="489"/>
    </row>
    <row r="614" spans="1:10">
      <c r="A614" s="685" t="str">
        <f>'Sannitary ware'!A98</f>
        <v>4'</v>
      </c>
      <c r="B614" s="863" t="str">
        <f>'Sannitary ware'!B98</f>
        <v xml:space="preserve">     • STOP VALVE 1/2" </v>
      </c>
      <c r="C614" s="506">
        <f>'Sannitary ware'!H98</f>
        <v>1</v>
      </c>
      <c r="D614" s="874" t="s">
        <v>27</v>
      </c>
      <c r="E614" s="920">
        <f>'Sannitary ware'!AD24</f>
        <v>0</v>
      </c>
      <c r="F614" s="660">
        <f t="shared" si="56"/>
        <v>0</v>
      </c>
      <c r="G614" s="1682"/>
      <c r="H614" s="1685"/>
      <c r="I614" s="665">
        <f t="shared" si="58"/>
        <v>0</v>
      </c>
      <c r="J614" s="489"/>
    </row>
    <row r="615" spans="1:10">
      <c r="A615" s="685">
        <f>'Sannitary ware'!A99</f>
        <v>5</v>
      </c>
      <c r="B615" s="863" t="str">
        <f>'Sannitary ware'!B99</f>
        <v xml:space="preserve"> - บานกระจกเงาหนา 6 มม. ขนาด 4.10  x 1.00 ม.</v>
      </c>
      <c r="C615" s="506">
        <f>'Sannitary ware'!H99</f>
        <v>1</v>
      </c>
      <c r="D615" s="874" t="s">
        <v>15</v>
      </c>
      <c r="E615" s="920">
        <f>'Sannitary ware'!AD25</f>
        <v>8827</v>
      </c>
      <c r="F615" s="660">
        <f t="shared" si="56"/>
        <v>8827</v>
      </c>
      <c r="G615" s="921">
        <f>'Sannitary ware'!AF25</f>
        <v>120</v>
      </c>
      <c r="H615" s="665">
        <f t="shared" si="57"/>
        <v>120</v>
      </c>
      <c r="I615" s="665">
        <f t="shared" si="58"/>
        <v>8947</v>
      </c>
      <c r="J615" s="660"/>
    </row>
    <row r="616" spans="1:10">
      <c r="A616" s="685">
        <f>'Sannitary ware'!A100</f>
        <v>5</v>
      </c>
      <c r="B616" s="863" t="str">
        <f>'Sannitary ware'!B100</f>
        <v xml:space="preserve"> - บานกระจกเงาหนา 6 มม. ขนาด 2.90  x 1.00 ม.</v>
      </c>
      <c r="C616" s="506">
        <f>'Sannitary ware'!H100</f>
        <v>1</v>
      </c>
      <c r="D616" s="874" t="s">
        <v>15</v>
      </c>
      <c r="E616" s="920">
        <f>'Sannitary ware'!AD26</f>
        <v>6244</v>
      </c>
      <c r="F616" s="660">
        <f t="shared" si="56"/>
        <v>6244</v>
      </c>
      <c r="G616" s="921">
        <f>'Sannitary ware'!AF26</f>
        <v>120</v>
      </c>
      <c r="H616" s="665">
        <f t="shared" si="57"/>
        <v>120</v>
      </c>
      <c r="I616" s="665">
        <f t="shared" si="58"/>
        <v>6364</v>
      </c>
      <c r="J616" s="660"/>
    </row>
    <row r="617" spans="1:10">
      <c r="A617" s="685">
        <f>'Sannitary ware'!A101</f>
        <v>5</v>
      </c>
      <c r="B617" s="863" t="str">
        <f>'Sannitary ware'!B101</f>
        <v xml:space="preserve"> - บานกระจกเงาหนา 6 มม. ขนาด 3.50  x 1.00 ม.</v>
      </c>
      <c r="C617" s="506">
        <f>'Sannitary ware'!H101</f>
        <v>1</v>
      </c>
      <c r="D617" s="874" t="s">
        <v>15</v>
      </c>
      <c r="E617" s="920">
        <f>'Sannitary ware'!AD27</f>
        <v>7557</v>
      </c>
      <c r="F617" s="660">
        <f t="shared" si="56"/>
        <v>7557</v>
      </c>
      <c r="G617" s="921">
        <f>'Sannitary ware'!AF27</f>
        <v>120</v>
      </c>
      <c r="H617" s="665">
        <f t="shared" si="57"/>
        <v>120</v>
      </c>
      <c r="I617" s="665">
        <f t="shared" si="58"/>
        <v>7677</v>
      </c>
      <c r="J617" s="660"/>
    </row>
    <row r="618" spans="1:10" s="282" customFormat="1">
      <c r="A618" s="685">
        <f>'Sannitary ware'!A102</f>
        <v>5</v>
      </c>
      <c r="B618" s="863" t="str">
        <f>'Sannitary ware'!B102</f>
        <v xml:space="preserve"> - บานกระจกเงาหนา 6 มม. ขนาด 8.70  x 1.00 ม.</v>
      </c>
      <c r="C618" s="506">
        <f>'Sannitary ware'!H102</f>
        <v>1</v>
      </c>
      <c r="D618" s="874" t="s">
        <v>15</v>
      </c>
      <c r="E618" s="920">
        <f>'Sannitary ware'!AD28</f>
        <v>18730</v>
      </c>
      <c r="F618" s="660">
        <f t="shared" si="56"/>
        <v>18730</v>
      </c>
      <c r="G618" s="921">
        <f>'Sannitary ware'!AF28</f>
        <v>120</v>
      </c>
      <c r="H618" s="665">
        <f t="shared" si="57"/>
        <v>120</v>
      </c>
      <c r="I618" s="665">
        <f t="shared" si="58"/>
        <v>18850</v>
      </c>
      <c r="J618" s="660"/>
    </row>
    <row r="619" spans="1:10" s="282" customFormat="1">
      <c r="A619" s="685">
        <f>'Sannitary ware'!A103</f>
        <v>5</v>
      </c>
      <c r="B619" s="863" t="str">
        <f>'Sannitary ware'!B103</f>
        <v xml:space="preserve"> - บานกระจกเงาหนา 6 มม. ขนาด 0.60  x 1.00 ม. (ห้องน้ำผู้พิการ)</v>
      </c>
      <c r="C619" s="506">
        <f>'Sannitary ware'!H103</f>
        <v>1</v>
      </c>
      <c r="D619" s="874" t="s">
        <v>15</v>
      </c>
      <c r="E619" s="920">
        <f>'Sannitary ware'!AD29</f>
        <v>1292</v>
      </c>
      <c r="F619" s="660">
        <f t="shared" si="56"/>
        <v>1292</v>
      </c>
      <c r="G619" s="921">
        <f>'Sannitary ware'!AF29</f>
        <v>120</v>
      </c>
      <c r="H619" s="665">
        <f t="shared" si="57"/>
        <v>120</v>
      </c>
      <c r="I619" s="665">
        <f t="shared" si="58"/>
        <v>1412</v>
      </c>
      <c r="J619" s="660"/>
    </row>
    <row r="620" spans="1:10" s="282" customFormat="1">
      <c r="A620" s="685">
        <f>'Sannitary ware'!A104</f>
        <v>6</v>
      </c>
      <c r="B620" s="863" t="str">
        <f>'Sannitary ware'!B104</f>
        <v xml:space="preserve"> - ราวจับตัวแอล</v>
      </c>
      <c r="C620" s="506">
        <f>'Sannitary ware'!H104</f>
        <v>2</v>
      </c>
      <c r="D620" s="874" t="s">
        <v>15</v>
      </c>
      <c r="E620" s="920">
        <f>'Sannitary ware'!AD30</f>
        <v>3600</v>
      </c>
      <c r="F620" s="660">
        <f t="shared" si="56"/>
        <v>7200</v>
      </c>
      <c r="G620" s="921">
        <f>'Sannitary ware'!AF30</f>
        <v>105</v>
      </c>
      <c r="H620" s="665">
        <f t="shared" si="57"/>
        <v>210</v>
      </c>
      <c r="I620" s="665">
        <f t="shared" si="58"/>
        <v>7410</v>
      </c>
      <c r="J620" s="660"/>
    </row>
    <row r="621" spans="1:10" s="282" customFormat="1">
      <c r="A621" s="685" t="str">
        <f>'Sannitary ware'!A105</f>
        <v>6'</v>
      </c>
      <c r="B621" s="863" t="str">
        <f>'Sannitary ware'!B105</f>
        <v xml:space="preserve"> - ราวจับตัวที</v>
      </c>
      <c r="C621" s="506">
        <f>'Sannitary ware'!H105</f>
        <v>1</v>
      </c>
      <c r="D621" s="874" t="s">
        <v>15</v>
      </c>
      <c r="E621" s="920">
        <f>'Sannitary ware'!AD31</f>
        <v>2590</v>
      </c>
      <c r="F621" s="660">
        <f t="shared" si="56"/>
        <v>2590</v>
      </c>
      <c r="G621" s="921">
        <f>'Sannitary ware'!AF31</f>
        <v>105</v>
      </c>
      <c r="H621" s="665">
        <f t="shared" si="57"/>
        <v>105</v>
      </c>
      <c r="I621" s="665">
        <f t="shared" si="58"/>
        <v>2695</v>
      </c>
      <c r="J621" s="660"/>
    </row>
    <row r="622" spans="1:10" s="282" customFormat="1">
      <c r="A622" s="685">
        <f>'Sannitary ware'!A106</f>
        <v>7</v>
      </c>
      <c r="B622" s="863" t="str">
        <f>'Sannitary ware'!B106</f>
        <v xml:space="preserve"> - ที่ใส่กระดาษชำระ (ห้องผู้พิการ,ห้อง VIP)</v>
      </c>
      <c r="C622" s="506">
        <f>'Sannitary ware'!H106</f>
        <v>1</v>
      </c>
      <c r="D622" s="874" t="s">
        <v>15</v>
      </c>
      <c r="E622" s="920">
        <f>'Sannitary ware'!AD32</f>
        <v>390</v>
      </c>
      <c r="F622" s="660">
        <f t="shared" si="56"/>
        <v>390</v>
      </c>
      <c r="G622" s="921">
        <f>'Sannitary ware'!AF32</f>
        <v>120</v>
      </c>
      <c r="H622" s="665">
        <f t="shared" si="57"/>
        <v>120</v>
      </c>
      <c r="I622" s="665">
        <f t="shared" si="58"/>
        <v>510</v>
      </c>
      <c r="J622" s="660"/>
    </row>
    <row r="623" spans="1:10" s="282" customFormat="1">
      <c r="A623" s="685">
        <f>'Sannitary ware'!A107</f>
        <v>8</v>
      </c>
      <c r="B623" s="863" t="str">
        <f>'Sannitary ware'!B107</f>
        <v xml:space="preserve"> - ก๊อกล้างพื้น </v>
      </c>
      <c r="C623" s="506">
        <f>'Sannitary ware'!H107</f>
        <v>5</v>
      </c>
      <c r="D623" s="874" t="s">
        <v>15</v>
      </c>
      <c r="E623" s="920">
        <f>'Sannitary ware'!AD33</f>
        <v>125</v>
      </c>
      <c r="F623" s="660">
        <f t="shared" si="56"/>
        <v>625</v>
      </c>
      <c r="G623" s="921">
        <f>'Sannitary ware'!AF33</f>
        <v>25</v>
      </c>
      <c r="H623" s="665">
        <f t="shared" si="57"/>
        <v>125</v>
      </c>
      <c r="I623" s="665">
        <f t="shared" si="58"/>
        <v>750</v>
      </c>
      <c r="J623" s="660"/>
    </row>
    <row r="624" spans="1:10" s="282" customFormat="1">
      <c r="A624" s="685"/>
      <c r="B624" s="863" t="str">
        <f>'Sannitary ware'!B108</f>
        <v xml:space="preserve"> - ตะแกรงระบายน้ำที่พื้น </v>
      </c>
      <c r="C624" s="506">
        <f>'Sannitary ware'!H108</f>
        <v>9</v>
      </c>
      <c r="D624" s="874" t="s">
        <v>15</v>
      </c>
      <c r="E624" s="920">
        <f>'Sannitary ware'!AD34</f>
        <v>350</v>
      </c>
      <c r="F624" s="660">
        <f t="shared" si="56"/>
        <v>3150</v>
      </c>
      <c r="G624" s="921">
        <f>'Sannitary ware'!AF34</f>
        <v>75</v>
      </c>
      <c r="H624" s="665">
        <f t="shared" si="57"/>
        <v>675</v>
      </c>
      <c r="I624" s="665">
        <f t="shared" si="58"/>
        <v>3825</v>
      </c>
      <c r="J624" s="660"/>
    </row>
    <row r="625" spans="1:10" s="282" customFormat="1">
      <c r="A625" s="685" t="str">
        <f>'Sannitary ware'!A109</f>
        <v>P</v>
      </c>
      <c r="B625" s="863" t="str">
        <f>'Sannitary ware'!B109</f>
        <v xml:space="preserve"> - ชุดผนังห้องน้ำสำเร็จรูป </v>
      </c>
      <c r="C625" s="506">
        <f>'Sannitary ware'!H109</f>
        <v>23</v>
      </c>
      <c r="D625" s="874" t="s">
        <v>15</v>
      </c>
      <c r="E625" s="920">
        <f>'Sannitary ware'!AD35</f>
        <v>12600</v>
      </c>
      <c r="F625" s="660">
        <f t="shared" si="56"/>
        <v>289800</v>
      </c>
      <c r="G625" s="921">
        <f>'Sannitary ware'!AF35</f>
        <v>1250</v>
      </c>
      <c r="H625" s="665">
        <f t="shared" si="57"/>
        <v>28750</v>
      </c>
      <c r="I625" s="665">
        <f t="shared" si="58"/>
        <v>318550</v>
      </c>
      <c r="J625" s="660"/>
    </row>
    <row r="626" spans="1:10" s="282" customFormat="1">
      <c r="A626" s="685"/>
      <c r="B626" s="863" t="str">
        <f>'Sannitary ware'!B111</f>
        <v xml:space="preserve"> - TOP หินแกรนิตสีดำ</v>
      </c>
      <c r="C626" s="506">
        <f>'Sannitary ware'!H111</f>
        <v>26</v>
      </c>
      <c r="D626" s="505" t="s">
        <v>16</v>
      </c>
      <c r="E626" s="920">
        <f>'Sannitary ware'!AD37</f>
        <v>2500</v>
      </c>
      <c r="F626" s="660">
        <f t="shared" si="56"/>
        <v>65000</v>
      </c>
      <c r="G626" s="921">
        <f>'Sannitary ware'!AF37</f>
        <v>250</v>
      </c>
      <c r="H626" s="665">
        <f t="shared" si="57"/>
        <v>6500</v>
      </c>
      <c r="I626" s="665">
        <f t="shared" si="58"/>
        <v>71500</v>
      </c>
      <c r="J626" s="660"/>
    </row>
    <row r="627" spans="1:10" s="282" customFormat="1">
      <c r="A627" s="685"/>
      <c r="B627" s="863" t="str">
        <f>'Sannitary ware'!B112</f>
        <v xml:space="preserve"> - งานหล่อเคาน์เตอร์</v>
      </c>
      <c r="C627" s="506">
        <f>'Sannitary ware'!H112</f>
        <v>22</v>
      </c>
      <c r="D627" s="874" t="s">
        <v>14</v>
      </c>
      <c r="E627" s="920">
        <f>'Sannitary ware'!AD38</f>
        <v>0</v>
      </c>
      <c r="F627" s="660">
        <f t="shared" si="56"/>
        <v>0</v>
      </c>
      <c r="G627" s="921">
        <v>160</v>
      </c>
      <c r="H627" s="665">
        <f t="shared" si="57"/>
        <v>3520</v>
      </c>
      <c r="I627" s="665">
        <f t="shared" si="58"/>
        <v>3520</v>
      </c>
      <c r="J627" s="660"/>
    </row>
    <row r="628" spans="1:10" s="282" customFormat="1">
      <c r="A628" s="661"/>
      <c r="B628" s="863" t="s">
        <v>453</v>
      </c>
      <c r="C628" s="923">
        <f>ROUNDUP((((0.6*C627*0.12)*2400)/393),0)</f>
        <v>10</v>
      </c>
      <c r="D628" s="505" t="s">
        <v>42</v>
      </c>
      <c r="E628" s="489">
        <v>135</v>
      </c>
      <c r="F628" s="660">
        <f t="shared" si="56"/>
        <v>1350</v>
      </c>
      <c r="G628" s="672">
        <v>0</v>
      </c>
      <c r="H628" s="660">
        <f t="shared" si="57"/>
        <v>0</v>
      </c>
      <c r="I628" s="665">
        <f t="shared" si="58"/>
        <v>1350</v>
      </c>
      <c r="J628" s="660"/>
    </row>
    <row r="629" spans="1:10">
      <c r="A629" s="661"/>
      <c r="B629" s="863" t="s">
        <v>454</v>
      </c>
      <c r="C629" s="923">
        <f>ROUNDUP((((0.6*C628*0.12)*1450)/653),0)</f>
        <v>2</v>
      </c>
      <c r="D629" s="505" t="s">
        <v>43</v>
      </c>
      <c r="E629" s="489">
        <v>450</v>
      </c>
      <c r="F629" s="660">
        <f t="shared" si="56"/>
        <v>900</v>
      </c>
      <c r="G629" s="672">
        <v>0</v>
      </c>
      <c r="H629" s="660">
        <f t="shared" si="57"/>
        <v>0</v>
      </c>
      <c r="I629" s="665">
        <f t="shared" si="58"/>
        <v>900</v>
      </c>
      <c r="J629" s="660"/>
    </row>
    <row r="630" spans="1:10">
      <c r="A630" s="661"/>
      <c r="B630" s="863" t="s">
        <v>455</v>
      </c>
      <c r="C630" s="521">
        <f>C629</f>
        <v>2</v>
      </c>
      <c r="D630" s="505" t="s">
        <v>43</v>
      </c>
      <c r="E630" s="489">
        <v>460</v>
      </c>
      <c r="F630" s="660">
        <f t="shared" si="56"/>
        <v>920</v>
      </c>
      <c r="G630" s="672">
        <v>0</v>
      </c>
      <c r="H630" s="660">
        <f t="shared" si="57"/>
        <v>0</v>
      </c>
      <c r="I630" s="665">
        <f t="shared" si="58"/>
        <v>920</v>
      </c>
      <c r="J630" s="489"/>
    </row>
    <row r="631" spans="1:10">
      <c r="A631" s="661"/>
      <c r="B631" s="863" t="s">
        <v>456</v>
      </c>
      <c r="C631" s="920">
        <f>ROUNDUP((((0.6*(C627/0.15))*2)+((C627*(0.6/0.15)*2))*0.499),0)</f>
        <v>264</v>
      </c>
      <c r="D631" s="505" t="s">
        <v>19</v>
      </c>
      <c r="E631" s="489">
        <v>21.38</v>
      </c>
      <c r="F631" s="660">
        <f t="shared" si="56"/>
        <v>5644.32</v>
      </c>
      <c r="G631" s="672">
        <v>0</v>
      </c>
      <c r="H631" s="660">
        <f t="shared" si="57"/>
        <v>0</v>
      </c>
      <c r="I631" s="665">
        <f t="shared" si="58"/>
        <v>5644.32</v>
      </c>
      <c r="J631" s="660"/>
    </row>
    <row r="632" spans="1:10">
      <c r="A632" s="661"/>
      <c r="B632" s="863" t="s">
        <v>457</v>
      </c>
      <c r="C632" s="521">
        <f>(0.6*C627*0.2)</f>
        <v>2.64</v>
      </c>
      <c r="D632" s="874" t="s">
        <v>16</v>
      </c>
      <c r="E632" s="489">
        <v>400</v>
      </c>
      <c r="F632" s="660">
        <f t="shared" si="56"/>
        <v>1056</v>
      </c>
      <c r="G632" s="672">
        <v>0</v>
      </c>
      <c r="H632" s="660">
        <f t="shared" si="57"/>
        <v>0</v>
      </c>
      <c r="I632" s="665">
        <f t="shared" si="58"/>
        <v>1056</v>
      </c>
      <c r="J632" s="660"/>
    </row>
    <row r="633" spans="1:10">
      <c r="A633" s="661"/>
      <c r="B633" s="662" t="s">
        <v>1056</v>
      </c>
      <c r="C633" s="506">
        <v>1</v>
      </c>
      <c r="D633" s="505" t="s">
        <v>44</v>
      </c>
      <c r="E633" s="489">
        <f>SUM(F596:F632)*30%</f>
        <v>208768.59599999999</v>
      </c>
      <c r="F633" s="660">
        <f t="shared" si="56"/>
        <v>208768.59599999999</v>
      </c>
      <c r="G633" s="672">
        <v>0</v>
      </c>
      <c r="H633" s="660">
        <f t="shared" si="57"/>
        <v>0</v>
      </c>
      <c r="I633" s="665">
        <f t="shared" si="58"/>
        <v>208768.59599999999</v>
      </c>
      <c r="J633" s="660"/>
    </row>
    <row r="634" spans="1:10">
      <c r="A634" s="661" t="s">
        <v>1080</v>
      </c>
      <c r="B634" s="785" t="s">
        <v>47</v>
      </c>
      <c r="C634" s="506"/>
      <c r="D634" s="505"/>
      <c r="E634" s="489"/>
      <c r="F634" s="660"/>
      <c r="G634" s="672"/>
      <c r="H634" s="665"/>
      <c r="I634" s="665"/>
      <c r="J634" s="660"/>
    </row>
    <row r="635" spans="1:10">
      <c r="A635" s="661"/>
      <c r="B635" s="785" t="s">
        <v>48</v>
      </c>
      <c r="C635" s="506"/>
      <c r="D635" s="505"/>
      <c r="E635" s="489"/>
      <c r="F635" s="660"/>
      <c r="G635" s="672"/>
      <c r="H635" s="665"/>
      <c r="I635" s="665"/>
      <c r="J635" s="660"/>
    </row>
    <row r="636" spans="1:10" ht="48">
      <c r="A636" s="661"/>
      <c r="B636" s="924" t="str">
        <f>'Architecture '!DV15</f>
        <v xml:space="preserve"> - A.D2 ประตูบานเปิดสวิงคู่พร้อมช่องแสงติดตาย วงกบ 2"x4" อบสีดำ ลูกฟัก กระจกลามิเนตใสตัดแสง 6 มม. ขนาด 5.40 x 2.85 มม.</v>
      </c>
      <c r="C636" s="867">
        <f>'Architecture '!DR15</f>
        <v>1</v>
      </c>
      <c r="D636" s="744" t="s">
        <v>15</v>
      </c>
      <c r="E636" s="527">
        <f>'Architecture '!DX15</f>
        <v>61560</v>
      </c>
      <c r="F636" s="668">
        <f t="shared" ref="F636:F646" si="59">E636*C636</f>
        <v>61560</v>
      </c>
      <c r="G636" s="669">
        <v>0</v>
      </c>
      <c r="H636" s="668">
        <f t="shared" ref="H636:H646" si="60">G636*C636</f>
        <v>0</v>
      </c>
      <c r="I636" s="670">
        <f t="shared" ref="I636:I646" si="61">H636+F636</f>
        <v>61560</v>
      </c>
      <c r="J636" s="660"/>
    </row>
    <row r="637" spans="1:10" ht="48">
      <c r="A637" s="661"/>
      <c r="B637" s="924" t="str">
        <f>'Architecture '!DV16</f>
        <v xml:space="preserve"> - A.D3 ประตูบานเปิดสวิงคู่พร้อมช่องแสงติดตาย วงกบ 2"x4" อบสีดำ ลูกฟัก กระจกลามิเนตใสตัดแสง 6 มม. ขนาด 5.40 x 2.85 มม.</v>
      </c>
      <c r="C637" s="867">
        <f>'Architecture '!DR16</f>
        <v>1</v>
      </c>
      <c r="D637" s="744" t="s">
        <v>15</v>
      </c>
      <c r="E637" s="527">
        <f>'Architecture '!DX16</f>
        <v>61560</v>
      </c>
      <c r="F637" s="668">
        <f t="shared" si="59"/>
        <v>61560</v>
      </c>
      <c r="G637" s="669">
        <v>0</v>
      </c>
      <c r="H637" s="668">
        <f t="shared" si="60"/>
        <v>0</v>
      </c>
      <c r="I637" s="670">
        <f t="shared" si="61"/>
        <v>61560</v>
      </c>
      <c r="J637" s="489"/>
    </row>
    <row r="638" spans="1:10" ht="48">
      <c r="A638" s="661"/>
      <c r="B638" s="924" t="str">
        <f>'Architecture '!DV18</f>
        <v xml:space="preserve"> - A.D5 ประตูบานเปิดเดี่ยวพร้อมเกล็ดระบายอากาศด้านล่าง วงกบ ขนาด 2"x5" ทำสีตามตัวอย่าง ขนาด 0.80 x 2.05 มม.</v>
      </c>
      <c r="C638" s="867">
        <f>'Architecture '!DR18</f>
        <v>1</v>
      </c>
      <c r="D638" s="744" t="s">
        <v>15</v>
      </c>
      <c r="E638" s="527">
        <f>'Architecture '!DX18</f>
        <v>8200</v>
      </c>
      <c r="F638" s="668">
        <f t="shared" si="59"/>
        <v>8200</v>
      </c>
      <c r="G638" s="669">
        <v>800</v>
      </c>
      <c r="H638" s="668">
        <f t="shared" si="60"/>
        <v>800</v>
      </c>
      <c r="I638" s="670">
        <f t="shared" si="61"/>
        <v>9000</v>
      </c>
      <c r="J638" s="489"/>
    </row>
    <row r="639" spans="1:10" ht="48">
      <c r="A639" s="661"/>
      <c r="B639" s="924" t="str">
        <f>'Architecture '!DV20</f>
        <v xml:space="preserve"> - A.D6.1 ประตูบานเปิดคู่พร้อมช่องแสงติดตาย วงกบ ขนาด 2"x4" ทำสีตามตัวอย่าง ลูกฟัก กระจกลามิเนตใสตัดแสง 6 มม. ขนาด 2.10 x 2.50 มม.</v>
      </c>
      <c r="C639" s="867">
        <f>'Architecture '!DR20</f>
        <v>1</v>
      </c>
      <c r="D639" s="744" t="s">
        <v>15</v>
      </c>
      <c r="E639" s="527">
        <f>'Architecture '!DX20</f>
        <v>15750</v>
      </c>
      <c r="F639" s="668">
        <f t="shared" si="59"/>
        <v>15750</v>
      </c>
      <c r="G639" s="669">
        <v>1200</v>
      </c>
      <c r="H639" s="668">
        <f t="shared" si="60"/>
        <v>1200</v>
      </c>
      <c r="I639" s="670">
        <f t="shared" si="61"/>
        <v>16950</v>
      </c>
      <c r="J639" s="489"/>
    </row>
    <row r="640" spans="1:10" ht="48">
      <c r="A640" s="661"/>
      <c r="B640" s="924" t="str">
        <f>'Architecture '!DV24</f>
        <v xml:space="preserve"> - A.D9.1 ประตูบานเปิดสวิงคู่พร้อมช่องแสงติดตาย วงกบ 2"x4" อบสีดำ ลูกฟัก กระจกลามิเนตใสตัดแสง 6 มม. ขนาด 2.10 x 2.85 มม.</v>
      </c>
      <c r="C640" s="867">
        <f>'Architecture '!DR24</f>
        <v>1</v>
      </c>
      <c r="D640" s="744" t="s">
        <v>15</v>
      </c>
      <c r="E640" s="527">
        <f>'Architecture '!DX24</f>
        <v>21000</v>
      </c>
      <c r="F640" s="668">
        <f t="shared" si="59"/>
        <v>21000</v>
      </c>
      <c r="G640" s="669">
        <v>0</v>
      </c>
      <c r="H640" s="668">
        <f t="shared" si="60"/>
        <v>0</v>
      </c>
      <c r="I640" s="670">
        <f t="shared" si="61"/>
        <v>21000</v>
      </c>
      <c r="J640" s="489"/>
    </row>
    <row r="641" spans="1:10" ht="48">
      <c r="A641" s="661"/>
      <c r="B641" s="924" t="str">
        <f>'Architecture '!DV25</f>
        <v xml:space="preserve"> - A.D10 ประตูบานเปิดคู่สวิง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641" s="867">
        <f>'Architecture '!DR25</f>
        <v>1</v>
      </c>
      <c r="D641" s="744" t="s">
        <v>15</v>
      </c>
      <c r="E641" s="527">
        <f>'Architecture '!DX25</f>
        <v>20295</v>
      </c>
      <c r="F641" s="668">
        <f t="shared" si="59"/>
        <v>20295</v>
      </c>
      <c r="G641" s="669">
        <v>1500</v>
      </c>
      <c r="H641" s="668">
        <f t="shared" si="60"/>
        <v>1500</v>
      </c>
      <c r="I641" s="670">
        <f t="shared" si="61"/>
        <v>21795</v>
      </c>
      <c r="J641" s="489"/>
    </row>
    <row r="642" spans="1:10" ht="48">
      <c r="A642" s="661"/>
      <c r="B642" s="924" t="str">
        <f>'Architecture '!DV26</f>
        <v xml:space="preserve"> - A.D11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642" s="867">
        <f>'Architecture '!DR26</f>
        <v>4</v>
      </c>
      <c r="D642" s="744" t="s">
        <v>15</v>
      </c>
      <c r="E642" s="527">
        <f>'Architecture '!DX26</f>
        <v>13750</v>
      </c>
      <c r="F642" s="668">
        <f t="shared" si="59"/>
        <v>55000</v>
      </c>
      <c r="G642" s="669">
        <v>1000</v>
      </c>
      <c r="H642" s="668">
        <f t="shared" si="60"/>
        <v>4000</v>
      </c>
      <c r="I642" s="670">
        <f t="shared" si="61"/>
        <v>59000</v>
      </c>
      <c r="J642" s="489"/>
    </row>
    <row r="643" spans="1:10">
      <c r="A643" s="661"/>
      <c r="B643" s="925" t="str">
        <f>'Architecture '!DV27</f>
        <v xml:space="preserve"> - A.D12 ประตูบานเลื่อนสำเร็จรูป สีเทา (หรือเทียบเท่า) ขนาด 1.00 x 2.50 มม.</v>
      </c>
      <c r="C643" s="867">
        <f>'Architecture '!DR27</f>
        <v>1</v>
      </c>
      <c r="D643" s="744" t="s">
        <v>15</v>
      </c>
      <c r="E643" s="527">
        <f>'Architecture '!DX27</f>
        <v>14500</v>
      </c>
      <c r="F643" s="668">
        <f t="shared" si="59"/>
        <v>14500</v>
      </c>
      <c r="G643" s="669">
        <v>0</v>
      </c>
      <c r="H643" s="668">
        <f t="shared" si="60"/>
        <v>0</v>
      </c>
      <c r="I643" s="670">
        <f t="shared" si="61"/>
        <v>14500</v>
      </c>
      <c r="J643" s="489"/>
    </row>
    <row r="644" spans="1:10" ht="48">
      <c r="A644" s="661"/>
      <c r="B644" s="924" t="str">
        <f>'Architecture '!DV28</f>
        <v xml:space="preserve"> - A.D13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644" s="867">
        <f>'Architecture '!DR28</f>
        <v>2</v>
      </c>
      <c r="D644" s="744" t="s">
        <v>15</v>
      </c>
      <c r="E644" s="527">
        <f>'Architecture '!DX28</f>
        <v>13530</v>
      </c>
      <c r="F644" s="668">
        <f t="shared" si="59"/>
        <v>27060</v>
      </c>
      <c r="G644" s="669">
        <v>1500</v>
      </c>
      <c r="H644" s="668">
        <f t="shared" si="60"/>
        <v>3000</v>
      </c>
      <c r="I644" s="670">
        <f t="shared" si="61"/>
        <v>30060</v>
      </c>
      <c r="J644" s="489"/>
    </row>
    <row r="645" spans="1:10" ht="48">
      <c r="A645" s="661"/>
      <c r="B645" s="924" t="str">
        <f>'Architecture '!DV29</f>
        <v xml:space="preserve"> - A.D14 ประตูบานเปิดเดี่ยวพร้อมช่องแสงติดตาย วงกบ ขนาด 2"x4" ทำสีตามตัวอย่าง ลูกฟัก กระจกลามิเนตใส 6 มม. ขนาด 1.10 x 2.50 มม.</v>
      </c>
      <c r="C645" s="867">
        <f>'Architecture '!DR29</f>
        <v>28</v>
      </c>
      <c r="D645" s="744" t="s">
        <v>15</v>
      </c>
      <c r="E645" s="527">
        <f>'Architecture '!DX29</f>
        <v>12375</v>
      </c>
      <c r="F645" s="668">
        <f t="shared" si="59"/>
        <v>346500</v>
      </c>
      <c r="G645" s="669">
        <v>1000</v>
      </c>
      <c r="H645" s="668">
        <f t="shared" si="60"/>
        <v>28000</v>
      </c>
      <c r="I645" s="670">
        <f t="shared" si="61"/>
        <v>374500</v>
      </c>
      <c r="J645" s="489"/>
    </row>
    <row r="646" spans="1:10" ht="48">
      <c r="A646" s="661"/>
      <c r="B646" s="924" t="str">
        <f>'Architecture '!DV32</f>
        <v xml:space="preserve"> - A.D17 ประตูบานเปิดสวิงคู่พร้อมช่องแสงติดตาย  วงกบ 2"x4" อบสีดำ ลูกฟัก กระจกลามิเนตเขียวใสตัดแสง 6 มม. ขนาด 7.00 x 2.50 มม.</v>
      </c>
      <c r="C646" s="867">
        <f>'Architecture '!DR32</f>
        <v>1</v>
      </c>
      <c r="D646" s="744" t="s">
        <v>15</v>
      </c>
      <c r="E646" s="527">
        <f>'Architecture '!DX32</f>
        <v>471960</v>
      </c>
      <c r="F646" s="668">
        <f t="shared" si="59"/>
        <v>471960</v>
      </c>
      <c r="G646" s="669">
        <v>0</v>
      </c>
      <c r="H646" s="668">
        <f t="shared" si="60"/>
        <v>0</v>
      </c>
      <c r="I646" s="670">
        <f t="shared" si="61"/>
        <v>471960</v>
      </c>
      <c r="J646" s="489"/>
    </row>
    <row r="647" spans="1:10">
      <c r="A647" s="661"/>
      <c r="B647" s="785" t="s">
        <v>49</v>
      </c>
      <c r="C647" s="867"/>
      <c r="D647" s="744"/>
      <c r="E647" s="527"/>
      <c r="F647" s="668"/>
      <c r="G647" s="669"/>
      <c r="H647" s="668"/>
      <c r="I647" s="670"/>
      <c r="J647" s="489"/>
    </row>
    <row r="648" spans="1:10" ht="48">
      <c r="A648" s="661"/>
      <c r="B648" s="924" t="str">
        <f>'Architecture '!DV39</f>
        <v xml:space="preserve"> - A.W1 หน้าต่างบานเปิดพร้อมช่องแสงติดตาย วงกบ 2"x4" อบสีดำ ลูกฟัก กระจกลามิเนตเขียวใสตัดแสง 6 มม. ขนาด 5.10 x 1.65 มม.</v>
      </c>
      <c r="C648" s="867">
        <f>'Architecture '!DR39</f>
        <v>17</v>
      </c>
      <c r="D648" s="744" t="s">
        <v>15</v>
      </c>
      <c r="E648" s="527">
        <f>'Architecture '!DX39</f>
        <v>25245</v>
      </c>
      <c r="F648" s="668">
        <f>E648*C648</f>
        <v>429165</v>
      </c>
      <c r="G648" s="669">
        <v>0</v>
      </c>
      <c r="H648" s="668">
        <f t="shared" ref="H648:H661" si="62">G648*C648</f>
        <v>0</v>
      </c>
      <c r="I648" s="670">
        <f t="shared" ref="I648:I660" si="63">H648+F648</f>
        <v>429165</v>
      </c>
      <c r="J648" s="660"/>
    </row>
    <row r="649" spans="1:10" ht="48">
      <c r="A649" s="661"/>
      <c r="B649" s="924" t="str">
        <f>'Architecture '!DV44</f>
        <v xml:space="preserve"> - A.W4.1 หน้าต่างบานกระทุ้งพร้อมช่องแสงติดตาย วงกบ 2"x4" อบสีดำ ลูกฟัก กระจกลามิเนตใส 6 มม. ขนาด 5.10 x 1.65 มม.</v>
      </c>
      <c r="C649" s="867">
        <f>'Architecture '!DR44</f>
        <v>1</v>
      </c>
      <c r="D649" s="744" t="s">
        <v>15</v>
      </c>
      <c r="E649" s="527">
        <f>'Architecture '!DX44</f>
        <v>25245</v>
      </c>
      <c r="F649" s="668">
        <f t="shared" ref="F649:F660" si="64">E649*C649</f>
        <v>25245</v>
      </c>
      <c r="G649" s="669">
        <v>0</v>
      </c>
      <c r="H649" s="668">
        <f t="shared" si="62"/>
        <v>0</v>
      </c>
      <c r="I649" s="670">
        <f t="shared" si="63"/>
        <v>25245</v>
      </c>
      <c r="J649" s="660"/>
    </row>
    <row r="650" spans="1:10" ht="48">
      <c r="A650" s="661"/>
      <c r="B650" s="924" t="str">
        <f>'Architecture '!DV45</f>
        <v xml:space="preserve"> - A.W5 หน้าต่างบานกระทุ้งพร้อมช่องแสงติดตาย วงกบ 2"x4" อบสีดำ ลูกฟัก กระจกลามิเนตเขียวใสตัดแสง 6 มม. ขนาด 1.75 x 1.65 มม.</v>
      </c>
      <c r="C650" s="867">
        <f>'Architecture '!DR45</f>
        <v>2</v>
      </c>
      <c r="D650" s="744" t="s">
        <v>15</v>
      </c>
      <c r="E650" s="527">
        <f>'Architecture '!DX45</f>
        <v>8663</v>
      </c>
      <c r="F650" s="668">
        <f t="shared" si="64"/>
        <v>17326</v>
      </c>
      <c r="G650" s="669">
        <v>0</v>
      </c>
      <c r="H650" s="668">
        <f t="shared" si="62"/>
        <v>0</v>
      </c>
      <c r="I650" s="670">
        <f t="shared" si="63"/>
        <v>17326</v>
      </c>
      <c r="J650" s="660"/>
    </row>
    <row r="651" spans="1:10" ht="48">
      <c r="A651" s="661"/>
      <c r="B651" s="924" t="str">
        <f>'Architecture '!DV48</f>
        <v xml:space="preserve"> - A.W6.1 ช่องแสงติดตายบานสลับ วงกบ 2"x4" อบสีดำ ลูกฟัก กระจกฝ้า 6 มม. ขนาด 2.30 x 0.85 มม.</v>
      </c>
      <c r="C651" s="867">
        <f>'Architecture '!DR48</f>
        <v>6</v>
      </c>
      <c r="D651" s="744" t="s">
        <v>15</v>
      </c>
      <c r="E651" s="527">
        <f>'Architecture '!DX48</f>
        <v>6842.4999999999991</v>
      </c>
      <c r="F651" s="668">
        <f t="shared" si="64"/>
        <v>41054.999999999993</v>
      </c>
      <c r="G651" s="669">
        <v>0</v>
      </c>
      <c r="H651" s="668">
        <f t="shared" si="62"/>
        <v>0</v>
      </c>
      <c r="I651" s="670">
        <f t="shared" si="63"/>
        <v>41054.999999999993</v>
      </c>
      <c r="J651" s="660"/>
    </row>
    <row r="652" spans="1:10" ht="48">
      <c r="A652" s="661"/>
      <c r="B652" s="924" t="str">
        <f>'Architecture '!DV50</f>
        <v xml:space="preserve"> - A.W7.1 ช่องแสงติดตายบานสลับ วงกบ 2"x4" อบสีดำ ลูกฟัก กระจกฝ้า 6 มม. ขนาด 1.70 x 0.85 มม.</v>
      </c>
      <c r="C652" s="867">
        <f>'Architecture '!DR50</f>
        <v>1</v>
      </c>
      <c r="D652" s="744" t="s">
        <v>15</v>
      </c>
      <c r="E652" s="527">
        <f>'Architecture '!DX50</f>
        <v>5057.4999999999991</v>
      </c>
      <c r="F652" s="668">
        <f t="shared" si="64"/>
        <v>5057.4999999999991</v>
      </c>
      <c r="G652" s="669">
        <v>0</v>
      </c>
      <c r="H652" s="668">
        <f t="shared" si="62"/>
        <v>0</v>
      </c>
      <c r="I652" s="670">
        <f t="shared" si="63"/>
        <v>5057.4999999999991</v>
      </c>
      <c r="J652" s="660"/>
    </row>
    <row r="653" spans="1:10" ht="48">
      <c r="A653" s="661"/>
      <c r="B653" s="924" t="str">
        <f>'Architecture '!DV51</f>
        <v xml:space="preserve"> - A.W8 หน้าต่างบานเปิดพร้อมช่องแสงติดตาย วงกบ 2"x4" อบสีดำ ลูกฟัก กระจกลามิเนตเขียวใสตัดแสง 6 มม. ขนาด 3.42 x 1.65 มม.</v>
      </c>
      <c r="C653" s="867">
        <f>'Architecture '!DR51</f>
        <v>4</v>
      </c>
      <c r="D653" s="744" t="s">
        <v>15</v>
      </c>
      <c r="E653" s="527">
        <f>'Architecture '!DX51</f>
        <v>16929</v>
      </c>
      <c r="F653" s="668">
        <f t="shared" si="64"/>
        <v>67716</v>
      </c>
      <c r="G653" s="669">
        <v>0</v>
      </c>
      <c r="H653" s="668">
        <f t="shared" si="62"/>
        <v>0</v>
      </c>
      <c r="I653" s="670">
        <f t="shared" si="63"/>
        <v>67716</v>
      </c>
      <c r="J653" s="660"/>
    </row>
    <row r="654" spans="1:10" ht="48">
      <c r="A654" s="661"/>
      <c r="B654" s="924" t="str">
        <f>'Architecture '!DV52</f>
        <v xml:space="preserve"> - A.W9 ช่องแสงติดตาย วงกบ 2"x4" อบสีดำ ลูกฟัก กระจกลามิเนตใส 6 มม. ขนาด 3.80 x 0.50 มม.</v>
      </c>
      <c r="C654" s="867">
        <f>'Architecture '!DR52</f>
        <v>4</v>
      </c>
      <c r="D654" s="744" t="s">
        <v>15</v>
      </c>
      <c r="E654" s="527">
        <f>'Architecture '!DX52</f>
        <v>5700</v>
      </c>
      <c r="F654" s="668">
        <f t="shared" si="64"/>
        <v>22800</v>
      </c>
      <c r="G654" s="669">
        <v>0</v>
      </c>
      <c r="H654" s="668">
        <f t="shared" si="62"/>
        <v>0</v>
      </c>
      <c r="I654" s="670">
        <f t="shared" si="63"/>
        <v>22800</v>
      </c>
      <c r="J654" s="660"/>
    </row>
    <row r="655" spans="1:10" ht="48">
      <c r="A655" s="661"/>
      <c r="B655" s="924" t="str">
        <f>'Architecture '!DV54</f>
        <v xml:space="preserve"> - A.W10.1 หน้าต่างบานเปิดพร้อมช่องแสงติดตาย วงกบ 2"x4" อบสีดำ ลูกฟัก กระจกลามิเนตเขียวใสตัดแสง 6 มม. ขนาด 1.90 x 1.65 มม.</v>
      </c>
      <c r="C655" s="867">
        <f>'Architecture '!DR54</f>
        <v>1</v>
      </c>
      <c r="D655" s="744" t="s">
        <v>15</v>
      </c>
      <c r="E655" s="527">
        <f>'Architecture '!DX54</f>
        <v>9405</v>
      </c>
      <c r="F655" s="668">
        <f t="shared" si="64"/>
        <v>9405</v>
      </c>
      <c r="G655" s="669">
        <v>0</v>
      </c>
      <c r="H655" s="668">
        <f t="shared" si="62"/>
        <v>0</v>
      </c>
      <c r="I655" s="670">
        <f t="shared" si="63"/>
        <v>9405</v>
      </c>
      <c r="J655" s="660"/>
    </row>
    <row r="656" spans="1:10" ht="48">
      <c r="A656" s="661"/>
      <c r="B656" s="924" t="str">
        <f>'Architecture '!DV56</f>
        <v xml:space="preserve"> - A.W11 ช่องแสงติดตาย วงกบ 2"x4" อบสีดำ ลูกฟัก กระจกลามิเนตใส 6 มม. ขนาด 5.40 x 0.50 มม.</v>
      </c>
      <c r="C656" s="867">
        <f>'Architecture '!DR56</f>
        <v>4</v>
      </c>
      <c r="D656" s="744" t="s">
        <v>15</v>
      </c>
      <c r="E656" s="527">
        <f>'Architecture '!DX56</f>
        <v>8100</v>
      </c>
      <c r="F656" s="668">
        <f t="shared" si="64"/>
        <v>32400</v>
      </c>
      <c r="G656" s="669">
        <v>0</v>
      </c>
      <c r="H656" s="668">
        <f t="shared" si="62"/>
        <v>0</v>
      </c>
      <c r="I656" s="670">
        <f t="shared" si="63"/>
        <v>32400</v>
      </c>
      <c r="J656" s="660"/>
    </row>
    <row r="657" spans="1:10" ht="48">
      <c r="A657" s="661"/>
      <c r="B657" s="924" t="str">
        <f>'Architecture '!DV58</f>
        <v xml:space="preserve"> - A.W13 หน้าต่างบานเปิดพร้อมช่องแสงติดตาย วงกบ 2"x4" อบสีดำ ลูกฟัก กระจกลามิเนตเขียวใสตัดแสง 6 มม. ขนาด 4.26 x 1.65 มม.</v>
      </c>
      <c r="C657" s="867">
        <f>'Architecture '!DR58</f>
        <v>1</v>
      </c>
      <c r="D657" s="744" t="s">
        <v>15</v>
      </c>
      <c r="E657" s="527">
        <f>'Architecture '!DX58</f>
        <v>21087</v>
      </c>
      <c r="F657" s="668">
        <f t="shared" si="64"/>
        <v>21087</v>
      </c>
      <c r="G657" s="669">
        <v>0</v>
      </c>
      <c r="H657" s="668">
        <f t="shared" si="62"/>
        <v>0</v>
      </c>
      <c r="I657" s="670">
        <f t="shared" si="63"/>
        <v>21087</v>
      </c>
      <c r="J657" s="660"/>
    </row>
    <row r="658" spans="1:10" ht="48">
      <c r="A658" s="661"/>
      <c r="B658" s="924" t="str">
        <f>'Architecture '!DV59</f>
        <v xml:space="preserve"> - A.W14 หน้าต่างบานกระทุ้งพร้อมช่องแสงติดตาย วงกบ 2"x4" อบสีดำ ลูกฟัก กระจกลามิเนตเขียวใสตัดแสง 6 มม. ขนาด 2.00 x 1.65 มม.</v>
      </c>
      <c r="C658" s="867">
        <f>'Architecture '!DR59</f>
        <v>1</v>
      </c>
      <c r="D658" s="744" t="s">
        <v>15</v>
      </c>
      <c r="E658" s="527">
        <f>'Architecture '!DX59</f>
        <v>8250</v>
      </c>
      <c r="F658" s="668">
        <f t="shared" si="64"/>
        <v>8250</v>
      </c>
      <c r="G658" s="669">
        <v>0</v>
      </c>
      <c r="H658" s="668">
        <f t="shared" si="62"/>
        <v>0</v>
      </c>
      <c r="I658" s="670">
        <f t="shared" si="63"/>
        <v>8250</v>
      </c>
      <c r="J658" s="660"/>
    </row>
    <row r="659" spans="1:10" ht="48">
      <c r="A659" s="661"/>
      <c r="B659" s="924" t="str">
        <f>'Architecture '!DV60</f>
        <v xml:space="preserve"> - A.W15 หน้าต่างบานเปิดพร้อมช่องแสงติดตาย วงกบ 2"x4" อบสีดำ ลูกฟัก กระจกลามิเนตเขียวใสตัดแสง 6 มม. ขนาด 7.40 x 2.10 มม.</v>
      </c>
      <c r="C659" s="867">
        <f>'Architecture '!DR60</f>
        <v>1</v>
      </c>
      <c r="D659" s="744" t="s">
        <v>15</v>
      </c>
      <c r="E659" s="527">
        <f>'Architecture '!DX60</f>
        <v>46620</v>
      </c>
      <c r="F659" s="668">
        <f t="shared" si="64"/>
        <v>46620</v>
      </c>
      <c r="G659" s="669">
        <v>0</v>
      </c>
      <c r="H659" s="668">
        <f t="shared" si="62"/>
        <v>0</v>
      </c>
      <c r="I659" s="670">
        <f t="shared" si="63"/>
        <v>46620</v>
      </c>
      <c r="J659" s="660"/>
    </row>
    <row r="660" spans="1:10" ht="48">
      <c r="A660" s="661"/>
      <c r="B660" s="924" t="str">
        <f>'Architecture '!DV62</f>
        <v xml:space="preserve"> - A.W17 หน้าต่างบานเปิดพร้อมช่องแสงติดตาย วงกบ 2"x4" อบสีดำ ลูกฟัก กระจกลามิเนตเขียวใสตัดแสง 6 มม. ขนาด 0.89 x 1.65 มม.</v>
      </c>
      <c r="C660" s="867">
        <f>'Architecture '!DR62</f>
        <v>4</v>
      </c>
      <c r="D660" s="744" t="s">
        <v>15</v>
      </c>
      <c r="E660" s="527">
        <f>'Architecture '!DX62</f>
        <v>8077</v>
      </c>
      <c r="F660" s="668">
        <f t="shared" si="64"/>
        <v>32308</v>
      </c>
      <c r="G660" s="669">
        <v>0</v>
      </c>
      <c r="H660" s="668">
        <f t="shared" si="62"/>
        <v>0</v>
      </c>
      <c r="I660" s="670">
        <f t="shared" si="63"/>
        <v>32308</v>
      </c>
      <c r="J660" s="660"/>
    </row>
    <row r="661" spans="1:10">
      <c r="A661" s="661"/>
      <c r="B661" s="662" t="s">
        <v>1056</v>
      </c>
      <c r="C661" s="498">
        <v>1</v>
      </c>
      <c r="D661" s="499" t="s">
        <v>44</v>
      </c>
      <c r="E661" s="500">
        <f>SUM(F636:F649)*20%</f>
        <v>311559</v>
      </c>
      <c r="F661" s="663">
        <f>E661*C661</f>
        <v>311559</v>
      </c>
      <c r="G661" s="672">
        <v>0</v>
      </c>
      <c r="H661" s="660">
        <f t="shared" si="62"/>
        <v>0</v>
      </c>
      <c r="I661" s="665">
        <f>H661+F661</f>
        <v>311559</v>
      </c>
      <c r="J661" s="660"/>
    </row>
    <row r="662" spans="1:10">
      <c r="A662" s="661">
        <v>3.4</v>
      </c>
      <c r="B662" s="525" t="s">
        <v>1199</v>
      </c>
      <c r="C662" s="506"/>
      <c r="D662" s="505"/>
      <c r="E662" s="489"/>
      <c r="F662" s="660"/>
      <c r="G662" s="672"/>
      <c r="H662" s="665"/>
      <c r="I662" s="665"/>
      <c r="J662" s="489"/>
    </row>
    <row r="663" spans="1:10">
      <c r="A663" s="661" t="s">
        <v>1081</v>
      </c>
      <c r="B663" s="919" t="s">
        <v>29</v>
      </c>
      <c r="C663" s="506"/>
      <c r="D663" s="505"/>
      <c r="E663" s="489"/>
      <c r="F663" s="660"/>
      <c r="G663" s="672"/>
      <c r="H663" s="665"/>
      <c r="I663" s="665"/>
      <c r="J663" s="489"/>
    </row>
    <row r="664" spans="1:10">
      <c r="A664" s="661"/>
      <c r="B664" s="863" t="s">
        <v>430</v>
      </c>
      <c r="C664" s="506">
        <f>'Architecture '!C165</f>
        <v>11</v>
      </c>
      <c r="D664" s="505" t="s">
        <v>16</v>
      </c>
      <c r="E664" s="489">
        <v>95</v>
      </c>
      <c r="F664" s="660">
        <f>E664*C664</f>
        <v>1045</v>
      </c>
      <c r="G664" s="672">
        <v>82</v>
      </c>
      <c r="H664" s="665">
        <f>G664*C664</f>
        <v>902</v>
      </c>
      <c r="I664" s="665">
        <f>H664+F664</f>
        <v>1947</v>
      </c>
      <c r="J664" s="489"/>
    </row>
    <row r="665" spans="1:10">
      <c r="A665" s="661"/>
      <c r="B665" s="863" t="s">
        <v>1786</v>
      </c>
      <c r="C665" s="506">
        <f>'Architecture '!D165</f>
        <v>34</v>
      </c>
      <c r="D665" s="505" t="s">
        <v>16</v>
      </c>
      <c r="E665" s="489">
        <v>350</v>
      </c>
      <c r="F665" s="660">
        <f>E665*C665</f>
        <v>11900</v>
      </c>
      <c r="G665" s="672">
        <v>198</v>
      </c>
      <c r="H665" s="665">
        <f>G665*C665</f>
        <v>6732</v>
      </c>
      <c r="I665" s="665">
        <f>H665+F665</f>
        <v>18632</v>
      </c>
      <c r="J665" s="489"/>
    </row>
    <row r="666" spans="1:10">
      <c r="A666" s="661"/>
      <c r="B666" s="863" t="s">
        <v>1425</v>
      </c>
      <c r="C666" s="506">
        <f>'Architecture '!H165</f>
        <v>2177</v>
      </c>
      <c r="D666" s="505" t="s">
        <v>16</v>
      </c>
      <c r="E666" s="489">
        <v>101</v>
      </c>
      <c r="F666" s="660">
        <f>E666*C666</f>
        <v>219877</v>
      </c>
      <c r="G666" s="672">
        <v>82</v>
      </c>
      <c r="H666" s="665">
        <f>G666*C666</f>
        <v>178514</v>
      </c>
      <c r="I666" s="665">
        <f>H666+F666</f>
        <v>398391</v>
      </c>
      <c r="J666" s="489"/>
    </row>
    <row r="667" spans="1:10">
      <c r="A667" s="661" t="s">
        <v>1082</v>
      </c>
      <c r="B667" s="919" t="s">
        <v>31</v>
      </c>
      <c r="C667" s="506"/>
      <c r="D667" s="874"/>
      <c r="E667" s="489"/>
      <c r="F667" s="660"/>
      <c r="G667" s="672"/>
      <c r="H667" s="665"/>
      <c r="I667" s="665"/>
      <c r="J667" s="489"/>
    </row>
    <row r="668" spans="1:10">
      <c r="A668" s="661"/>
      <c r="B668" s="919" t="s">
        <v>32</v>
      </c>
      <c r="C668" s="506"/>
      <c r="D668" s="874"/>
      <c r="E668" s="489"/>
      <c r="F668" s="660"/>
      <c r="G668" s="672"/>
      <c r="H668" s="665"/>
      <c r="I668" s="665"/>
      <c r="J668" s="489"/>
    </row>
    <row r="669" spans="1:10">
      <c r="A669" s="661"/>
      <c r="B669" s="863" t="s">
        <v>433</v>
      </c>
      <c r="C669" s="506">
        <f>'Architecture '!U165</f>
        <v>98</v>
      </c>
      <c r="D669" s="874" t="s">
        <v>16</v>
      </c>
      <c r="E669" s="489">
        <v>285</v>
      </c>
      <c r="F669" s="660">
        <f>E669*C669</f>
        <v>27930</v>
      </c>
      <c r="G669" s="672">
        <v>89</v>
      </c>
      <c r="H669" s="665">
        <f>G669*C669</f>
        <v>8722</v>
      </c>
      <c r="I669" s="665">
        <f>H669+F669</f>
        <v>36652</v>
      </c>
      <c r="J669" s="489"/>
    </row>
    <row r="670" spans="1:10">
      <c r="A670" s="661"/>
      <c r="B670" s="863" t="s">
        <v>33</v>
      </c>
      <c r="C670" s="506">
        <f>'Architecture '!AQ165+'Architecture '!AT165</f>
        <v>30</v>
      </c>
      <c r="D670" s="874" t="s">
        <v>14</v>
      </c>
      <c r="E670" s="489">
        <v>70</v>
      </c>
      <c r="F670" s="660">
        <f>E670*C670</f>
        <v>2100</v>
      </c>
      <c r="G670" s="672">
        <v>44</v>
      </c>
      <c r="H670" s="665">
        <f>G670*C670</f>
        <v>1320</v>
      </c>
      <c r="I670" s="665">
        <f>H670+F670</f>
        <v>3420</v>
      </c>
      <c r="J670" s="489"/>
    </row>
    <row r="671" spans="1:10">
      <c r="A671" s="661"/>
      <c r="B671" s="785" t="s">
        <v>34</v>
      </c>
      <c r="C671" s="506"/>
      <c r="D671" s="505"/>
      <c r="E671" s="489"/>
      <c r="F671" s="660"/>
      <c r="G671" s="672"/>
      <c r="H671" s="665"/>
      <c r="I671" s="665"/>
      <c r="J671" s="489"/>
    </row>
    <row r="672" spans="1:10">
      <c r="A672" s="661"/>
      <c r="B672" s="863" t="s">
        <v>1390</v>
      </c>
      <c r="C672" s="506">
        <f>'Architecture '!AD165</f>
        <v>98</v>
      </c>
      <c r="D672" s="874" t="s">
        <v>16</v>
      </c>
      <c r="E672" s="489">
        <v>75</v>
      </c>
      <c r="F672" s="660">
        <f>E672*C672</f>
        <v>7350</v>
      </c>
      <c r="G672" s="672">
        <v>82</v>
      </c>
      <c r="H672" s="665">
        <f>G672*C672</f>
        <v>8036</v>
      </c>
      <c r="I672" s="665">
        <f>H672+F672</f>
        <v>15386</v>
      </c>
      <c r="J672" s="489"/>
    </row>
    <row r="673" spans="1:10">
      <c r="A673" s="661" t="s">
        <v>1083</v>
      </c>
      <c r="B673" s="785" t="s">
        <v>35</v>
      </c>
      <c r="C673" s="506"/>
      <c r="D673" s="505"/>
      <c r="E673" s="489"/>
      <c r="F673" s="660"/>
      <c r="G673" s="672"/>
      <c r="H673" s="665"/>
      <c r="I673" s="665"/>
      <c r="J673" s="489"/>
    </row>
    <row r="674" spans="1:10">
      <c r="A674" s="661"/>
      <c r="B674" s="862" t="s">
        <v>1389</v>
      </c>
      <c r="C674" s="506">
        <f>'Architecture '!AZ165</f>
        <v>98</v>
      </c>
      <c r="D674" s="505" t="s">
        <v>16</v>
      </c>
      <c r="E674" s="489">
        <v>180</v>
      </c>
      <c r="F674" s="660">
        <f>E674*C674</f>
        <v>17640</v>
      </c>
      <c r="G674" s="672">
        <v>50</v>
      </c>
      <c r="H674" s="665">
        <f>G674*C674</f>
        <v>4900</v>
      </c>
      <c r="I674" s="665">
        <f>H674+F674</f>
        <v>22540</v>
      </c>
      <c r="J674" s="489"/>
    </row>
    <row r="675" spans="1:10">
      <c r="A675" s="661" t="s">
        <v>1084</v>
      </c>
      <c r="B675" s="785" t="s">
        <v>47</v>
      </c>
      <c r="C675" s="506"/>
      <c r="D675" s="505"/>
      <c r="E675" s="489"/>
      <c r="F675" s="660"/>
      <c r="G675" s="672"/>
      <c r="H675" s="665"/>
      <c r="I675" s="665"/>
      <c r="J675" s="489"/>
    </row>
    <row r="676" spans="1:10">
      <c r="A676" s="661"/>
      <c r="B676" s="785" t="s">
        <v>48</v>
      </c>
      <c r="C676" s="506"/>
      <c r="D676" s="505"/>
      <c r="E676" s="489"/>
      <c r="F676" s="660"/>
      <c r="G676" s="672"/>
      <c r="H676" s="665"/>
      <c r="I676" s="665"/>
      <c r="J676" s="489"/>
    </row>
    <row r="677" spans="1:10" ht="48">
      <c r="A677" s="661"/>
      <c r="B677" s="924" t="str">
        <f>'Architecture '!DV21</f>
        <v xml:space="preserve"> - A.D7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1.90 x 2.05 มม.</v>
      </c>
      <c r="C677" s="867">
        <f>'Architecture '!DS21</f>
        <v>1</v>
      </c>
      <c r="D677" s="744" t="s">
        <v>15</v>
      </c>
      <c r="E677" s="527">
        <f>'Architecture '!DX21</f>
        <v>19475</v>
      </c>
      <c r="F677" s="668">
        <f>E677*C677</f>
        <v>19475</v>
      </c>
      <c r="G677" s="669">
        <v>1500</v>
      </c>
      <c r="H677" s="668">
        <f>G677*C677</f>
        <v>1500</v>
      </c>
      <c r="I677" s="670">
        <f>H677+F677</f>
        <v>20975</v>
      </c>
      <c r="J677" s="489"/>
    </row>
    <row r="678" spans="1:10" ht="48">
      <c r="A678" s="661"/>
      <c r="B678" s="924" t="str">
        <f>'Architecture '!DV25</f>
        <v xml:space="preserve"> - A.D10 ประตูบานเปิดคู่สวิง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678" s="867">
        <f>'Architecture '!DS25</f>
        <v>1</v>
      </c>
      <c r="D678" s="744" t="s">
        <v>15</v>
      </c>
      <c r="E678" s="527">
        <f>'Architecture '!DX25</f>
        <v>20295</v>
      </c>
      <c r="F678" s="668">
        <f>E678*C678</f>
        <v>20295</v>
      </c>
      <c r="G678" s="669">
        <v>1500</v>
      </c>
      <c r="H678" s="668">
        <f>G678*C678</f>
        <v>1500</v>
      </c>
      <c r="I678" s="670">
        <f>H678+F678</f>
        <v>21795</v>
      </c>
      <c r="J678" s="489"/>
    </row>
    <row r="679" spans="1:10">
      <c r="A679" s="661"/>
      <c r="B679" s="785" t="s">
        <v>49</v>
      </c>
      <c r="C679" s="867"/>
      <c r="D679" s="744"/>
      <c r="E679" s="527"/>
      <c r="F679" s="668"/>
      <c r="G679" s="669"/>
      <c r="H679" s="668"/>
      <c r="I679" s="670"/>
      <c r="J679" s="489"/>
    </row>
    <row r="680" spans="1:10" ht="48">
      <c r="A680" s="661"/>
      <c r="B680" s="924" t="str">
        <f>'Architecture '!DV55</f>
        <v xml:space="preserve"> - A.W10.2 หน้าต่างบานเปิด วงกบ 2"x4" อบสีดำ ลูกฟัก กระจกลามิเนตเขียวใสตัดแสง 6 มม. ขนาด 1.90 x 1.05 มม.</v>
      </c>
      <c r="C680" s="867">
        <f>'Architecture '!DS55</f>
        <v>1</v>
      </c>
      <c r="D680" s="744" t="s">
        <v>15</v>
      </c>
      <c r="E680" s="527">
        <f>'Architecture '!DX55</f>
        <v>6982.5</v>
      </c>
      <c r="F680" s="668">
        <f>E680*C680</f>
        <v>6982.5</v>
      </c>
      <c r="G680" s="669">
        <v>0</v>
      </c>
      <c r="H680" s="668">
        <f>G680*C680</f>
        <v>0</v>
      </c>
      <c r="I680" s="670">
        <f>H680+F680</f>
        <v>6982.5</v>
      </c>
      <c r="J680" s="489"/>
    </row>
    <row r="681" spans="1:10">
      <c r="A681" s="661"/>
      <c r="B681" s="662" t="s">
        <v>1056</v>
      </c>
      <c r="C681" s="498">
        <v>1</v>
      </c>
      <c r="D681" s="499" t="s">
        <v>44</v>
      </c>
      <c r="E681" s="500">
        <f>SUM(F677:F680)*20%</f>
        <v>9350.5</v>
      </c>
      <c r="F681" s="663">
        <f>E681*C681</f>
        <v>9350.5</v>
      </c>
      <c r="G681" s="672">
        <v>0</v>
      </c>
      <c r="H681" s="660">
        <f>G681*C681</f>
        <v>0</v>
      </c>
      <c r="I681" s="665">
        <f>H681+F681</f>
        <v>9350.5</v>
      </c>
      <c r="J681" s="489"/>
    </row>
    <row r="682" spans="1:10">
      <c r="A682" s="661" t="s">
        <v>1085</v>
      </c>
      <c r="B682" s="745" t="s">
        <v>56</v>
      </c>
      <c r="C682" s="506"/>
      <c r="D682" s="499"/>
      <c r="E682" s="489"/>
      <c r="F682" s="660"/>
      <c r="G682" s="672"/>
      <c r="H682" s="665"/>
      <c r="I682" s="665"/>
      <c r="J682" s="489"/>
    </row>
    <row r="683" spans="1:10">
      <c r="A683" s="661"/>
      <c r="B683" s="928" t="s">
        <v>1368</v>
      </c>
      <c r="C683" s="867">
        <f>'Architecture '!DF165</f>
        <v>265</v>
      </c>
      <c r="D683" s="929" t="s">
        <v>16</v>
      </c>
      <c r="E683" s="527">
        <v>650</v>
      </c>
      <c r="F683" s="527">
        <f>E683*C683</f>
        <v>172250</v>
      </c>
      <c r="G683" s="669">
        <v>90</v>
      </c>
      <c r="H683" s="528">
        <f>G683*C683</f>
        <v>23850</v>
      </c>
      <c r="I683" s="528">
        <f>H683+F683</f>
        <v>196100</v>
      </c>
      <c r="J683" s="489"/>
    </row>
    <row r="684" spans="1:10">
      <c r="A684" s="661"/>
      <c r="B684" s="930" t="s">
        <v>1369</v>
      </c>
      <c r="C684" s="867">
        <f>'Architecture '!DL165</f>
        <v>265</v>
      </c>
      <c r="D684" s="929" t="s">
        <v>16</v>
      </c>
      <c r="E684" s="527">
        <v>280</v>
      </c>
      <c r="F684" s="527">
        <f>E684*C684</f>
        <v>74200</v>
      </c>
      <c r="G684" s="669">
        <v>25</v>
      </c>
      <c r="H684" s="528">
        <f>G684*C684</f>
        <v>6625</v>
      </c>
      <c r="I684" s="528">
        <f>H684+F684</f>
        <v>80825</v>
      </c>
      <c r="J684" s="489"/>
    </row>
    <row r="685" spans="1:10">
      <c r="A685" s="661"/>
      <c r="B685" s="662" t="s">
        <v>1370</v>
      </c>
      <c r="C685" s="866">
        <f>'Architecture '!DM165</f>
        <v>109</v>
      </c>
      <c r="D685" s="502" t="s">
        <v>57</v>
      </c>
      <c r="E685" s="489">
        <v>1300</v>
      </c>
      <c r="F685" s="530">
        <f>E685*C685</f>
        <v>141700</v>
      </c>
      <c r="G685" s="931">
        <v>50</v>
      </c>
      <c r="H685" s="531">
        <f>G685*C685</f>
        <v>5450</v>
      </c>
      <c r="I685" s="531">
        <f>H685+F685</f>
        <v>147150</v>
      </c>
      <c r="J685" s="489"/>
    </row>
    <row r="686" spans="1:10">
      <c r="A686" s="661"/>
      <c r="B686" s="666" t="s">
        <v>1375</v>
      </c>
      <c r="C686" s="866"/>
      <c r="D686" s="502"/>
      <c r="E686" s="489"/>
      <c r="F686" s="530"/>
      <c r="G686" s="931"/>
      <c r="H686" s="531"/>
      <c r="I686" s="531"/>
      <c r="J686" s="489"/>
    </row>
    <row r="687" spans="1:10">
      <c r="A687" s="661"/>
      <c r="B687" s="662" t="s">
        <v>1295</v>
      </c>
      <c r="C687" s="867">
        <f>'Architecture '!DO165</f>
        <v>289</v>
      </c>
      <c r="D687" s="667" t="s">
        <v>16</v>
      </c>
      <c r="E687" s="527">
        <v>1900</v>
      </c>
      <c r="F687" s="668">
        <f>E687*C687</f>
        <v>549100</v>
      </c>
      <c r="G687" s="669">
        <v>1025</v>
      </c>
      <c r="H687" s="670">
        <f>G687*C687</f>
        <v>296225</v>
      </c>
      <c r="I687" s="670">
        <f>H687+F687</f>
        <v>845325</v>
      </c>
      <c r="J687" s="489"/>
    </row>
    <row r="688" spans="1:10">
      <c r="A688" s="661"/>
      <c r="B688" s="662" t="s">
        <v>450</v>
      </c>
      <c r="C688" s="498">
        <v>1</v>
      </c>
      <c r="D688" s="499" t="s">
        <v>451</v>
      </c>
      <c r="E688" s="500">
        <f>SUM(F683:F687)*20%</f>
        <v>187450</v>
      </c>
      <c r="F688" s="663">
        <f>E688*C688</f>
        <v>187450</v>
      </c>
      <c r="G688" s="672">
        <v>0</v>
      </c>
      <c r="H688" s="660">
        <f>G688*C688</f>
        <v>0</v>
      </c>
      <c r="I688" s="665">
        <f>H688+F688</f>
        <v>187450</v>
      </c>
      <c r="J688" s="489"/>
    </row>
    <row r="689" spans="1:12">
      <c r="A689" s="661" t="s">
        <v>1086</v>
      </c>
      <c r="B689" s="525" t="s">
        <v>382</v>
      </c>
      <c r="C689" s="506"/>
      <c r="D689" s="505"/>
      <c r="E689" s="489"/>
      <c r="F689" s="660"/>
      <c r="G689" s="672"/>
      <c r="H689" s="665"/>
      <c r="I689" s="665"/>
      <c r="J689" s="489"/>
    </row>
    <row r="690" spans="1:12">
      <c r="A690" s="661"/>
      <c r="B690" s="927" t="s">
        <v>1835</v>
      </c>
      <c r="C690" s="867">
        <f>'Architecture '!DN165</f>
        <v>312</v>
      </c>
      <c r="D690" s="526" t="s">
        <v>16</v>
      </c>
      <c r="E690" s="527">
        <v>6000</v>
      </c>
      <c r="F690" s="527">
        <f>E690*C690</f>
        <v>1872000</v>
      </c>
      <c r="G690" s="672">
        <f>E690*0.2</f>
        <v>1200</v>
      </c>
      <c r="H690" s="528">
        <f>G690*C690</f>
        <v>374400</v>
      </c>
      <c r="I690" s="528">
        <f>H690+F690</f>
        <v>2246400</v>
      </c>
      <c r="J690" s="527"/>
    </row>
    <row r="691" spans="1:12">
      <c r="A691" s="661"/>
      <c r="B691" s="662" t="s">
        <v>450</v>
      </c>
      <c r="C691" s="498">
        <v>1</v>
      </c>
      <c r="D691" s="499" t="s">
        <v>451</v>
      </c>
      <c r="E691" s="500">
        <f>SUM(F690)*20%</f>
        <v>374400</v>
      </c>
      <c r="F691" s="663">
        <f>E691*C691</f>
        <v>374400</v>
      </c>
      <c r="G691" s="664">
        <v>0</v>
      </c>
      <c r="H691" s="665">
        <f>G691*C691</f>
        <v>0</v>
      </c>
      <c r="I691" s="665">
        <f>H691+F691</f>
        <v>374400</v>
      </c>
      <c r="J691" s="527"/>
    </row>
    <row r="692" spans="1:12">
      <c r="A692" s="661" t="s">
        <v>1087</v>
      </c>
      <c r="B692" s="666" t="s">
        <v>1277</v>
      </c>
      <c r="C692" s="498"/>
      <c r="D692" s="526"/>
      <c r="E692" s="527"/>
      <c r="F692" s="527"/>
      <c r="G692" s="672"/>
      <c r="H692" s="528"/>
      <c r="I692" s="528"/>
      <c r="J692" s="527"/>
      <c r="L692" s="652"/>
    </row>
    <row r="693" spans="1:12">
      <c r="A693" s="661"/>
      <c r="B693" s="927" t="s">
        <v>1365</v>
      </c>
      <c r="C693" s="498">
        <f>ROUNDUP(((2.92*4)+(5.75*16)+(4.82*4))*0.8,0)</f>
        <v>99</v>
      </c>
      <c r="D693" s="526" t="s">
        <v>16</v>
      </c>
      <c r="E693" s="527">
        <v>2500</v>
      </c>
      <c r="F693" s="527">
        <f>E693*C693</f>
        <v>247500</v>
      </c>
      <c r="G693" s="672">
        <f>E693*0.4</f>
        <v>1000</v>
      </c>
      <c r="H693" s="528">
        <f>G693*C693</f>
        <v>99000</v>
      </c>
      <c r="I693" s="528">
        <f>H693+F693</f>
        <v>346500</v>
      </c>
      <c r="J693" s="527"/>
      <c r="L693" s="652"/>
    </row>
    <row r="694" spans="1:12">
      <c r="A694" s="661"/>
      <c r="B694" s="662" t="s">
        <v>450</v>
      </c>
      <c r="C694" s="498">
        <v>1</v>
      </c>
      <c r="D694" s="499" t="s">
        <v>451</v>
      </c>
      <c r="E694" s="500">
        <f>SUM(F692:F693)*20%</f>
        <v>49500</v>
      </c>
      <c r="F694" s="663">
        <f>E694*C694</f>
        <v>49500</v>
      </c>
      <c r="G694" s="672">
        <v>0</v>
      </c>
      <c r="H694" s="660">
        <f>G694*C694</f>
        <v>0</v>
      </c>
      <c r="I694" s="665">
        <f>H694+F694</f>
        <v>49500</v>
      </c>
      <c r="J694" s="527"/>
    </row>
    <row r="695" spans="1:12">
      <c r="A695" s="661">
        <v>3.5</v>
      </c>
      <c r="B695" s="666" t="s">
        <v>1637</v>
      </c>
      <c r="C695" s="498"/>
      <c r="D695" s="499"/>
      <c r="E695" s="500"/>
      <c r="F695" s="663"/>
      <c r="G695" s="664"/>
      <c r="H695" s="665"/>
      <c r="I695" s="665"/>
      <c r="J695" s="527"/>
      <c r="L695" s="652"/>
    </row>
    <row r="696" spans="1:12">
      <c r="A696" s="661" t="s">
        <v>1088</v>
      </c>
      <c r="B696" s="666" t="s">
        <v>1383</v>
      </c>
      <c r="C696" s="498"/>
      <c r="D696" s="499"/>
      <c r="E696" s="500"/>
      <c r="F696" s="663"/>
      <c r="G696" s="664"/>
      <c r="H696" s="665"/>
      <c r="I696" s="665"/>
      <c r="J696" s="527"/>
    </row>
    <row r="697" spans="1:12">
      <c r="A697" s="661"/>
      <c r="B697" s="927" t="s">
        <v>1388</v>
      </c>
      <c r="C697" s="498">
        <f>'Architecture '!AC46</f>
        <v>1421</v>
      </c>
      <c r="D697" s="874" t="s">
        <v>16</v>
      </c>
      <c r="E697" s="489">
        <v>75</v>
      </c>
      <c r="F697" s="660">
        <f>E697*C697</f>
        <v>106575</v>
      </c>
      <c r="G697" s="672">
        <v>95</v>
      </c>
      <c r="H697" s="665">
        <f>G697*C697</f>
        <v>134995</v>
      </c>
      <c r="I697" s="665">
        <f>H697+F697</f>
        <v>241570</v>
      </c>
      <c r="J697" s="527"/>
    </row>
    <row r="698" spans="1:12">
      <c r="A698" s="661"/>
      <c r="B698" s="927" t="s">
        <v>1387</v>
      </c>
      <c r="C698" s="498">
        <f>'Architecture '!AC47</f>
        <v>614</v>
      </c>
      <c r="D698" s="874" t="s">
        <v>16</v>
      </c>
      <c r="E698" s="489">
        <v>75</v>
      </c>
      <c r="F698" s="660">
        <f>E698*C698</f>
        <v>46050</v>
      </c>
      <c r="G698" s="672">
        <v>95</v>
      </c>
      <c r="H698" s="665">
        <f>G698*C698</f>
        <v>58330</v>
      </c>
      <c r="I698" s="665">
        <f>H698+F698</f>
        <v>104380</v>
      </c>
      <c r="J698" s="527"/>
    </row>
    <row r="699" spans="1:12">
      <c r="A699" s="661"/>
      <c r="B699" s="927" t="s">
        <v>1386</v>
      </c>
      <c r="C699" s="498">
        <f>'Architecture '!AC48</f>
        <v>1318</v>
      </c>
      <c r="D699" s="874" t="s">
        <v>16</v>
      </c>
      <c r="E699" s="489">
        <v>75</v>
      </c>
      <c r="F699" s="660">
        <f>E699*C699</f>
        <v>98850</v>
      </c>
      <c r="G699" s="672">
        <v>95</v>
      </c>
      <c r="H699" s="665">
        <f>G699*C699</f>
        <v>125210</v>
      </c>
      <c r="I699" s="665">
        <f>H699+F699</f>
        <v>224060</v>
      </c>
      <c r="J699" s="527"/>
    </row>
    <row r="700" spans="1:12">
      <c r="A700" s="661"/>
      <c r="B700" s="927" t="s">
        <v>1385</v>
      </c>
      <c r="C700" s="498">
        <f>'Architecture '!AC49</f>
        <v>232</v>
      </c>
      <c r="D700" s="874" t="s">
        <v>16</v>
      </c>
      <c r="E700" s="489">
        <v>75</v>
      </c>
      <c r="F700" s="660">
        <f>E700*C700</f>
        <v>17400</v>
      </c>
      <c r="G700" s="672">
        <v>95</v>
      </c>
      <c r="H700" s="665">
        <f>G700*C700</f>
        <v>22040</v>
      </c>
      <c r="I700" s="665">
        <f>H700+F700</f>
        <v>39440</v>
      </c>
      <c r="J700" s="527"/>
    </row>
    <row r="701" spans="1:12">
      <c r="A701" s="661" t="s">
        <v>1089</v>
      </c>
      <c r="B701" s="932" t="s">
        <v>1384</v>
      </c>
      <c r="C701" s="498"/>
      <c r="D701" s="505"/>
      <c r="E701" s="489"/>
      <c r="F701" s="660"/>
      <c r="G701" s="672"/>
      <c r="H701" s="665"/>
      <c r="I701" s="665"/>
      <c r="J701" s="527"/>
    </row>
    <row r="702" spans="1:12">
      <c r="A702" s="661"/>
      <c r="B702" s="862" t="s">
        <v>1391</v>
      </c>
      <c r="C702" s="506">
        <f>'Architecture '!BA46</f>
        <v>1421</v>
      </c>
      <c r="D702" s="505" t="s">
        <v>16</v>
      </c>
      <c r="E702" s="489">
        <v>180</v>
      </c>
      <c r="F702" s="660">
        <f>E702*C702</f>
        <v>255780</v>
      </c>
      <c r="G702" s="672">
        <v>50</v>
      </c>
      <c r="H702" s="665">
        <f>G702*C702</f>
        <v>71050</v>
      </c>
      <c r="I702" s="665">
        <f>H702+F702</f>
        <v>326830</v>
      </c>
      <c r="J702" s="527"/>
    </row>
    <row r="703" spans="1:12">
      <c r="A703" s="661"/>
      <c r="B703" s="862" t="s">
        <v>1392</v>
      </c>
      <c r="C703" s="506">
        <f>'Architecture '!BA47</f>
        <v>614</v>
      </c>
      <c r="D703" s="505" t="s">
        <v>16</v>
      </c>
      <c r="E703" s="489">
        <v>180</v>
      </c>
      <c r="F703" s="660">
        <f>E703*C703</f>
        <v>110520</v>
      </c>
      <c r="G703" s="672">
        <v>50</v>
      </c>
      <c r="H703" s="665">
        <f>G703*C703</f>
        <v>30700</v>
      </c>
      <c r="I703" s="665">
        <f>H703+F703</f>
        <v>141220</v>
      </c>
      <c r="J703" s="527"/>
    </row>
    <row r="704" spans="1:12">
      <c r="A704" s="661"/>
      <c r="B704" s="862" t="s">
        <v>1393</v>
      </c>
      <c r="C704" s="506">
        <f>'Architecture '!BA48</f>
        <v>1318</v>
      </c>
      <c r="D704" s="505" t="s">
        <v>16</v>
      </c>
      <c r="E704" s="489">
        <v>180</v>
      </c>
      <c r="F704" s="660">
        <f>E704*C704</f>
        <v>237240</v>
      </c>
      <c r="G704" s="672">
        <v>50</v>
      </c>
      <c r="H704" s="665">
        <f>G704*C704</f>
        <v>65900</v>
      </c>
      <c r="I704" s="665">
        <f>H704+F704</f>
        <v>303140</v>
      </c>
      <c r="J704" s="527"/>
    </row>
    <row r="705" spans="1:10">
      <c r="A705" s="661"/>
      <c r="B705" s="862" t="s">
        <v>1394</v>
      </c>
      <c r="C705" s="506">
        <f>'Architecture '!BA49</f>
        <v>232</v>
      </c>
      <c r="D705" s="505" t="s">
        <v>16</v>
      </c>
      <c r="E705" s="489">
        <v>180</v>
      </c>
      <c r="F705" s="660">
        <f>E705*C705</f>
        <v>41760</v>
      </c>
      <c r="G705" s="672">
        <v>50</v>
      </c>
      <c r="H705" s="665">
        <f>G705*C705</f>
        <v>11600</v>
      </c>
      <c r="I705" s="665">
        <f>H705+F705</f>
        <v>53360</v>
      </c>
      <c r="J705" s="527"/>
    </row>
    <row r="706" spans="1:10">
      <c r="A706" s="661" t="s">
        <v>1090</v>
      </c>
      <c r="B706" s="666" t="s">
        <v>1382</v>
      </c>
      <c r="C706" s="498"/>
      <c r="D706" s="499"/>
      <c r="E706" s="500"/>
      <c r="F706" s="663"/>
      <c r="G706" s="664"/>
      <c r="H706" s="665"/>
      <c r="I706" s="665"/>
      <c r="J706" s="527"/>
    </row>
    <row r="707" spans="1:10">
      <c r="A707" s="661"/>
      <c r="B707" s="662" t="s">
        <v>1371</v>
      </c>
      <c r="C707" s="867">
        <f>ROUND(270.9+331.9+46.17+28.85,0)</f>
        <v>678</v>
      </c>
      <c r="D707" s="667" t="s">
        <v>16</v>
      </c>
      <c r="E707" s="527">
        <v>1850</v>
      </c>
      <c r="F707" s="668">
        <f>E707*C707</f>
        <v>1254300</v>
      </c>
      <c r="G707" s="669">
        <v>2730</v>
      </c>
      <c r="H707" s="670">
        <f>G707*C707</f>
        <v>1850940</v>
      </c>
      <c r="I707" s="670">
        <f>H707+F707</f>
        <v>3105240</v>
      </c>
      <c r="J707" s="527"/>
    </row>
    <row r="708" spans="1:10">
      <c r="A708" s="661"/>
      <c r="B708" s="662" t="s">
        <v>1367</v>
      </c>
      <c r="C708" s="498">
        <f>ROUNDUP((((28+4+3)*7)+(20*6.5)+(7*3.5))*9.52,0)</f>
        <v>3804</v>
      </c>
      <c r="D708" s="499" t="s">
        <v>19</v>
      </c>
      <c r="E708" s="500">
        <v>28</v>
      </c>
      <c r="F708" s="663">
        <f>E708*C708</f>
        <v>106512</v>
      </c>
      <c r="G708" s="664">
        <v>12</v>
      </c>
      <c r="H708" s="665">
        <f>G708*C708</f>
        <v>45648</v>
      </c>
      <c r="I708" s="665">
        <f>H708+F708</f>
        <v>152160</v>
      </c>
      <c r="J708" s="527"/>
    </row>
    <row r="709" spans="1:10">
      <c r="A709" s="661"/>
      <c r="B709" s="662" t="s">
        <v>1757</v>
      </c>
      <c r="C709" s="506">
        <f>ROUNDUP((0.1*4)*(((28+4+3)*7)+(20*6.5)+(7*3.5)),0)</f>
        <v>160</v>
      </c>
      <c r="D709" s="499" t="s">
        <v>72</v>
      </c>
      <c r="E709" s="501">
        <v>58</v>
      </c>
      <c r="F709" s="897">
        <f>E709*C709</f>
        <v>9280</v>
      </c>
      <c r="G709" s="523">
        <v>35</v>
      </c>
      <c r="H709" s="665">
        <f>G709*C709</f>
        <v>5600</v>
      </c>
      <c r="I709" s="665">
        <f>H709+F709</f>
        <v>14880</v>
      </c>
      <c r="J709" s="527"/>
    </row>
    <row r="710" spans="1:10">
      <c r="A710" s="661"/>
      <c r="B710" s="662" t="s">
        <v>450</v>
      </c>
      <c r="C710" s="498">
        <v>1</v>
      </c>
      <c r="D710" s="499" t="s">
        <v>451</v>
      </c>
      <c r="E710" s="500">
        <f>SUM(F707:F709)*20%</f>
        <v>274018.40000000002</v>
      </c>
      <c r="F710" s="663">
        <f>E710*C710</f>
        <v>274018.40000000002</v>
      </c>
      <c r="G710" s="672">
        <f>E710*0.2</f>
        <v>54803.680000000008</v>
      </c>
      <c r="H710" s="665">
        <f>G710*C710</f>
        <v>54803.680000000008</v>
      </c>
      <c r="I710" s="665">
        <f>H710+F710</f>
        <v>328822.08</v>
      </c>
      <c r="J710" s="527"/>
    </row>
    <row r="711" spans="1:10">
      <c r="A711" s="661" t="s">
        <v>1091</v>
      </c>
      <c r="B711" s="666" t="s">
        <v>1057</v>
      </c>
      <c r="C711" s="498"/>
      <c r="D711" s="499"/>
      <c r="E711" s="500"/>
      <c r="F711" s="524"/>
      <c r="G711" s="664"/>
      <c r="H711" s="490"/>
      <c r="I711" s="490"/>
      <c r="J711" s="527"/>
    </row>
    <row r="712" spans="1:10">
      <c r="A712" s="661"/>
      <c r="B712" s="933" t="s">
        <v>1465</v>
      </c>
      <c r="C712" s="866">
        <v>1</v>
      </c>
      <c r="D712" s="529" t="s">
        <v>44</v>
      </c>
      <c r="E712" s="530">
        <f>ROUNDUP((6000*22)+(3000*14)+(9*800),0)</f>
        <v>181200</v>
      </c>
      <c r="F712" s="530">
        <f>E712*C712</f>
        <v>181200</v>
      </c>
      <c r="G712" s="931">
        <f>E712*0.25</f>
        <v>45300</v>
      </c>
      <c r="H712" s="531">
        <f>G712*C712</f>
        <v>45300</v>
      </c>
      <c r="I712" s="531">
        <f>H712+F712</f>
        <v>226500</v>
      </c>
      <c r="J712" s="527"/>
    </row>
    <row r="713" spans="1:10">
      <c r="A713" s="661"/>
      <c r="B713" s="662" t="s">
        <v>450</v>
      </c>
      <c r="C713" s="498">
        <v>1</v>
      </c>
      <c r="D713" s="499" t="s">
        <v>44</v>
      </c>
      <c r="E713" s="500">
        <f>SUM(F712)*20%</f>
        <v>36240</v>
      </c>
      <c r="F713" s="663">
        <f>E713*C713</f>
        <v>36240</v>
      </c>
      <c r="G713" s="672">
        <v>0</v>
      </c>
      <c r="H713" s="660">
        <f>G713*C713</f>
        <v>0</v>
      </c>
      <c r="I713" s="665">
        <f>H713+F713</f>
        <v>36240</v>
      </c>
      <c r="J713" s="527"/>
    </row>
    <row r="714" spans="1:10">
      <c r="A714" s="661"/>
      <c r="B714" s="662"/>
      <c r="C714" s="498"/>
      <c r="D714" s="499"/>
      <c r="E714" s="500"/>
      <c r="F714" s="663"/>
      <c r="G714" s="672"/>
      <c r="H714" s="665"/>
      <c r="I714" s="665"/>
      <c r="J714" s="527"/>
    </row>
    <row r="715" spans="1:10">
      <c r="A715" s="838"/>
      <c r="B715" s="833" t="s">
        <v>1289</v>
      </c>
      <c r="C715" s="840"/>
      <c r="D715" s="841"/>
      <c r="E715" s="837"/>
      <c r="F715" s="842">
        <f>SUM(F348:F714)</f>
        <v>28389882.648000002</v>
      </c>
      <c r="G715" s="842"/>
      <c r="H715" s="842">
        <f>SUM(H348:H714)</f>
        <v>8768332.6799999997</v>
      </c>
      <c r="I715" s="842">
        <f>SUM(I348:I714)</f>
        <v>37158215.328000002</v>
      </c>
      <c r="J715" s="837"/>
    </row>
    <row r="716" spans="1:10">
      <c r="A716" s="661"/>
      <c r="B716" s="662"/>
      <c r="C716" s="498"/>
      <c r="D716" s="499"/>
      <c r="E716" s="500"/>
      <c r="F716" s="663"/>
      <c r="G716" s="664"/>
      <c r="H716" s="665"/>
      <c r="I716" s="665"/>
      <c r="J716" s="527"/>
    </row>
    <row r="717" spans="1:10">
      <c r="A717" s="661"/>
      <c r="B717" s="785" t="s">
        <v>1169</v>
      </c>
      <c r="C717" s="506"/>
      <c r="D717" s="505"/>
      <c r="E717" s="489"/>
      <c r="F717" s="660"/>
      <c r="G717" s="672"/>
      <c r="H717" s="665"/>
      <c r="I717" s="665"/>
      <c r="J717" s="660"/>
    </row>
    <row r="718" spans="1:10">
      <c r="A718" s="504">
        <v>3.6</v>
      </c>
      <c r="B718" s="493" t="s">
        <v>1198</v>
      </c>
      <c r="C718" s="506"/>
      <c r="D718" s="505"/>
      <c r="E718" s="489"/>
      <c r="F718" s="489"/>
      <c r="G718" s="507"/>
      <c r="H718" s="490"/>
      <c r="I718" s="490"/>
      <c r="J718" s="489"/>
    </row>
    <row r="719" spans="1:10">
      <c r="A719" s="661" t="s">
        <v>1092</v>
      </c>
      <c r="B719" s="919" t="s">
        <v>29</v>
      </c>
      <c r="C719" s="506"/>
      <c r="D719" s="505"/>
      <c r="E719" s="489"/>
      <c r="F719" s="660"/>
      <c r="G719" s="672"/>
      <c r="H719" s="665"/>
      <c r="I719" s="665"/>
      <c r="J719" s="489"/>
    </row>
    <row r="720" spans="1:10">
      <c r="A720" s="661"/>
      <c r="B720" s="863" t="s">
        <v>430</v>
      </c>
      <c r="C720" s="506">
        <f>'Architecture '!C209</f>
        <v>1465</v>
      </c>
      <c r="D720" s="505" t="s">
        <v>16</v>
      </c>
      <c r="E720" s="489">
        <v>95</v>
      </c>
      <c r="F720" s="660">
        <f>E720*C720</f>
        <v>139175</v>
      </c>
      <c r="G720" s="672">
        <v>82</v>
      </c>
      <c r="H720" s="665">
        <f>G720*C720</f>
        <v>120130</v>
      </c>
      <c r="I720" s="665">
        <f>H720+F720</f>
        <v>259305</v>
      </c>
      <c r="J720" s="489"/>
    </row>
    <row r="721" spans="1:10">
      <c r="A721" s="661"/>
      <c r="B721" s="863" t="s">
        <v>1788</v>
      </c>
      <c r="C721" s="506">
        <f>'Architecture '!E209</f>
        <v>36</v>
      </c>
      <c r="D721" s="505" t="s">
        <v>16</v>
      </c>
      <c r="E721" s="489">
        <v>560</v>
      </c>
      <c r="F721" s="660">
        <f>E721*C721</f>
        <v>20160</v>
      </c>
      <c r="G721" s="672">
        <v>250</v>
      </c>
      <c r="H721" s="665">
        <f>G721*C721</f>
        <v>9000</v>
      </c>
      <c r="I721" s="665">
        <f>H721+F721</f>
        <v>29160</v>
      </c>
      <c r="J721" s="489"/>
    </row>
    <row r="722" spans="1:10">
      <c r="A722" s="661"/>
      <c r="B722" s="863" t="s">
        <v>1326</v>
      </c>
      <c r="C722" s="506">
        <f>'Architecture '!H209</f>
        <v>128</v>
      </c>
      <c r="D722" s="505" t="s">
        <v>16</v>
      </c>
      <c r="E722" s="489">
        <v>101</v>
      </c>
      <c r="F722" s="660">
        <f>E722*C722</f>
        <v>12928</v>
      </c>
      <c r="G722" s="672">
        <v>82</v>
      </c>
      <c r="H722" s="665">
        <f>G722*C722</f>
        <v>10496</v>
      </c>
      <c r="I722" s="665">
        <f>H722+F722</f>
        <v>23424</v>
      </c>
      <c r="J722" s="489"/>
    </row>
    <row r="723" spans="1:10">
      <c r="A723" s="661"/>
      <c r="B723" s="863" t="s">
        <v>30</v>
      </c>
      <c r="C723" s="506">
        <f>C721</f>
        <v>36</v>
      </c>
      <c r="D723" s="505" t="s">
        <v>16</v>
      </c>
      <c r="E723" s="489">
        <v>83</v>
      </c>
      <c r="F723" s="660">
        <f>E723*C723</f>
        <v>2988</v>
      </c>
      <c r="G723" s="672">
        <v>82</v>
      </c>
      <c r="H723" s="665">
        <f>G723*C723</f>
        <v>2952</v>
      </c>
      <c r="I723" s="665">
        <f>H723+F723</f>
        <v>5940</v>
      </c>
      <c r="J723" s="489"/>
    </row>
    <row r="724" spans="1:10">
      <c r="A724" s="661" t="s">
        <v>1093</v>
      </c>
      <c r="B724" s="919" t="s">
        <v>31</v>
      </c>
      <c r="C724" s="506"/>
      <c r="D724" s="874"/>
      <c r="E724" s="489"/>
      <c r="F724" s="660"/>
      <c r="G724" s="672"/>
      <c r="H724" s="665"/>
      <c r="I724" s="665"/>
      <c r="J724" s="489"/>
    </row>
    <row r="725" spans="1:10">
      <c r="A725" s="661"/>
      <c r="B725" s="919" t="s">
        <v>32</v>
      </c>
      <c r="C725" s="506"/>
      <c r="D725" s="874"/>
      <c r="E725" s="489"/>
      <c r="F725" s="660"/>
      <c r="G725" s="672"/>
      <c r="H725" s="665"/>
      <c r="I725" s="665"/>
      <c r="J725" s="489"/>
    </row>
    <row r="726" spans="1:10">
      <c r="A726" s="661"/>
      <c r="B726" s="863" t="s">
        <v>433</v>
      </c>
      <c r="C726" s="506">
        <f>'Architecture '!U209</f>
        <v>583</v>
      </c>
      <c r="D726" s="874" t="s">
        <v>16</v>
      </c>
      <c r="E726" s="489">
        <v>285</v>
      </c>
      <c r="F726" s="660">
        <f>E726*C726</f>
        <v>166155</v>
      </c>
      <c r="G726" s="672">
        <v>89</v>
      </c>
      <c r="H726" s="665">
        <f>G726*C726</f>
        <v>51887</v>
      </c>
      <c r="I726" s="665">
        <f>H726+F726</f>
        <v>218042</v>
      </c>
      <c r="J726" s="489"/>
    </row>
    <row r="727" spans="1:10">
      <c r="A727" s="661"/>
      <c r="B727" s="863" t="s">
        <v>1428</v>
      </c>
      <c r="C727" s="506">
        <f>'Architecture '!V209</f>
        <v>6</v>
      </c>
      <c r="D727" s="874" t="s">
        <v>16</v>
      </c>
      <c r="E727" s="489">
        <v>584</v>
      </c>
      <c r="F727" s="660">
        <f>E727*C727</f>
        <v>3504</v>
      </c>
      <c r="G727" s="672">
        <v>167</v>
      </c>
      <c r="H727" s="665">
        <f>G727*C727</f>
        <v>1002</v>
      </c>
      <c r="I727" s="665">
        <f>H727+F727</f>
        <v>4506</v>
      </c>
      <c r="J727" s="489"/>
    </row>
    <row r="728" spans="1:10">
      <c r="A728" s="661"/>
      <c r="B728" s="863" t="s">
        <v>33</v>
      </c>
      <c r="C728" s="506">
        <f>'Architecture '!AQ209+'Architecture '!AR209+'Architecture '!AT209</f>
        <v>375</v>
      </c>
      <c r="D728" s="874" t="s">
        <v>14</v>
      </c>
      <c r="E728" s="489">
        <v>70</v>
      </c>
      <c r="F728" s="660">
        <f>E728*C728</f>
        <v>26250</v>
      </c>
      <c r="G728" s="672">
        <v>44</v>
      </c>
      <c r="H728" s="665">
        <f>G728*C728</f>
        <v>16500</v>
      </c>
      <c r="I728" s="665">
        <f>H728+F728</f>
        <v>42750</v>
      </c>
      <c r="J728" s="489"/>
    </row>
    <row r="729" spans="1:10">
      <c r="A729" s="661"/>
      <c r="B729" s="785" t="s">
        <v>34</v>
      </c>
      <c r="C729" s="506"/>
      <c r="D729" s="505"/>
      <c r="E729" s="489"/>
      <c r="F729" s="660"/>
      <c r="G729" s="672"/>
      <c r="H729" s="665"/>
      <c r="I729" s="665"/>
      <c r="J729" s="489"/>
    </row>
    <row r="730" spans="1:10">
      <c r="A730" s="661"/>
      <c r="B730" s="927" t="s">
        <v>1415</v>
      </c>
      <c r="C730" s="506">
        <f>'Architecture '!AC209</f>
        <v>986</v>
      </c>
      <c r="D730" s="874" t="s">
        <v>16</v>
      </c>
      <c r="E730" s="489">
        <v>75</v>
      </c>
      <c r="F730" s="660">
        <f>E730*C730</f>
        <v>73950</v>
      </c>
      <c r="G730" s="672">
        <v>95</v>
      </c>
      <c r="H730" s="665">
        <f>G730*C730</f>
        <v>93670</v>
      </c>
      <c r="I730" s="665">
        <f>H730+F730</f>
        <v>167620</v>
      </c>
      <c r="J730" s="489"/>
    </row>
    <row r="731" spans="1:10">
      <c r="A731" s="661"/>
      <c r="B731" s="863" t="s">
        <v>1390</v>
      </c>
      <c r="C731" s="506">
        <f>'Architecture '!AD209</f>
        <v>603</v>
      </c>
      <c r="D731" s="874" t="s">
        <v>16</v>
      </c>
      <c r="E731" s="489">
        <v>75</v>
      </c>
      <c r="F731" s="660">
        <f>E731*C731</f>
        <v>45225</v>
      </c>
      <c r="G731" s="672">
        <v>82</v>
      </c>
      <c r="H731" s="665">
        <f>G731*C731</f>
        <v>49446</v>
      </c>
      <c r="I731" s="665">
        <f>H731+F731</f>
        <v>94671</v>
      </c>
      <c r="J731" s="489"/>
    </row>
    <row r="732" spans="1:10">
      <c r="A732" s="661"/>
      <c r="B732" s="863" t="s">
        <v>1427</v>
      </c>
      <c r="C732" s="506">
        <f>'Architecture '!W209</f>
        <v>91</v>
      </c>
      <c r="D732" s="874" t="s">
        <v>16</v>
      </c>
      <c r="E732" s="489">
        <v>80</v>
      </c>
      <c r="F732" s="660">
        <f>E732*C732</f>
        <v>7280</v>
      </c>
      <c r="G732" s="672">
        <v>115</v>
      </c>
      <c r="H732" s="665">
        <f>G732*C732</f>
        <v>10465</v>
      </c>
      <c r="I732" s="665">
        <f>H732+F732</f>
        <v>17745</v>
      </c>
      <c r="J732" s="489"/>
    </row>
    <row r="733" spans="1:10">
      <c r="A733" s="661"/>
      <c r="B733" s="863" t="s">
        <v>1372</v>
      </c>
      <c r="C733" s="506">
        <f>'Architecture '!AG209</f>
        <v>124</v>
      </c>
      <c r="D733" s="874" t="s">
        <v>16</v>
      </c>
      <c r="E733" s="489">
        <v>750</v>
      </c>
      <c r="F733" s="660">
        <f>E733*C733</f>
        <v>93000</v>
      </c>
      <c r="G733" s="672">
        <v>250</v>
      </c>
      <c r="H733" s="665">
        <f>G733*C733</f>
        <v>31000</v>
      </c>
      <c r="I733" s="665">
        <f>H733+F733</f>
        <v>124000</v>
      </c>
      <c r="J733" s="489"/>
    </row>
    <row r="734" spans="1:10">
      <c r="A734" s="661" t="s">
        <v>1094</v>
      </c>
      <c r="B734" s="785" t="s">
        <v>35</v>
      </c>
      <c r="C734" s="506"/>
      <c r="D734" s="505"/>
      <c r="E734" s="489"/>
      <c r="F734" s="660"/>
      <c r="G734" s="672"/>
      <c r="H734" s="665"/>
      <c r="I734" s="665"/>
      <c r="J734" s="489"/>
    </row>
    <row r="735" spans="1:10">
      <c r="A735" s="685"/>
      <c r="B735" s="862" t="s">
        <v>1414</v>
      </c>
      <c r="C735" s="506">
        <f>'Architecture '!BA209</f>
        <v>986</v>
      </c>
      <c r="D735" s="505" t="s">
        <v>16</v>
      </c>
      <c r="E735" s="489">
        <v>180</v>
      </c>
      <c r="F735" s="660">
        <f>E735*C735</f>
        <v>177480</v>
      </c>
      <c r="G735" s="672">
        <v>50</v>
      </c>
      <c r="H735" s="665">
        <f>G735*C735</f>
        <v>49300</v>
      </c>
      <c r="I735" s="665">
        <f>H735+F735</f>
        <v>226780</v>
      </c>
      <c r="J735" s="489"/>
    </row>
    <row r="736" spans="1:10">
      <c r="A736" s="518"/>
      <c r="B736" s="862" t="s">
        <v>1389</v>
      </c>
      <c r="C736" s="506">
        <f>'Architecture '!AZ209</f>
        <v>465</v>
      </c>
      <c r="D736" s="505" t="s">
        <v>16</v>
      </c>
      <c r="E736" s="489">
        <v>180</v>
      </c>
      <c r="F736" s="660">
        <f>E736*C736</f>
        <v>83700</v>
      </c>
      <c r="G736" s="672">
        <v>50</v>
      </c>
      <c r="H736" s="665">
        <f>G736*C736</f>
        <v>23250</v>
      </c>
      <c r="I736" s="665">
        <f>H736+F736</f>
        <v>106950</v>
      </c>
      <c r="J736" s="489"/>
    </row>
    <row r="737" spans="1:10">
      <c r="A737" s="661" t="s">
        <v>1284</v>
      </c>
      <c r="B737" s="919" t="s">
        <v>36</v>
      </c>
      <c r="C737" s="506"/>
      <c r="D737" s="874"/>
      <c r="E737" s="489"/>
      <c r="F737" s="660"/>
      <c r="G737" s="672"/>
      <c r="H737" s="665"/>
      <c r="I737" s="665"/>
      <c r="J737" s="489"/>
    </row>
    <row r="738" spans="1:10">
      <c r="A738" s="685"/>
      <c r="B738" s="863" t="s">
        <v>38</v>
      </c>
      <c r="C738" s="506">
        <f>'Architecture '!AV209</f>
        <v>36</v>
      </c>
      <c r="D738" s="874" t="s">
        <v>16</v>
      </c>
      <c r="E738" s="489">
        <v>312</v>
      </c>
      <c r="F738" s="660">
        <f>E738*C738</f>
        <v>11232</v>
      </c>
      <c r="G738" s="672">
        <v>75</v>
      </c>
      <c r="H738" s="665">
        <f>G738*C738</f>
        <v>2700</v>
      </c>
      <c r="I738" s="665">
        <f>H738+F738</f>
        <v>13932</v>
      </c>
      <c r="J738" s="489"/>
    </row>
    <row r="739" spans="1:10">
      <c r="A739" s="685"/>
      <c r="B739" s="863" t="s">
        <v>458</v>
      </c>
      <c r="C739" s="506">
        <f>'Architecture '!AW209</f>
        <v>503</v>
      </c>
      <c r="D739" s="874" t="s">
        <v>16</v>
      </c>
      <c r="E739" s="489">
        <v>78</v>
      </c>
      <c r="F739" s="660">
        <f>E739*C739</f>
        <v>39234</v>
      </c>
      <c r="G739" s="672">
        <v>82</v>
      </c>
      <c r="H739" s="665">
        <f>G739*C739</f>
        <v>41246</v>
      </c>
      <c r="I739" s="665">
        <f>H739+F739</f>
        <v>80480</v>
      </c>
      <c r="J739" s="489"/>
    </row>
    <row r="740" spans="1:10">
      <c r="A740" s="685"/>
      <c r="B740" s="862" t="s">
        <v>39</v>
      </c>
      <c r="C740" s="506">
        <f>'Architecture '!BC209</f>
        <v>539</v>
      </c>
      <c r="D740" s="874" t="s">
        <v>16</v>
      </c>
      <c r="E740" s="489">
        <v>33</v>
      </c>
      <c r="F740" s="660">
        <f>E740*C740</f>
        <v>17787</v>
      </c>
      <c r="G740" s="672">
        <v>31</v>
      </c>
      <c r="H740" s="665">
        <f>G740*C740</f>
        <v>16709</v>
      </c>
      <c r="I740" s="665">
        <f>H740+F740</f>
        <v>34496</v>
      </c>
      <c r="J740" s="489"/>
    </row>
    <row r="741" spans="1:10">
      <c r="A741" s="661" t="s">
        <v>1426</v>
      </c>
      <c r="B741" s="785" t="s">
        <v>471</v>
      </c>
      <c r="C741" s="506"/>
      <c r="D741" s="505"/>
      <c r="E741" s="489"/>
      <c r="F741" s="660"/>
      <c r="G741" s="672"/>
      <c r="H741" s="665"/>
      <c r="I741" s="665"/>
      <c r="J741" s="489"/>
    </row>
    <row r="742" spans="1:10">
      <c r="A742" s="661"/>
      <c r="B742" s="919" t="s">
        <v>40</v>
      </c>
      <c r="C742" s="506"/>
      <c r="D742" s="874"/>
      <c r="E742" s="517"/>
      <c r="F742" s="514"/>
      <c r="G742" s="520"/>
      <c r="H742" s="665"/>
      <c r="I742" s="665"/>
      <c r="J742" s="489"/>
    </row>
    <row r="743" spans="1:10">
      <c r="A743" s="685">
        <f>'Sannitary ware'!I7</f>
        <v>1</v>
      </c>
      <c r="B743" s="863" t="str">
        <f>'Sannitary ware'!J7</f>
        <v xml:space="preserve"> - โถสุขภัณฑ์ฟลัชวาล์ว</v>
      </c>
      <c r="C743" s="506">
        <f>'Sannitary ware'!O7</f>
        <v>4</v>
      </c>
      <c r="D743" s="874" t="s">
        <v>15</v>
      </c>
      <c r="E743" s="920">
        <f>'Sannitary ware'!P7</f>
        <v>6500</v>
      </c>
      <c r="F743" s="660">
        <f t="shared" ref="F743:F766" si="65">E743*C743</f>
        <v>26000</v>
      </c>
      <c r="G743" s="921">
        <f>'Sannitary ware'!Q7</f>
        <v>450</v>
      </c>
      <c r="H743" s="665">
        <f t="shared" ref="H743:H766" si="66">G743*C743</f>
        <v>1800</v>
      </c>
      <c r="I743" s="665">
        <f t="shared" ref="I743:I766" si="67">H743+F743</f>
        <v>27800</v>
      </c>
      <c r="J743" s="660"/>
    </row>
    <row r="744" spans="1:10">
      <c r="A744" s="685">
        <f>'Sannitary ware'!I8</f>
        <v>1</v>
      </c>
      <c r="B744" s="863" t="str">
        <f>'Sannitary ware'!J8</f>
        <v xml:space="preserve">     • STOP VALVE 1/2" </v>
      </c>
      <c r="C744" s="506">
        <f>'Sannitary ware'!O8</f>
        <v>4</v>
      </c>
      <c r="D744" s="874" t="s">
        <v>27</v>
      </c>
      <c r="E744" s="920">
        <f>'Sannitary ware'!P8</f>
        <v>80</v>
      </c>
      <c r="F744" s="660">
        <f t="shared" si="65"/>
        <v>320</v>
      </c>
      <c r="G744" s="921">
        <f>'Sannitary ware'!Q8</f>
        <v>35</v>
      </c>
      <c r="H744" s="665">
        <f t="shared" si="66"/>
        <v>140</v>
      </c>
      <c r="I744" s="665">
        <f t="shared" si="67"/>
        <v>460</v>
      </c>
      <c r="J744" s="660"/>
    </row>
    <row r="745" spans="1:10">
      <c r="A745" s="685">
        <f>'Sannitary ware'!I9</f>
        <v>2</v>
      </c>
      <c r="B745" s="863" t="str">
        <f>'Sannitary ware'!J9</f>
        <v xml:space="preserve"> - สายชำระพร้อมสต๊อปวาล์ว</v>
      </c>
      <c r="C745" s="506">
        <f>'Sannitary ware'!O9</f>
        <v>4</v>
      </c>
      <c r="D745" s="874" t="s">
        <v>15</v>
      </c>
      <c r="E745" s="920">
        <f>'Sannitary ware'!P9</f>
        <v>300</v>
      </c>
      <c r="F745" s="660">
        <f t="shared" si="65"/>
        <v>1200</v>
      </c>
      <c r="G745" s="921">
        <f>'Sannitary ware'!Q9</f>
        <v>70</v>
      </c>
      <c r="H745" s="665">
        <f t="shared" si="66"/>
        <v>280</v>
      </c>
      <c r="I745" s="665">
        <f t="shared" si="67"/>
        <v>1480</v>
      </c>
      <c r="J745" s="660"/>
    </row>
    <row r="746" spans="1:10">
      <c r="A746" s="685">
        <f>'Sannitary ware'!I10</f>
        <v>3</v>
      </c>
      <c r="B746" s="863" t="str">
        <f>'Sannitary ware'!J10</f>
        <v xml:space="preserve"> - อ่างล้างหน้าแบบฝังเคาน์เตอร์ </v>
      </c>
      <c r="C746" s="506">
        <f>'Sannitary ware'!O10</f>
        <v>5</v>
      </c>
      <c r="D746" s="874" t="s">
        <v>27</v>
      </c>
      <c r="E746" s="920">
        <f>'Sannitary ware'!P10</f>
        <v>3500</v>
      </c>
      <c r="F746" s="660">
        <f t="shared" si="65"/>
        <v>17500</v>
      </c>
      <c r="G746" s="1680">
        <f>'Sannitary ware'!Q10</f>
        <v>450</v>
      </c>
      <c r="H746" s="1683">
        <f t="shared" si="66"/>
        <v>2250</v>
      </c>
      <c r="I746" s="665">
        <f t="shared" si="67"/>
        <v>19750</v>
      </c>
      <c r="J746" s="489"/>
    </row>
    <row r="747" spans="1:10">
      <c r="A747" s="685">
        <f>'Sannitary ware'!I11</f>
        <v>3</v>
      </c>
      <c r="B747" s="863" t="str">
        <f>'Sannitary ware'!J11</f>
        <v xml:space="preserve">     • ก๊อกน้ำเดี่ยวอ่างล้างหน้า </v>
      </c>
      <c r="C747" s="506">
        <f>'Sannitary ware'!O11</f>
        <v>5</v>
      </c>
      <c r="D747" s="874" t="s">
        <v>15</v>
      </c>
      <c r="E747" s="920">
        <f>'Sannitary ware'!P11</f>
        <v>0</v>
      </c>
      <c r="F747" s="660">
        <f t="shared" si="65"/>
        <v>0</v>
      </c>
      <c r="G747" s="1681"/>
      <c r="H747" s="1684"/>
      <c r="I747" s="665">
        <f t="shared" si="67"/>
        <v>0</v>
      </c>
      <c r="J747" s="660"/>
    </row>
    <row r="748" spans="1:10">
      <c r="A748" s="685">
        <f>'Sannitary ware'!I12</f>
        <v>3</v>
      </c>
      <c r="B748" s="863" t="str">
        <f>'Sannitary ware'!J12</f>
        <v xml:space="preserve">     • ท่อน้ำทิ้งอ่างล้างหน้า </v>
      </c>
      <c r="C748" s="506">
        <f>'Sannitary ware'!O12</f>
        <v>5</v>
      </c>
      <c r="D748" s="874" t="s">
        <v>15</v>
      </c>
      <c r="E748" s="920">
        <f>'Sannitary ware'!P12</f>
        <v>0</v>
      </c>
      <c r="F748" s="660">
        <f t="shared" si="65"/>
        <v>0</v>
      </c>
      <c r="G748" s="1681"/>
      <c r="H748" s="1684"/>
      <c r="I748" s="665">
        <f t="shared" si="67"/>
        <v>0</v>
      </c>
      <c r="J748" s="660"/>
    </row>
    <row r="749" spans="1:10">
      <c r="A749" s="685">
        <f>'Sannitary ware'!I13</f>
        <v>3</v>
      </c>
      <c r="B749" s="863" t="str">
        <f>'Sannitary ware'!J13</f>
        <v xml:space="preserve">     • สะดืออ่างล้างหน้าแบบกด </v>
      </c>
      <c r="C749" s="506">
        <f>'Sannitary ware'!O13</f>
        <v>5</v>
      </c>
      <c r="D749" s="874" t="s">
        <v>15</v>
      </c>
      <c r="E749" s="920">
        <f>'Sannitary ware'!P13</f>
        <v>0</v>
      </c>
      <c r="F749" s="660">
        <f t="shared" si="65"/>
        <v>0</v>
      </c>
      <c r="G749" s="1681"/>
      <c r="H749" s="1684"/>
      <c r="I749" s="665">
        <f t="shared" si="67"/>
        <v>0</v>
      </c>
      <c r="J749" s="660"/>
    </row>
    <row r="750" spans="1:10">
      <c r="A750" s="685">
        <f>'Sannitary ware'!I14</f>
        <v>3</v>
      </c>
      <c r="B750" s="863" t="str">
        <f>'Sannitary ware'!J14</f>
        <v xml:space="preserve">     • สายน้ำดีอ่างล้างหน้าสแตนเลสถักยาว 16" </v>
      </c>
      <c r="C750" s="506">
        <f>'Sannitary ware'!O14</f>
        <v>5</v>
      </c>
      <c r="D750" s="874" t="s">
        <v>15</v>
      </c>
      <c r="E750" s="920">
        <f>'Sannitary ware'!P14</f>
        <v>0</v>
      </c>
      <c r="F750" s="660">
        <f t="shared" si="65"/>
        <v>0</v>
      </c>
      <c r="G750" s="1681"/>
      <c r="H750" s="1684"/>
      <c r="I750" s="665">
        <f t="shared" si="67"/>
        <v>0</v>
      </c>
      <c r="J750" s="660"/>
    </row>
    <row r="751" spans="1:10">
      <c r="A751" s="685">
        <f>'Sannitary ware'!I15</f>
        <v>3</v>
      </c>
      <c r="B751" s="863" t="str">
        <f>'Sannitary ware'!J15</f>
        <v xml:space="preserve">     • STOP VALVE 1/2" </v>
      </c>
      <c r="C751" s="506">
        <f>'Sannitary ware'!O15</f>
        <v>5</v>
      </c>
      <c r="D751" s="874" t="s">
        <v>15</v>
      </c>
      <c r="E751" s="920">
        <f>'Sannitary ware'!P15</f>
        <v>0</v>
      </c>
      <c r="F751" s="660">
        <f t="shared" si="65"/>
        <v>0</v>
      </c>
      <c r="G751" s="1682"/>
      <c r="H751" s="1685"/>
      <c r="I751" s="665">
        <f t="shared" si="67"/>
        <v>0</v>
      </c>
      <c r="J751" s="660"/>
    </row>
    <row r="752" spans="1:10">
      <c r="A752" s="685">
        <f>'Sannitary ware'!I16</f>
        <v>4</v>
      </c>
      <c r="B752" s="863" t="str">
        <f>'Sannitary ware'!J16</f>
        <v xml:space="preserve"> - บานกระจกเงาหนา 6 มม. ขนาด 4.10  x 1.00 ม.</v>
      </c>
      <c r="C752" s="506">
        <f>'Sannitary ware'!O16</f>
        <v>2</v>
      </c>
      <c r="D752" s="874" t="s">
        <v>15</v>
      </c>
      <c r="E752" s="920">
        <f>'Sannitary ware'!P16</f>
        <v>8827</v>
      </c>
      <c r="F752" s="660">
        <f t="shared" si="65"/>
        <v>17654</v>
      </c>
      <c r="G752" s="921">
        <f>'Sannitary ware'!Q16</f>
        <v>120</v>
      </c>
      <c r="H752" s="665">
        <f t="shared" si="66"/>
        <v>240</v>
      </c>
      <c r="I752" s="665">
        <f t="shared" si="67"/>
        <v>17894</v>
      </c>
      <c r="J752" s="660"/>
    </row>
    <row r="753" spans="1:10">
      <c r="A753" s="685">
        <f>'Sannitary ware'!I17</f>
        <v>5</v>
      </c>
      <c r="B753" s="863" t="str">
        <f>'Sannitary ware'!J17</f>
        <v xml:space="preserve"> - โถปัสสาวะชายพร้อมฟลัชวาล์ว</v>
      </c>
      <c r="C753" s="506">
        <f>'Sannitary ware'!O17</f>
        <v>4</v>
      </c>
      <c r="D753" s="874" t="s">
        <v>15</v>
      </c>
      <c r="E753" s="920">
        <f>'Sannitary ware'!P17</f>
        <v>5500</v>
      </c>
      <c r="F753" s="660">
        <f t="shared" si="65"/>
        <v>22000</v>
      </c>
      <c r="G753" s="921">
        <f>'Sannitary ware'!Q17</f>
        <v>450</v>
      </c>
      <c r="H753" s="665">
        <f t="shared" si="66"/>
        <v>1800</v>
      </c>
      <c r="I753" s="665">
        <f t="shared" si="67"/>
        <v>23800</v>
      </c>
      <c r="J753" s="922"/>
    </row>
    <row r="754" spans="1:10">
      <c r="A754" s="685">
        <f>'Sannitary ware'!I18</f>
        <v>6</v>
      </c>
      <c r="B754" s="863" t="str">
        <f>'Sannitary ware'!J18</f>
        <v xml:space="preserve"> - ชุดฝักบัวก้านแข็งพร้อมฝักบัวสายอ่อน </v>
      </c>
      <c r="C754" s="506">
        <f>'Sannitary ware'!O18</f>
        <v>3</v>
      </c>
      <c r="D754" s="874" t="s">
        <v>27</v>
      </c>
      <c r="E754" s="920">
        <f>'Sannitary ware'!P18</f>
        <v>400</v>
      </c>
      <c r="F754" s="660">
        <f t="shared" si="65"/>
        <v>1200</v>
      </c>
      <c r="G754" s="921">
        <f>'Sannitary ware'!Q18</f>
        <v>170</v>
      </c>
      <c r="H754" s="665">
        <f t="shared" si="66"/>
        <v>510</v>
      </c>
      <c r="I754" s="665">
        <f t="shared" si="67"/>
        <v>1710</v>
      </c>
      <c r="J754" s="660"/>
    </row>
    <row r="755" spans="1:10">
      <c r="A755" s="685">
        <f>'Sannitary ware'!I19</f>
        <v>7</v>
      </c>
      <c r="B755" s="863" t="str">
        <f>'Sannitary ware'!J19</f>
        <v xml:space="preserve"> - ที่วางสบู่ </v>
      </c>
      <c r="C755" s="506">
        <f>'Sannitary ware'!O19</f>
        <v>3</v>
      </c>
      <c r="D755" s="874" t="s">
        <v>15</v>
      </c>
      <c r="E755" s="920">
        <f>'Sannitary ware'!P19</f>
        <v>370</v>
      </c>
      <c r="F755" s="660">
        <f t="shared" si="65"/>
        <v>1110</v>
      </c>
      <c r="G755" s="921">
        <f>'Sannitary ware'!Q19</f>
        <v>120</v>
      </c>
      <c r="H755" s="665">
        <f t="shared" si="66"/>
        <v>360</v>
      </c>
      <c r="I755" s="665">
        <f t="shared" si="67"/>
        <v>1470</v>
      </c>
      <c r="J755" s="660"/>
    </row>
    <row r="756" spans="1:10">
      <c r="A756" s="685">
        <f>'Sannitary ware'!I20</f>
        <v>8</v>
      </c>
      <c r="B756" s="863" t="str">
        <f>'Sannitary ware'!J20</f>
        <v xml:space="preserve"> - ก๊อกล้างพื้น </v>
      </c>
      <c r="C756" s="506">
        <f>'Sannitary ware'!O20</f>
        <v>2</v>
      </c>
      <c r="D756" s="874" t="s">
        <v>15</v>
      </c>
      <c r="E756" s="920">
        <f>'Sannitary ware'!P20</f>
        <v>125</v>
      </c>
      <c r="F756" s="660">
        <f t="shared" si="65"/>
        <v>250</v>
      </c>
      <c r="G756" s="921">
        <f>'Sannitary ware'!Q20</f>
        <v>25</v>
      </c>
      <c r="H756" s="665">
        <f t="shared" si="66"/>
        <v>50</v>
      </c>
      <c r="I756" s="665">
        <f t="shared" si="67"/>
        <v>300</v>
      </c>
      <c r="J756" s="660"/>
    </row>
    <row r="757" spans="1:10">
      <c r="A757" s="685" t="str">
        <f>'Sannitary ware'!I21</f>
        <v>P</v>
      </c>
      <c r="B757" s="863" t="str">
        <f>'Sannitary ware'!J21</f>
        <v xml:space="preserve"> - ชุดผนังห้องน้ำสำเร็จรูป </v>
      </c>
      <c r="C757" s="506">
        <f>'Sannitary ware'!O21</f>
        <v>7</v>
      </c>
      <c r="D757" s="874" t="s">
        <v>15</v>
      </c>
      <c r="E757" s="920">
        <f>'Sannitary ware'!P21</f>
        <v>12600</v>
      </c>
      <c r="F757" s="660">
        <f t="shared" si="65"/>
        <v>88200</v>
      </c>
      <c r="G757" s="921">
        <f>'Sannitary ware'!Q21</f>
        <v>1250</v>
      </c>
      <c r="H757" s="665">
        <f t="shared" si="66"/>
        <v>8750</v>
      </c>
      <c r="I757" s="665">
        <f t="shared" si="67"/>
        <v>96950</v>
      </c>
      <c r="J757" s="489"/>
    </row>
    <row r="758" spans="1:10">
      <c r="A758" s="685" t="str">
        <f>'Sannitary ware'!I23</f>
        <v>FD</v>
      </c>
      <c r="B758" s="863" t="str">
        <f>'Sannitary ware'!J23</f>
        <v xml:space="preserve"> - ตะแกรงระบายน้ำที่พื้น </v>
      </c>
      <c r="C758" s="506">
        <f>'Sannitary ware'!O23</f>
        <v>7</v>
      </c>
      <c r="D758" s="505" t="s">
        <v>15</v>
      </c>
      <c r="E758" s="920">
        <f>'Sannitary ware'!P23</f>
        <v>350</v>
      </c>
      <c r="F758" s="660">
        <f t="shared" si="65"/>
        <v>2450</v>
      </c>
      <c r="G758" s="921">
        <f>'Sannitary ware'!Q23</f>
        <v>75</v>
      </c>
      <c r="H758" s="665">
        <f t="shared" si="66"/>
        <v>525</v>
      </c>
      <c r="I758" s="665">
        <f t="shared" si="67"/>
        <v>2975</v>
      </c>
      <c r="J758" s="660"/>
    </row>
    <row r="759" spans="1:10">
      <c r="A759" s="685"/>
      <c r="B759" s="863" t="str">
        <f>'Sannitary ware'!J24</f>
        <v xml:space="preserve"> - TOP หินแกรนิตสีดำ</v>
      </c>
      <c r="C759" s="506">
        <f>'Sannitary ware'!O24</f>
        <v>5</v>
      </c>
      <c r="D759" s="874" t="s">
        <v>16</v>
      </c>
      <c r="E759" s="920">
        <f>'Sannitary ware'!P24</f>
        <v>2500</v>
      </c>
      <c r="F759" s="660">
        <f t="shared" si="65"/>
        <v>12500</v>
      </c>
      <c r="G759" s="921">
        <f>'Sannitary ware'!Q24</f>
        <v>250</v>
      </c>
      <c r="H759" s="665">
        <f t="shared" si="66"/>
        <v>1250</v>
      </c>
      <c r="I759" s="665">
        <f t="shared" si="67"/>
        <v>13750</v>
      </c>
      <c r="J759" s="660"/>
    </row>
    <row r="760" spans="1:10">
      <c r="A760" s="685"/>
      <c r="B760" s="863" t="str">
        <f>'Sannitary ware'!J25</f>
        <v xml:space="preserve"> - งานหล่อเคาน์เตอร์</v>
      </c>
      <c r="C760" s="506">
        <f>'Sannitary ware'!O25</f>
        <v>4</v>
      </c>
      <c r="D760" s="505" t="s">
        <v>14</v>
      </c>
      <c r="E760" s="920">
        <f>'Sannitary ware'!P25</f>
        <v>0</v>
      </c>
      <c r="F760" s="660">
        <f t="shared" si="65"/>
        <v>0</v>
      </c>
      <c r="G760" s="921">
        <v>160</v>
      </c>
      <c r="H760" s="665">
        <f t="shared" si="66"/>
        <v>640</v>
      </c>
      <c r="I760" s="665">
        <f t="shared" si="67"/>
        <v>640</v>
      </c>
      <c r="J760" s="660"/>
    </row>
    <row r="761" spans="1:10">
      <c r="A761" s="661"/>
      <c r="B761" s="863" t="s">
        <v>453</v>
      </c>
      <c r="C761" s="923">
        <f>ROUNDUP((((0.6*C760*0.12)*2400)/393),0)</f>
        <v>2</v>
      </c>
      <c r="D761" s="505" t="s">
        <v>42</v>
      </c>
      <c r="E761" s="489">
        <v>135</v>
      </c>
      <c r="F761" s="660">
        <f t="shared" si="65"/>
        <v>270</v>
      </c>
      <c r="G761" s="672">
        <v>0</v>
      </c>
      <c r="H761" s="660">
        <f t="shared" si="66"/>
        <v>0</v>
      </c>
      <c r="I761" s="665">
        <f t="shared" si="67"/>
        <v>270</v>
      </c>
      <c r="J761" s="660"/>
    </row>
    <row r="762" spans="1:10">
      <c r="A762" s="661"/>
      <c r="B762" s="863" t="s">
        <v>454</v>
      </c>
      <c r="C762" s="923">
        <f>ROUNDUP((((0.6*C761*0.12)*1450)/653),0)</f>
        <v>1</v>
      </c>
      <c r="D762" s="505" t="s">
        <v>43</v>
      </c>
      <c r="E762" s="489">
        <v>450</v>
      </c>
      <c r="F762" s="660">
        <f t="shared" si="65"/>
        <v>450</v>
      </c>
      <c r="G762" s="672">
        <v>0</v>
      </c>
      <c r="H762" s="660">
        <f t="shared" si="66"/>
        <v>0</v>
      </c>
      <c r="I762" s="665">
        <f t="shared" si="67"/>
        <v>450</v>
      </c>
      <c r="J762" s="660"/>
    </row>
    <row r="763" spans="1:10">
      <c r="A763" s="661"/>
      <c r="B763" s="863" t="s">
        <v>455</v>
      </c>
      <c r="C763" s="521">
        <f>C762</f>
        <v>1</v>
      </c>
      <c r="D763" s="505" t="s">
        <v>43</v>
      </c>
      <c r="E763" s="489">
        <v>460</v>
      </c>
      <c r="F763" s="660">
        <f t="shared" si="65"/>
        <v>460</v>
      </c>
      <c r="G763" s="672">
        <v>0</v>
      </c>
      <c r="H763" s="660">
        <f t="shared" si="66"/>
        <v>0</v>
      </c>
      <c r="I763" s="665">
        <f t="shared" si="67"/>
        <v>460</v>
      </c>
      <c r="J763" s="489"/>
    </row>
    <row r="764" spans="1:10">
      <c r="A764" s="661"/>
      <c r="B764" s="863" t="s">
        <v>456</v>
      </c>
      <c r="C764" s="920">
        <f>ROUNDUP((((0.6*(C760/0.15))*2)+((C760*(0.6/0.15)*2))*0.499),0)</f>
        <v>48</v>
      </c>
      <c r="D764" s="505" t="s">
        <v>19</v>
      </c>
      <c r="E764" s="489">
        <v>21.38</v>
      </c>
      <c r="F764" s="660">
        <f t="shared" si="65"/>
        <v>1026.24</v>
      </c>
      <c r="G764" s="672">
        <v>0</v>
      </c>
      <c r="H764" s="660">
        <f t="shared" si="66"/>
        <v>0</v>
      </c>
      <c r="I764" s="665">
        <f t="shared" si="67"/>
        <v>1026.24</v>
      </c>
      <c r="J764" s="489"/>
    </row>
    <row r="765" spans="1:10">
      <c r="A765" s="661"/>
      <c r="B765" s="863" t="s">
        <v>457</v>
      </c>
      <c r="C765" s="521">
        <f>(0.6*C760*0.2)</f>
        <v>0.48</v>
      </c>
      <c r="D765" s="874" t="s">
        <v>16</v>
      </c>
      <c r="E765" s="489">
        <v>400</v>
      </c>
      <c r="F765" s="660">
        <f t="shared" si="65"/>
        <v>192</v>
      </c>
      <c r="G765" s="672">
        <v>0</v>
      </c>
      <c r="H765" s="660">
        <f t="shared" si="66"/>
        <v>0</v>
      </c>
      <c r="I765" s="665">
        <f t="shared" si="67"/>
        <v>192</v>
      </c>
      <c r="J765" s="489"/>
    </row>
    <row r="766" spans="1:10">
      <c r="A766" s="661"/>
      <c r="B766" s="662" t="s">
        <v>1056</v>
      </c>
      <c r="C766" s="506">
        <v>1</v>
      </c>
      <c r="D766" s="505" t="s">
        <v>44</v>
      </c>
      <c r="E766" s="489">
        <f>SUM(F742:F765)*20%</f>
        <v>38556.447999999997</v>
      </c>
      <c r="F766" s="660">
        <f t="shared" si="65"/>
        <v>38556.447999999997</v>
      </c>
      <c r="G766" s="672">
        <v>0</v>
      </c>
      <c r="H766" s="660">
        <f t="shared" si="66"/>
        <v>0</v>
      </c>
      <c r="I766" s="665">
        <f t="shared" si="67"/>
        <v>38556.447999999997</v>
      </c>
      <c r="J766" s="489"/>
    </row>
    <row r="767" spans="1:10">
      <c r="A767" s="661" t="s">
        <v>1711</v>
      </c>
      <c r="B767" s="785" t="s">
        <v>47</v>
      </c>
      <c r="C767" s="506"/>
      <c r="D767" s="505"/>
      <c r="E767" s="489"/>
      <c r="F767" s="660"/>
      <c r="G767" s="672"/>
      <c r="H767" s="665"/>
      <c r="I767" s="665"/>
      <c r="J767" s="489"/>
    </row>
    <row r="768" spans="1:10">
      <c r="A768" s="661"/>
      <c r="B768" s="785" t="s">
        <v>48</v>
      </c>
      <c r="C768" s="506"/>
      <c r="D768" s="505"/>
      <c r="E768" s="489"/>
      <c r="F768" s="660"/>
      <c r="G768" s="672"/>
      <c r="H768" s="665"/>
      <c r="I768" s="665"/>
      <c r="J768" s="489"/>
    </row>
    <row r="769" spans="1:10" ht="48">
      <c r="A769" s="661"/>
      <c r="B769" s="924" t="str">
        <f>'Architecture '!DV190</f>
        <v xml:space="preserve"> - B.D1 ประตูบานเหล็กม้วน วงกบเหล็ก 2"x4" ทำสีตามตัวอย่าง พร้อมระบบมอเตอร์ไฟฟ้า ขนาด 5.50 x 2.50 มม.</v>
      </c>
      <c r="C769" s="506">
        <f>'Architecture '!DR190</f>
        <v>12</v>
      </c>
      <c r="D769" s="505" t="s">
        <v>15</v>
      </c>
      <c r="E769" s="489">
        <f>'Architecture '!DX190</f>
        <v>35200</v>
      </c>
      <c r="F769" s="660">
        <f>E769*C769</f>
        <v>422400</v>
      </c>
      <c r="G769" s="672">
        <v>0</v>
      </c>
      <c r="H769" s="660">
        <f>G769*C769</f>
        <v>0</v>
      </c>
      <c r="I769" s="665">
        <f>H769+F769</f>
        <v>422400</v>
      </c>
      <c r="J769" s="489"/>
    </row>
    <row r="770" spans="1:10" ht="48">
      <c r="A770" s="661"/>
      <c r="B770" s="924" t="str">
        <f>'Architecture '!DV191</f>
        <v xml:space="preserve"> - B.D2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2.00 x 2.05 มม.</v>
      </c>
      <c r="C770" s="867">
        <f>'Architecture '!DR191</f>
        <v>2</v>
      </c>
      <c r="D770" s="744" t="s">
        <v>15</v>
      </c>
      <c r="E770" s="527">
        <f>'Architecture '!DX191</f>
        <v>20500</v>
      </c>
      <c r="F770" s="668">
        <f>E770*C770</f>
        <v>41000</v>
      </c>
      <c r="G770" s="669">
        <v>1500</v>
      </c>
      <c r="H770" s="668">
        <f>G770*C770</f>
        <v>3000</v>
      </c>
      <c r="I770" s="670">
        <f>H770+F770</f>
        <v>44000</v>
      </c>
      <c r="J770" s="489"/>
    </row>
    <row r="771" spans="1:10" ht="48">
      <c r="A771" s="661"/>
      <c r="B771" s="924" t="str">
        <f>'Architecture '!DV192</f>
        <v xml:space="preserve"> - B.D3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771" s="867">
        <f>'Architecture '!DR192</f>
        <v>2</v>
      </c>
      <c r="D771" s="744" t="s">
        <v>15</v>
      </c>
      <c r="E771" s="527">
        <f>'Architecture '!DX192</f>
        <v>15580</v>
      </c>
      <c r="F771" s="668">
        <f>E771*C771</f>
        <v>31160</v>
      </c>
      <c r="G771" s="669">
        <v>1200</v>
      </c>
      <c r="H771" s="668">
        <f>G771*C771</f>
        <v>2400</v>
      </c>
      <c r="I771" s="670">
        <f>H771+F771</f>
        <v>33560</v>
      </c>
      <c r="J771" s="489"/>
    </row>
    <row r="772" spans="1:10">
      <c r="A772" s="661"/>
      <c r="B772" s="785" t="s">
        <v>49</v>
      </c>
      <c r="C772" s="867"/>
      <c r="D772" s="744"/>
      <c r="E772" s="527"/>
      <c r="F772" s="668"/>
      <c r="G772" s="669"/>
      <c r="H772" s="670"/>
      <c r="I772" s="670"/>
      <c r="J772" s="489"/>
    </row>
    <row r="773" spans="1:10" ht="48">
      <c r="A773" s="661"/>
      <c r="B773" s="924" t="str">
        <f>'Architecture '!DV195</f>
        <v xml:space="preserve"> - B.W1 หน้าต่างบานเปิดพร้อมช่องแสงติดตาย วงกบ 2"x4" อบสีดำ ลูกฟัก กระจกลามิเนตเขียวใสตัดแสง 6 มม. ขนาด 5.10 x 1.65 มม.</v>
      </c>
      <c r="C773" s="867">
        <f>'Architecture '!DR195</f>
        <v>9</v>
      </c>
      <c r="D773" s="744" t="s">
        <v>15</v>
      </c>
      <c r="E773" s="527">
        <f>'Architecture '!DX195</f>
        <v>25245</v>
      </c>
      <c r="F773" s="668">
        <f>E773*C773</f>
        <v>227205</v>
      </c>
      <c r="G773" s="669">
        <v>0</v>
      </c>
      <c r="H773" s="668">
        <f>G773*C773</f>
        <v>0</v>
      </c>
      <c r="I773" s="670">
        <f>H773+F773</f>
        <v>227205</v>
      </c>
      <c r="J773" s="489"/>
    </row>
    <row r="774" spans="1:10" ht="48">
      <c r="A774" s="661"/>
      <c r="B774" s="924" t="str">
        <f>'Architecture '!DV196</f>
        <v xml:space="preserve"> - B.W2 หน้าต่างบานกระทุ้งพร้อมช่องแสงติดตาย วงกบ 2"x4" อบสีดำ ลูกฟัก กระจกลามิเนตเขียวใสตัดแสง 6 มม. ขนาด 5.10 x 1.65 มม.</v>
      </c>
      <c r="C774" s="867">
        <f>'Architecture '!DR196</f>
        <v>2</v>
      </c>
      <c r="D774" s="744" t="s">
        <v>15</v>
      </c>
      <c r="E774" s="527">
        <f>'Architecture '!DX196</f>
        <v>25245</v>
      </c>
      <c r="F774" s="668">
        <f>E774*C774</f>
        <v>50490</v>
      </c>
      <c r="G774" s="669">
        <v>0</v>
      </c>
      <c r="H774" s="668">
        <f>G774*C774</f>
        <v>0</v>
      </c>
      <c r="I774" s="670">
        <f>H774+F774</f>
        <v>50490</v>
      </c>
      <c r="J774" s="489"/>
    </row>
    <row r="775" spans="1:10" ht="48">
      <c r="A775" s="661"/>
      <c r="B775" s="924" t="str">
        <f>'Architecture '!DV197</f>
        <v xml:space="preserve"> - B.W3 ช่องแสงติดตายบานสลับ วงกบ 2"x4" อบสีดำ ลูกฟัก กระจกลามิเนตเขียวใสตัดแสง 6 มม. ขนาด 2.30 x 0.60 มม.</v>
      </c>
      <c r="C775" s="867">
        <f>'Architecture '!DR197</f>
        <v>2</v>
      </c>
      <c r="D775" s="744" t="s">
        <v>15</v>
      </c>
      <c r="E775" s="527">
        <f>'Architecture '!DX197</f>
        <v>6900</v>
      </c>
      <c r="F775" s="668">
        <f>E775*C775</f>
        <v>13800</v>
      </c>
      <c r="G775" s="669">
        <v>0</v>
      </c>
      <c r="H775" s="668">
        <f>G775*C775</f>
        <v>0</v>
      </c>
      <c r="I775" s="670">
        <f>H775+F775</f>
        <v>13800</v>
      </c>
      <c r="J775" s="489"/>
    </row>
    <row r="776" spans="1:10">
      <c r="A776" s="661"/>
      <c r="B776" s="662" t="s">
        <v>1056</v>
      </c>
      <c r="C776" s="498">
        <v>1</v>
      </c>
      <c r="D776" s="499" t="s">
        <v>44</v>
      </c>
      <c r="E776" s="500">
        <f>SUM(F769:F775)*20%</f>
        <v>157211</v>
      </c>
      <c r="F776" s="660">
        <f>E776*C776</f>
        <v>157211</v>
      </c>
      <c r="G776" s="672">
        <v>0</v>
      </c>
      <c r="H776" s="660">
        <f>G776*C776</f>
        <v>0</v>
      </c>
      <c r="I776" s="665">
        <f>H776+F776</f>
        <v>157211</v>
      </c>
      <c r="J776" s="660"/>
    </row>
    <row r="777" spans="1:10">
      <c r="A777" s="661">
        <v>3.7</v>
      </c>
      <c r="B777" s="525" t="s">
        <v>1199</v>
      </c>
      <c r="C777" s="506"/>
      <c r="D777" s="505"/>
      <c r="E777" s="489"/>
      <c r="F777" s="660"/>
      <c r="G777" s="672"/>
      <c r="H777" s="665"/>
      <c r="I777" s="665"/>
      <c r="J777" s="660"/>
    </row>
    <row r="778" spans="1:10">
      <c r="A778" s="661" t="s">
        <v>1095</v>
      </c>
      <c r="B778" s="919" t="s">
        <v>29</v>
      </c>
      <c r="C778" s="506"/>
      <c r="D778" s="505"/>
      <c r="E778" s="489"/>
      <c r="F778" s="660"/>
      <c r="G778" s="672"/>
      <c r="H778" s="665"/>
      <c r="I778" s="665"/>
      <c r="J778" s="660"/>
    </row>
    <row r="779" spans="1:10">
      <c r="A779" s="661"/>
      <c r="B779" s="863" t="s">
        <v>1425</v>
      </c>
      <c r="C779" s="506">
        <f>'Architecture '!H224</f>
        <v>992</v>
      </c>
      <c r="D779" s="505" t="s">
        <v>16</v>
      </c>
      <c r="E779" s="489">
        <v>101</v>
      </c>
      <c r="F779" s="660">
        <f>E779*C779</f>
        <v>100192</v>
      </c>
      <c r="G779" s="672">
        <v>82</v>
      </c>
      <c r="H779" s="665">
        <f>G779*C779</f>
        <v>81344</v>
      </c>
      <c r="I779" s="665">
        <f>H779+F779</f>
        <v>181536</v>
      </c>
      <c r="J779" s="660"/>
    </row>
    <row r="780" spans="1:10">
      <c r="A780" s="661" t="s">
        <v>1096</v>
      </c>
      <c r="B780" s="919" t="s">
        <v>31</v>
      </c>
      <c r="C780" s="506"/>
      <c r="D780" s="874"/>
      <c r="E780" s="489"/>
      <c r="F780" s="660"/>
      <c r="G780" s="672"/>
      <c r="H780" s="665"/>
      <c r="I780" s="665"/>
      <c r="J780" s="660"/>
    </row>
    <row r="781" spans="1:10">
      <c r="A781" s="661"/>
      <c r="B781" s="919" t="s">
        <v>32</v>
      </c>
      <c r="C781" s="506"/>
      <c r="D781" s="874"/>
      <c r="E781" s="489"/>
      <c r="F781" s="660"/>
      <c r="G781" s="672"/>
      <c r="H781" s="665"/>
      <c r="I781" s="665"/>
      <c r="J781" s="660"/>
    </row>
    <row r="782" spans="1:10">
      <c r="A782" s="661"/>
      <c r="B782" s="863" t="s">
        <v>433</v>
      </c>
      <c r="C782" s="506">
        <f>'Architecture '!U224</f>
        <v>53</v>
      </c>
      <c r="D782" s="874" t="s">
        <v>16</v>
      </c>
      <c r="E782" s="489">
        <v>285</v>
      </c>
      <c r="F782" s="660">
        <f>E782*C782</f>
        <v>15105</v>
      </c>
      <c r="G782" s="672">
        <v>89</v>
      </c>
      <c r="H782" s="665">
        <f>G782*C782</f>
        <v>4717</v>
      </c>
      <c r="I782" s="665">
        <f>H782+F782</f>
        <v>19822</v>
      </c>
      <c r="J782" s="660"/>
    </row>
    <row r="783" spans="1:10">
      <c r="A783" s="661"/>
      <c r="B783" s="863" t="s">
        <v>1661</v>
      </c>
      <c r="C783" s="506">
        <f>'Architecture '!AA224</f>
        <v>922</v>
      </c>
      <c r="D783" s="874" t="s">
        <v>16</v>
      </c>
      <c r="E783" s="489">
        <v>665</v>
      </c>
      <c r="F783" s="660">
        <f>E783*C783</f>
        <v>613130</v>
      </c>
      <c r="G783" s="672">
        <v>95</v>
      </c>
      <c r="H783" s="665">
        <f>G783*C783</f>
        <v>87590</v>
      </c>
      <c r="I783" s="665">
        <f>H783+F783</f>
        <v>700720</v>
      </c>
      <c r="J783" s="660"/>
    </row>
    <row r="784" spans="1:10">
      <c r="A784" s="661"/>
      <c r="B784" s="863" t="s">
        <v>33</v>
      </c>
      <c r="C784" s="506">
        <f>'Architecture '!AQ224+'Architecture '!AR224+'Architecture '!AS224+'Architecture '!AT224</f>
        <v>511</v>
      </c>
      <c r="D784" s="874" t="s">
        <v>14</v>
      </c>
      <c r="E784" s="489">
        <v>70</v>
      </c>
      <c r="F784" s="660">
        <f>E784*C784</f>
        <v>35770</v>
      </c>
      <c r="G784" s="672">
        <v>44</v>
      </c>
      <c r="H784" s="665">
        <f>G784*C784</f>
        <v>22484</v>
      </c>
      <c r="I784" s="665">
        <f>H784+F784</f>
        <v>58254</v>
      </c>
      <c r="J784" s="660"/>
    </row>
    <row r="785" spans="1:10">
      <c r="A785" s="661"/>
      <c r="B785" s="785" t="s">
        <v>34</v>
      </c>
      <c r="C785" s="506"/>
      <c r="D785" s="505"/>
      <c r="E785" s="489"/>
      <c r="F785" s="660"/>
      <c r="G785" s="672"/>
      <c r="H785" s="665"/>
      <c r="I785" s="665"/>
      <c r="J785" s="660"/>
    </row>
    <row r="786" spans="1:10">
      <c r="A786" s="661"/>
      <c r="B786" s="927" t="s">
        <v>1415</v>
      </c>
      <c r="C786" s="506">
        <f>'Architecture '!AC224</f>
        <v>53</v>
      </c>
      <c r="D786" s="874" t="s">
        <v>16</v>
      </c>
      <c r="E786" s="489">
        <v>75</v>
      </c>
      <c r="F786" s="660">
        <f>E786*C786</f>
        <v>3975</v>
      </c>
      <c r="G786" s="672">
        <v>95</v>
      </c>
      <c r="H786" s="665">
        <f>G786*C786</f>
        <v>5035</v>
      </c>
      <c r="I786" s="665">
        <f>H786+F786</f>
        <v>9010</v>
      </c>
      <c r="J786" s="660"/>
    </row>
    <row r="787" spans="1:10">
      <c r="A787" s="661"/>
      <c r="B787" s="863" t="s">
        <v>1390</v>
      </c>
      <c r="C787" s="506">
        <f>'Architecture '!AD224</f>
        <v>53</v>
      </c>
      <c r="D787" s="874" t="s">
        <v>16</v>
      </c>
      <c r="E787" s="489">
        <v>75</v>
      </c>
      <c r="F787" s="660">
        <f>E787*C787</f>
        <v>3975</v>
      </c>
      <c r="G787" s="672">
        <v>82</v>
      </c>
      <c r="H787" s="665">
        <f>G787*C787</f>
        <v>4346</v>
      </c>
      <c r="I787" s="665">
        <f>H787+F787</f>
        <v>8321</v>
      </c>
      <c r="J787" s="660"/>
    </row>
    <row r="788" spans="1:10">
      <c r="A788" s="661" t="s">
        <v>1097</v>
      </c>
      <c r="B788" s="785" t="s">
        <v>35</v>
      </c>
      <c r="C788" s="506"/>
      <c r="D788" s="505"/>
      <c r="E788" s="489"/>
      <c r="F788" s="660"/>
      <c r="G788" s="672"/>
      <c r="H788" s="665"/>
      <c r="I788" s="665"/>
      <c r="J788" s="660"/>
    </row>
    <row r="789" spans="1:10">
      <c r="A789" s="661"/>
      <c r="B789" s="862" t="s">
        <v>1414</v>
      </c>
      <c r="C789" s="506">
        <f>'Architecture '!BA224</f>
        <v>53</v>
      </c>
      <c r="D789" s="505" t="s">
        <v>16</v>
      </c>
      <c r="E789" s="489">
        <v>200</v>
      </c>
      <c r="F789" s="660">
        <f>E789*C789</f>
        <v>10600</v>
      </c>
      <c r="G789" s="672">
        <v>50</v>
      </c>
      <c r="H789" s="665">
        <f>G789*C789</f>
        <v>2650</v>
      </c>
      <c r="I789" s="665">
        <f>H789+F789</f>
        <v>13250</v>
      </c>
      <c r="J789" s="660"/>
    </row>
    <row r="790" spans="1:10">
      <c r="A790" s="661"/>
      <c r="B790" s="862" t="s">
        <v>1389</v>
      </c>
      <c r="C790" s="506">
        <f>'Architecture '!AZ224</f>
        <v>53</v>
      </c>
      <c r="D790" s="505" t="s">
        <v>16</v>
      </c>
      <c r="E790" s="489">
        <v>180</v>
      </c>
      <c r="F790" s="660">
        <f>E790*C790</f>
        <v>9540</v>
      </c>
      <c r="G790" s="672">
        <v>50</v>
      </c>
      <c r="H790" s="665">
        <f>G790*C790</f>
        <v>2650</v>
      </c>
      <c r="I790" s="665">
        <f>H790+F790</f>
        <v>12190</v>
      </c>
      <c r="J790" s="660"/>
    </row>
    <row r="791" spans="1:10">
      <c r="A791" s="661" t="s">
        <v>1098</v>
      </c>
      <c r="B791" s="785" t="s">
        <v>49</v>
      </c>
      <c r="C791" s="506"/>
      <c r="D791" s="505"/>
      <c r="E791" s="489"/>
      <c r="F791" s="660"/>
      <c r="G791" s="672"/>
      <c r="H791" s="665"/>
      <c r="I791" s="665"/>
      <c r="J791" s="660"/>
    </row>
    <row r="792" spans="1:10">
      <c r="A792" s="661"/>
      <c r="B792" s="924" t="str">
        <f>'Architecture '!DV198</f>
        <v xml:space="preserve"> - B.W4 ช่องแสงบานเกล็ด วงกบ 2"x4" อบสีขาวควันบุหรี่ ขนาด 5.60 x 1.20 มม.</v>
      </c>
      <c r="C792" s="867">
        <f>'Architecture '!DS198</f>
        <v>26</v>
      </c>
      <c r="D792" s="744" t="s">
        <v>15</v>
      </c>
      <c r="E792" s="527">
        <f>'Architecture '!DX198</f>
        <v>31680</v>
      </c>
      <c r="F792" s="668">
        <f>E792*C792</f>
        <v>823680</v>
      </c>
      <c r="G792" s="669">
        <v>0</v>
      </c>
      <c r="H792" s="668">
        <f>G792*C792</f>
        <v>0</v>
      </c>
      <c r="I792" s="670">
        <f>H792+F792</f>
        <v>823680</v>
      </c>
      <c r="J792" s="660"/>
    </row>
    <row r="793" spans="1:10">
      <c r="A793" s="661"/>
      <c r="B793" s="924" t="str">
        <f>'Architecture '!DV199</f>
        <v xml:space="preserve"> - B.W5 ช่องแสงติดตาย วงกบ 2"x4" อบสีดำ ลูกฟัก กระจกใส 6 มม. ขนาด 5.60 x 0.80 มม.</v>
      </c>
      <c r="C793" s="867">
        <f>'Architecture '!DS199</f>
        <v>26</v>
      </c>
      <c r="D793" s="744" t="s">
        <v>15</v>
      </c>
      <c r="E793" s="527">
        <f>'Architecture '!DX199</f>
        <v>16800</v>
      </c>
      <c r="F793" s="668">
        <f>E793*C793</f>
        <v>436800</v>
      </c>
      <c r="G793" s="669">
        <v>0</v>
      </c>
      <c r="H793" s="668">
        <f>G793*C793</f>
        <v>0</v>
      </c>
      <c r="I793" s="670">
        <f>H793+F793</f>
        <v>436800</v>
      </c>
      <c r="J793" s="660"/>
    </row>
    <row r="794" spans="1:10">
      <c r="A794" s="661"/>
      <c r="B794" s="662" t="s">
        <v>1056</v>
      </c>
      <c r="C794" s="498">
        <v>1</v>
      </c>
      <c r="D794" s="499" t="s">
        <v>44</v>
      </c>
      <c r="E794" s="500">
        <f>SUM(F792:F793)*20%</f>
        <v>252096</v>
      </c>
      <c r="F794" s="660">
        <f>E794*C794</f>
        <v>252096</v>
      </c>
      <c r="G794" s="672">
        <v>0</v>
      </c>
      <c r="H794" s="660">
        <f>G794*C794</f>
        <v>0</v>
      </c>
      <c r="I794" s="665">
        <f>H794+F794</f>
        <v>252096</v>
      </c>
      <c r="J794" s="660"/>
    </row>
    <row r="795" spans="1:10">
      <c r="A795" s="661" t="s">
        <v>1099</v>
      </c>
      <c r="B795" s="525" t="s">
        <v>647</v>
      </c>
      <c r="C795" s="498"/>
      <c r="D795" s="499"/>
      <c r="E795" s="500"/>
      <c r="F795" s="660"/>
      <c r="G795" s="672"/>
      <c r="H795" s="665"/>
      <c r="I795" s="665"/>
      <c r="J795" s="660"/>
    </row>
    <row r="796" spans="1:10">
      <c r="A796" s="661" t="s">
        <v>1712</v>
      </c>
      <c r="B796" s="525" t="s">
        <v>56</v>
      </c>
      <c r="C796" s="506"/>
      <c r="D796" s="505"/>
      <c r="E796" s="489"/>
      <c r="F796" s="660"/>
      <c r="G796" s="672"/>
      <c r="H796" s="665"/>
      <c r="I796" s="665"/>
      <c r="J796" s="660"/>
    </row>
    <row r="797" spans="1:10">
      <c r="A797" s="661"/>
      <c r="B797" s="927" t="s">
        <v>1461</v>
      </c>
      <c r="C797" s="866">
        <f>'Architecture '!DF224</f>
        <v>676</v>
      </c>
      <c r="D797" s="789" t="s">
        <v>16</v>
      </c>
      <c r="E797" s="530">
        <v>650</v>
      </c>
      <c r="F797" s="530">
        <f t="shared" ref="F797:F804" si="68">E797*C797</f>
        <v>439400</v>
      </c>
      <c r="G797" s="672">
        <v>90</v>
      </c>
      <c r="H797" s="531">
        <f t="shared" ref="H797:H804" si="69">G797*C797</f>
        <v>60840</v>
      </c>
      <c r="I797" s="531">
        <f t="shared" ref="I797:I804" si="70">H797+F797</f>
        <v>500240</v>
      </c>
      <c r="J797" s="660"/>
    </row>
    <row r="798" spans="1:10">
      <c r="A798" s="661"/>
      <c r="B798" s="930" t="s">
        <v>1369</v>
      </c>
      <c r="C798" s="867">
        <f>'Architecture '!DL224</f>
        <v>676</v>
      </c>
      <c r="D798" s="929" t="s">
        <v>16</v>
      </c>
      <c r="E798" s="527">
        <v>280</v>
      </c>
      <c r="F798" s="527">
        <f t="shared" si="68"/>
        <v>189280</v>
      </c>
      <c r="G798" s="669">
        <v>25</v>
      </c>
      <c r="H798" s="528">
        <f t="shared" si="69"/>
        <v>16900</v>
      </c>
      <c r="I798" s="528">
        <f t="shared" si="70"/>
        <v>206180</v>
      </c>
      <c r="J798" s="660"/>
    </row>
    <row r="799" spans="1:10">
      <c r="A799" s="661"/>
      <c r="B799" s="862" t="s">
        <v>487</v>
      </c>
      <c r="C799" s="866"/>
      <c r="D799" s="518"/>
      <c r="E799" s="489"/>
      <c r="F799" s="530"/>
      <c r="G799" s="931"/>
      <c r="H799" s="528"/>
      <c r="I799" s="528"/>
      <c r="J799" s="660"/>
    </row>
    <row r="800" spans="1:10">
      <c r="A800" s="661"/>
      <c r="B800" s="862" t="s">
        <v>488</v>
      </c>
      <c r="C800" s="866">
        <f>'Architecture '!DG224</f>
        <v>80</v>
      </c>
      <c r="D800" s="518" t="s">
        <v>57</v>
      </c>
      <c r="E800" s="489">
        <v>380</v>
      </c>
      <c r="F800" s="530">
        <f t="shared" si="68"/>
        <v>30400</v>
      </c>
      <c r="G800" s="672">
        <f>E800*0.2</f>
        <v>76</v>
      </c>
      <c r="H800" s="531">
        <f t="shared" si="69"/>
        <v>6080</v>
      </c>
      <c r="I800" s="531">
        <f t="shared" si="70"/>
        <v>36480</v>
      </c>
      <c r="J800" s="660"/>
    </row>
    <row r="801" spans="1:14">
      <c r="A801" s="661"/>
      <c r="B801" s="862" t="s">
        <v>489</v>
      </c>
      <c r="C801" s="506">
        <f>'Architecture '!DH224</f>
        <v>160</v>
      </c>
      <c r="D801" s="518" t="s">
        <v>57</v>
      </c>
      <c r="E801" s="489">
        <v>315</v>
      </c>
      <c r="F801" s="530">
        <f t="shared" si="68"/>
        <v>50400</v>
      </c>
      <c r="G801" s="672">
        <f>E801*0.2</f>
        <v>63</v>
      </c>
      <c r="H801" s="531">
        <f t="shared" si="69"/>
        <v>10080</v>
      </c>
      <c r="I801" s="531">
        <f t="shared" si="70"/>
        <v>60480</v>
      </c>
      <c r="J801" s="660"/>
    </row>
    <row r="802" spans="1:14">
      <c r="A802" s="661"/>
      <c r="B802" s="862" t="s">
        <v>1430</v>
      </c>
      <c r="C802" s="506">
        <f>'Architecture '!DI224</f>
        <v>301</v>
      </c>
      <c r="D802" s="526" t="s">
        <v>16</v>
      </c>
      <c r="E802" s="489">
        <v>650</v>
      </c>
      <c r="F802" s="530">
        <f t="shared" si="68"/>
        <v>195650</v>
      </c>
      <c r="G802" s="672">
        <v>90</v>
      </c>
      <c r="H802" s="531">
        <f t="shared" si="69"/>
        <v>27090</v>
      </c>
      <c r="I802" s="531">
        <f t="shared" si="70"/>
        <v>222740</v>
      </c>
      <c r="J802" s="660"/>
    </row>
    <row r="803" spans="1:14">
      <c r="A803" s="661"/>
      <c r="B803" s="862" t="s">
        <v>490</v>
      </c>
      <c r="C803" s="506">
        <f>'Architecture '!DJ224</f>
        <v>40</v>
      </c>
      <c r="D803" s="518" t="s">
        <v>57</v>
      </c>
      <c r="E803" s="489">
        <v>315</v>
      </c>
      <c r="F803" s="530">
        <f t="shared" si="68"/>
        <v>12600</v>
      </c>
      <c r="G803" s="672">
        <f>E803*0.2</f>
        <v>63</v>
      </c>
      <c r="H803" s="531">
        <f t="shared" si="69"/>
        <v>2520</v>
      </c>
      <c r="I803" s="531">
        <f t="shared" si="70"/>
        <v>15120</v>
      </c>
      <c r="J803" s="660"/>
    </row>
    <row r="804" spans="1:14">
      <c r="A804" s="661"/>
      <c r="B804" s="862" t="s">
        <v>491</v>
      </c>
      <c r="C804" s="506">
        <f>'Architecture '!DK224</f>
        <v>160</v>
      </c>
      <c r="D804" s="518" t="s">
        <v>57</v>
      </c>
      <c r="E804" s="489">
        <v>315</v>
      </c>
      <c r="F804" s="530">
        <f t="shared" si="68"/>
        <v>50400</v>
      </c>
      <c r="G804" s="672">
        <f>E804*0.2</f>
        <v>63</v>
      </c>
      <c r="H804" s="531">
        <f t="shared" si="69"/>
        <v>10080</v>
      </c>
      <c r="I804" s="531">
        <f t="shared" si="70"/>
        <v>60480</v>
      </c>
      <c r="J804" s="660"/>
    </row>
    <row r="805" spans="1:14">
      <c r="A805" s="661" t="s">
        <v>1713</v>
      </c>
      <c r="B805" s="525" t="s">
        <v>382</v>
      </c>
      <c r="C805" s="506"/>
      <c r="D805" s="505"/>
      <c r="E805" s="489"/>
      <c r="F805" s="660"/>
      <c r="G805" s="672"/>
      <c r="H805" s="665"/>
      <c r="I805" s="665"/>
      <c r="J805" s="660"/>
    </row>
    <row r="806" spans="1:14">
      <c r="A806" s="661"/>
      <c r="B806" s="927" t="s">
        <v>1835</v>
      </c>
      <c r="C806" s="867">
        <f>'Architecture '!DN224</f>
        <v>269</v>
      </c>
      <c r="D806" s="526" t="s">
        <v>16</v>
      </c>
      <c r="E806" s="527">
        <v>6000</v>
      </c>
      <c r="F806" s="527">
        <f>E806*C806</f>
        <v>1614000</v>
      </c>
      <c r="G806" s="672">
        <v>1200</v>
      </c>
      <c r="H806" s="528">
        <f>G806*C806</f>
        <v>322800</v>
      </c>
      <c r="I806" s="528">
        <f>H806+F806</f>
        <v>1936800</v>
      </c>
      <c r="J806" s="660"/>
      <c r="L806" s="778"/>
      <c r="N806" s="652"/>
    </row>
    <row r="807" spans="1:14">
      <c r="A807" s="661"/>
      <c r="B807" s="662" t="s">
        <v>450</v>
      </c>
      <c r="C807" s="498">
        <v>1</v>
      </c>
      <c r="D807" s="499" t="s">
        <v>451</v>
      </c>
      <c r="E807" s="500">
        <f>SUM(F806)*20%</f>
        <v>322800</v>
      </c>
      <c r="F807" s="663">
        <f>E807*C807</f>
        <v>322800</v>
      </c>
      <c r="G807" s="672">
        <v>0</v>
      </c>
      <c r="H807" s="660">
        <f>G807*C807</f>
        <v>0</v>
      </c>
      <c r="I807" s="528">
        <f>H807+F807</f>
        <v>322800</v>
      </c>
      <c r="J807" s="660"/>
    </row>
    <row r="808" spans="1:14">
      <c r="A808" s="661"/>
      <c r="B808" s="662"/>
      <c r="C808" s="498"/>
      <c r="D808" s="499"/>
      <c r="E808" s="500"/>
      <c r="F808" s="663"/>
      <c r="G808" s="672"/>
      <c r="H808" s="665"/>
      <c r="I808" s="665"/>
      <c r="J808" s="660"/>
    </row>
    <row r="809" spans="1:14">
      <c r="A809" s="838"/>
      <c r="B809" s="833" t="s">
        <v>1288</v>
      </c>
      <c r="C809" s="840"/>
      <c r="D809" s="841"/>
      <c r="E809" s="837"/>
      <c r="F809" s="842">
        <f>SUM(F719:F808)</f>
        <v>7304445.6880000001</v>
      </c>
      <c r="G809" s="842"/>
      <c r="H809" s="842">
        <f>SUM(H719:H808)</f>
        <v>1220954</v>
      </c>
      <c r="I809" s="842">
        <f>SUM(I719:I808)</f>
        <v>8525399.688000001</v>
      </c>
      <c r="J809" s="837"/>
    </row>
    <row r="810" spans="1:14">
      <c r="A810" s="661"/>
      <c r="B810" s="662"/>
      <c r="C810" s="498"/>
      <c r="D810" s="499"/>
      <c r="E810" s="500"/>
      <c r="F810" s="663"/>
      <c r="G810" s="664"/>
      <c r="H810" s="665"/>
      <c r="I810" s="665"/>
      <c r="J810" s="660"/>
    </row>
    <row r="811" spans="1:14">
      <c r="A811" s="661"/>
      <c r="B811" s="785" t="s">
        <v>1190</v>
      </c>
      <c r="C811" s="506"/>
      <c r="D811" s="505"/>
      <c r="E811" s="489"/>
      <c r="F811" s="660"/>
      <c r="G811" s="672"/>
      <c r="H811" s="665"/>
      <c r="I811" s="665"/>
      <c r="J811" s="660"/>
    </row>
    <row r="812" spans="1:14">
      <c r="A812" s="504">
        <v>3.8</v>
      </c>
      <c r="B812" s="493" t="s">
        <v>1194</v>
      </c>
      <c r="C812" s="506"/>
      <c r="D812" s="505"/>
      <c r="E812" s="489"/>
      <c r="F812" s="489"/>
      <c r="G812" s="507"/>
      <c r="H812" s="490"/>
      <c r="I812" s="490"/>
      <c r="J812" s="489"/>
    </row>
    <row r="813" spans="1:14">
      <c r="A813" s="661" t="s">
        <v>1100</v>
      </c>
      <c r="B813" s="919" t="s">
        <v>29</v>
      </c>
      <c r="C813" s="506"/>
      <c r="D813" s="505"/>
      <c r="E813" s="489"/>
      <c r="F813" s="660"/>
      <c r="G813" s="672"/>
      <c r="H813" s="665"/>
      <c r="I813" s="665"/>
      <c r="J813" s="489"/>
    </row>
    <row r="814" spans="1:14">
      <c r="A814" s="661"/>
      <c r="B814" s="863" t="s">
        <v>1326</v>
      </c>
      <c r="C814" s="506">
        <f>'Architecture '!H255</f>
        <v>226</v>
      </c>
      <c r="D814" s="505" t="s">
        <v>16</v>
      </c>
      <c r="E814" s="489">
        <v>101</v>
      </c>
      <c r="F814" s="683">
        <f>E814*C814</f>
        <v>22826</v>
      </c>
      <c r="G814" s="672">
        <v>82</v>
      </c>
      <c r="H814" s="684">
        <f>G814*C814</f>
        <v>18532</v>
      </c>
      <c r="I814" s="684">
        <f>H814+F814</f>
        <v>41358</v>
      </c>
      <c r="J814" s="489"/>
    </row>
    <row r="815" spans="1:14">
      <c r="A815" s="661" t="s">
        <v>1101</v>
      </c>
      <c r="B815" s="919" t="s">
        <v>31</v>
      </c>
      <c r="C815" s="506"/>
      <c r="D815" s="874"/>
      <c r="E815" s="489"/>
      <c r="F815" s="660"/>
      <c r="G815" s="672"/>
      <c r="H815" s="665"/>
      <c r="I815" s="665"/>
      <c r="J815" s="489"/>
    </row>
    <row r="816" spans="1:14">
      <c r="A816" s="661"/>
      <c r="B816" s="919" t="s">
        <v>32</v>
      </c>
      <c r="C816" s="506"/>
      <c r="D816" s="874"/>
      <c r="E816" s="489"/>
      <c r="F816" s="660"/>
      <c r="G816" s="672"/>
      <c r="H816" s="665"/>
      <c r="I816" s="665"/>
      <c r="J816" s="489"/>
    </row>
    <row r="817" spans="1:10">
      <c r="A817" s="661"/>
      <c r="B817" s="863" t="s">
        <v>1428</v>
      </c>
      <c r="C817" s="506">
        <f>'Architecture '!V255</f>
        <v>188</v>
      </c>
      <c r="D817" s="874" t="s">
        <v>16</v>
      </c>
      <c r="E817" s="489">
        <v>584</v>
      </c>
      <c r="F817" s="660">
        <f>E817*C817</f>
        <v>109792</v>
      </c>
      <c r="G817" s="672">
        <v>167</v>
      </c>
      <c r="H817" s="665">
        <f>G817*C817</f>
        <v>31396</v>
      </c>
      <c r="I817" s="665">
        <f>H817+F817</f>
        <v>141188</v>
      </c>
      <c r="J817" s="489"/>
    </row>
    <row r="818" spans="1:10">
      <c r="A818" s="661"/>
      <c r="B818" s="863" t="s">
        <v>33</v>
      </c>
      <c r="C818" s="498">
        <f>'Architecture '!AR255+'Architecture '!AQ255+'Architecture '!AS255+'Architecture '!AT255</f>
        <v>60</v>
      </c>
      <c r="D818" s="874" t="s">
        <v>14</v>
      </c>
      <c r="E818" s="489">
        <v>70</v>
      </c>
      <c r="F818" s="660">
        <f>E818*C818</f>
        <v>4200</v>
      </c>
      <c r="G818" s="672">
        <v>44</v>
      </c>
      <c r="H818" s="665">
        <f>G818*C818</f>
        <v>2640</v>
      </c>
      <c r="I818" s="665">
        <f>H818+F818</f>
        <v>6840</v>
      </c>
      <c r="J818" s="489"/>
    </row>
    <row r="819" spans="1:10">
      <c r="A819" s="661"/>
      <c r="B819" s="785" t="s">
        <v>34</v>
      </c>
      <c r="C819" s="498"/>
      <c r="D819" s="505"/>
      <c r="E819" s="489"/>
      <c r="F819" s="660"/>
      <c r="G819" s="672"/>
      <c r="H819" s="665"/>
      <c r="I819" s="665"/>
      <c r="J819" s="489"/>
    </row>
    <row r="820" spans="1:10">
      <c r="A820" s="661"/>
      <c r="B820" s="927" t="s">
        <v>1415</v>
      </c>
      <c r="C820" s="498">
        <f>'Architecture '!AC255</f>
        <v>174</v>
      </c>
      <c r="D820" s="874" t="s">
        <v>16</v>
      </c>
      <c r="E820" s="489">
        <v>75</v>
      </c>
      <c r="F820" s="660">
        <f>E820*C820</f>
        <v>13050</v>
      </c>
      <c r="G820" s="672">
        <v>95</v>
      </c>
      <c r="H820" s="665">
        <f>G820*C820</f>
        <v>16530</v>
      </c>
      <c r="I820" s="665">
        <f>H820+F820</f>
        <v>29580</v>
      </c>
      <c r="J820" s="489"/>
    </row>
    <row r="821" spans="1:10">
      <c r="A821" s="661"/>
      <c r="B821" s="863" t="s">
        <v>1390</v>
      </c>
      <c r="C821" s="498">
        <f>'Architecture '!AD255</f>
        <v>188</v>
      </c>
      <c r="D821" s="874" t="s">
        <v>16</v>
      </c>
      <c r="E821" s="489">
        <v>75</v>
      </c>
      <c r="F821" s="660">
        <f>E821*C821</f>
        <v>14100</v>
      </c>
      <c r="G821" s="672">
        <v>82</v>
      </c>
      <c r="H821" s="665">
        <f>G821*C821</f>
        <v>15416</v>
      </c>
      <c r="I821" s="665">
        <f>H821+F821</f>
        <v>29516</v>
      </c>
      <c r="J821" s="489"/>
    </row>
    <row r="822" spans="1:10">
      <c r="A822" s="661"/>
      <c r="B822" s="863" t="s">
        <v>1427</v>
      </c>
      <c r="C822" s="506">
        <f>'Architecture '!AE255</f>
        <v>302</v>
      </c>
      <c r="D822" s="874" t="s">
        <v>16</v>
      </c>
      <c r="E822" s="489">
        <v>80</v>
      </c>
      <c r="F822" s="660">
        <f>E822*C822</f>
        <v>24160</v>
      </c>
      <c r="G822" s="672">
        <v>115</v>
      </c>
      <c r="H822" s="665">
        <f>G822*C822</f>
        <v>34730</v>
      </c>
      <c r="I822" s="665">
        <f>H822+F822</f>
        <v>58890</v>
      </c>
      <c r="J822" s="489"/>
    </row>
    <row r="823" spans="1:10">
      <c r="A823" s="661" t="s">
        <v>1102</v>
      </c>
      <c r="B823" s="785" t="s">
        <v>35</v>
      </c>
      <c r="C823" s="498"/>
      <c r="D823" s="505"/>
      <c r="E823" s="489"/>
      <c r="F823" s="660"/>
      <c r="G823" s="672"/>
      <c r="H823" s="665"/>
      <c r="I823" s="665"/>
      <c r="J823" s="489"/>
    </row>
    <row r="824" spans="1:10">
      <c r="A824" s="685"/>
      <c r="B824" s="862" t="s">
        <v>1414</v>
      </c>
      <c r="C824" s="498">
        <f>'Architecture '!BA255</f>
        <v>476</v>
      </c>
      <c r="D824" s="505" t="s">
        <v>16</v>
      </c>
      <c r="E824" s="489">
        <v>180</v>
      </c>
      <c r="F824" s="660">
        <f>E824*C824</f>
        <v>85680</v>
      </c>
      <c r="G824" s="672">
        <v>50</v>
      </c>
      <c r="H824" s="665">
        <f>G824*C824</f>
        <v>23800</v>
      </c>
      <c r="I824" s="665">
        <f>H824+F824</f>
        <v>109480</v>
      </c>
      <c r="J824" s="489"/>
    </row>
    <row r="825" spans="1:10">
      <c r="A825" s="518"/>
      <c r="B825" s="862" t="s">
        <v>1389</v>
      </c>
      <c r="C825" s="498">
        <f>'Architecture '!AZ255</f>
        <v>188</v>
      </c>
      <c r="D825" s="505" t="s">
        <v>16</v>
      </c>
      <c r="E825" s="489">
        <v>180</v>
      </c>
      <c r="F825" s="660">
        <f>E825*C825</f>
        <v>33840</v>
      </c>
      <c r="G825" s="672">
        <v>50</v>
      </c>
      <c r="H825" s="665">
        <f>G825*C825</f>
        <v>9400</v>
      </c>
      <c r="I825" s="665">
        <f>H825+F825</f>
        <v>43240</v>
      </c>
      <c r="J825" s="489"/>
    </row>
    <row r="826" spans="1:10">
      <c r="A826" s="661" t="s">
        <v>1103</v>
      </c>
      <c r="B826" s="919" t="s">
        <v>36</v>
      </c>
      <c r="C826" s="498"/>
      <c r="D826" s="874"/>
      <c r="E826" s="489"/>
      <c r="F826" s="660"/>
      <c r="G826" s="672"/>
      <c r="H826" s="665"/>
      <c r="I826" s="665"/>
      <c r="J826" s="489"/>
    </row>
    <row r="827" spans="1:10">
      <c r="A827" s="685"/>
      <c r="B827" s="863" t="s">
        <v>458</v>
      </c>
      <c r="C827" s="506">
        <f>'Architecture '!AW255</f>
        <v>226</v>
      </c>
      <c r="D827" s="874" t="s">
        <v>16</v>
      </c>
      <c r="E827" s="489">
        <v>78</v>
      </c>
      <c r="F827" s="660">
        <f>E827*C827</f>
        <v>17628</v>
      </c>
      <c r="G827" s="672">
        <v>82</v>
      </c>
      <c r="H827" s="665">
        <f>G827*C827</f>
        <v>18532</v>
      </c>
      <c r="I827" s="665">
        <f>H827+F827</f>
        <v>36160</v>
      </c>
      <c r="J827" s="489"/>
    </row>
    <row r="828" spans="1:10">
      <c r="A828" s="685"/>
      <c r="B828" s="862" t="s">
        <v>39</v>
      </c>
      <c r="C828" s="498">
        <f>'Architecture '!BC255</f>
        <v>226</v>
      </c>
      <c r="D828" s="874" t="s">
        <v>16</v>
      </c>
      <c r="E828" s="489">
        <v>33</v>
      </c>
      <c r="F828" s="660">
        <f>E828*C828</f>
        <v>7458</v>
      </c>
      <c r="G828" s="672">
        <v>31</v>
      </c>
      <c r="H828" s="665">
        <f>G828*C828</f>
        <v>7006</v>
      </c>
      <c r="I828" s="665">
        <f>H828+F828</f>
        <v>14464</v>
      </c>
      <c r="J828" s="489"/>
    </row>
    <row r="829" spans="1:10">
      <c r="A829" s="661" t="s">
        <v>1104</v>
      </c>
      <c r="B829" s="785" t="s">
        <v>47</v>
      </c>
      <c r="C829" s="506"/>
      <c r="D829" s="505"/>
      <c r="E829" s="489"/>
      <c r="F829" s="660"/>
      <c r="G829" s="672"/>
      <c r="H829" s="665"/>
      <c r="I829" s="665"/>
      <c r="J829" s="489"/>
    </row>
    <row r="830" spans="1:10">
      <c r="A830" s="661"/>
      <c r="B830" s="785" t="s">
        <v>48</v>
      </c>
      <c r="C830" s="506"/>
      <c r="D830" s="505"/>
      <c r="E830" s="489"/>
      <c r="F830" s="660"/>
      <c r="G830" s="672"/>
      <c r="H830" s="665"/>
      <c r="I830" s="665"/>
      <c r="J830" s="489"/>
    </row>
    <row r="831" spans="1:10" ht="48">
      <c r="A831" s="661"/>
      <c r="B831" s="924" t="str">
        <f>'Architecture '!DV254</f>
        <v xml:space="preserve"> - C.D4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2.10 x 2.55 มม.</v>
      </c>
      <c r="C831" s="867">
        <f>'Architecture '!DP254</f>
        <v>1</v>
      </c>
      <c r="D831" s="744" t="s">
        <v>15</v>
      </c>
      <c r="E831" s="527">
        <f>'Architecture '!DX254</f>
        <v>21420</v>
      </c>
      <c r="F831" s="668">
        <f>E831*C831</f>
        <v>21420</v>
      </c>
      <c r="G831" s="669">
        <v>0</v>
      </c>
      <c r="H831" s="668">
        <f>G831*C831</f>
        <v>0</v>
      </c>
      <c r="I831" s="670">
        <f>H831+F831</f>
        <v>21420</v>
      </c>
      <c r="J831" s="489"/>
    </row>
    <row r="832" spans="1:10" ht="48">
      <c r="A832" s="661"/>
      <c r="B832" s="924" t="str">
        <f>'Architecture '!DV255</f>
        <v xml:space="preserve"> - C.D5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1.30 x 2.55 มม.</v>
      </c>
      <c r="C832" s="867">
        <f>'Architecture '!DP255</f>
        <v>1</v>
      </c>
      <c r="D832" s="744" t="s">
        <v>15</v>
      </c>
      <c r="E832" s="527">
        <f>'Architecture '!DX255</f>
        <v>13260</v>
      </c>
      <c r="F832" s="668">
        <f>E832*C832</f>
        <v>13260</v>
      </c>
      <c r="G832" s="669">
        <v>0</v>
      </c>
      <c r="H832" s="668">
        <f>G832*C832</f>
        <v>0</v>
      </c>
      <c r="I832" s="670">
        <f>H832+F832</f>
        <v>13260</v>
      </c>
      <c r="J832" s="489"/>
    </row>
    <row r="833" spans="1:10">
      <c r="A833" s="661"/>
      <c r="B833" s="785" t="s">
        <v>49</v>
      </c>
      <c r="C833" s="506"/>
      <c r="D833" s="505"/>
      <c r="E833" s="489"/>
      <c r="F833" s="660"/>
      <c r="G833" s="672"/>
      <c r="H833" s="665"/>
      <c r="I833" s="665"/>
      <c r="J833" s="489"/>
    </row>
    <row r="834" spans="1:10">
      <c r="A834" s="661"/>
      <c r="B834" s="924" t="str">
        <f>'Architecture '!DV267</f>
        <v xml:space="preserve"> - C.W4 ช่องแสงบานเกล็ดอลูมิเนียม วงกบ 2"x4" อบสีดำ ขนาด 1.80 x 1.25 มม.</v>
      </c>
      <c r="C834" s="867">
        <f>'Architecture '!DP267</f>
        <v>1</v>
      </c>
      <c r="D834" s="744" t="s">
        <v>15</v>
      </c>
      <c r="E834" s="527">
        <f>'Architecture '!DX267</f>
        <v>6750</v>
      </c>
      <c r="F834" s="668">
        <f>E834*C834</f>
        <v>6750</v>
      </c>
      <c r="G834" s="669">
        <v>0</v>
      </c>
      <c r="H834" s="668">
        <f>G834*C834</f>
        <v>0</v>
      </c>
      <c r="I834" s="670">
        <f>H834+F834</f>
        <v>6750</v>
      </c>
      <c r="J834" s="489"/>
    </row>
    <row r="835" spans="1:10">
      <c r="A835" s="661"/>
      <c r="B835" s="662" t="s">
        <v>1056</v>
      </c>
      <c r="C835" s="498">
        <v>1</v>
      </c>
      <c r="D835" s="499" t="s">
        <v>44</v>
      </c>
      <c r="E835" s="500">
        <f>SUM(F830:F834)*20%</f>
        <v>8286</v>
      </c>
      <c r="F835" s="660">
        <f>E835*C835</f>
        <v>8286</v>
      </c>
      <c r="G835" s="672">
        <v>0</v>
      </c>
      <c r="H835" s="660">
        <f>G835*C835</f>
        <v>0</v>
      </c>
      <c r="I835" s="665">
        <f>H835+F835</f>
        <v>8286</v>
      </c>
      <c r="J835" s="489"/>
    </row>
    <row r="836" spans="1:10">
      <c r="A836" s="661" t="s">
        <v>1105</v>
      </c>
      <c r="B836" s="666" t="s">
        <v>1457</v>
      </c>
      <c r="C836" s="498"/>
      <c r="D836" s="499"/>
      <c r="E836" s="500"/>
      <c r="F836" s="524"/>
      <c r="G836" s="672"/>
      <c r="H836" s="490"/>
      <c r="I836" s="490"/>
      <c r="J836" s="489"/>
    </row>
    <row r="837" spans="1:10">
      <c r="A837" s="661"/>
      <c r="B837" s="786" t="s">
        <v>1459</v>
      </c>
      <c r="C837" s="866">
        <f>ROUNDUP(2*29,0)</f>
        <v>58</v>
      </c>
      <c r="D837" s="529" t="s">
        <v>14</v>
      </c>
      <c r="E837" s="866">
        <f>650/2</f>
        <v>325</v>
      </c>
      <c r="F837" s="683">
        <f>E837*C837</f>
        <v>18850</v>
      </c>
      <c r="G837" s="787">
        <v>0</v>
      </c>
      <c r="H837" s="665">
        <f>G837*C837</f>
        <v>0</v>
      </c>
      <c r="I837" s="684">
        <f>H837+F837</f>
        <v>18850</v>
      </c>
      <c r="J837" s="489"/>
    </row>
    <row r="838" spans="1:10">
      <c r="A838" s="661"/>
      <c r="B838" s="786" t="s">
        <v>1458</v>
      </c>
      <c r="C838" s="866">
        <f>ROUNDUP((6.8*38)*0.12,0)</f>
        <v>32</v>
      </c>
      <c r="D838" s="499" t="s">
        <v>16</v>
      </c>
      <c r="E838" s="866">
        <v>990</v>
      </c>
      <c r="F838" s="683">
        <f>E838*C838</f>
        <v>31680</v>
      </c>
      <c r="G838" s="787">
        <v>0</v>
      </c>
      <c r="H838" s="684">
        <f>G838*C838</f>
        <v>0</v>
      </c>
      <c r="I838" s="684">
        <f>H838+F838</f>
        <v>31680</v>
      </c>
      <c r="J838" s="489"/>
    </row>
    <row r="839" spans="1:10">
      <c r="A839" s="661">
        <v>3.9</v>
      </c>
      <c r="B839" s="493" t="s">
        <v>1197</v>
      </c>
      <c r="C839" s="506"/>
      <c r="D839" s="505"/>
      <c r="E839" s="489"/>
      <c r="F839" s="489"/>
      <c r="G839" s="507"/>
      <c r="H839" s="490"/>
      <c r="I839" s="490"/>
      <c r="J839" s="489"/>
    </row>
    <row r="840" spans="1:10">
      <c r="A840" s="661" t="s">
        <v>1106</v>
      </c>
      <c r="B840" s="919" t="s">
        <v>29</v>
      </c>
      <c r="C840" s="506"/>
      <c r="D840" s="505"/>
      <c r="E840" s="489"/>
      <c r="F840" s="660"/>
      <c r="G840" s="672"/>
      <c r="H840" s="665"/>
      <c r="I840" s="665"/>
      <c r="J840" s="489"/>
    </row>
    <row r="841" spans="1:10">
      <c r="A841" s="661"/>
      <c r="B841" s="863" t="s">
        <v>430</v>
      </c>
      <c r="C841" s="506">
        <f>'Architecture '!C275</f>
        <v>1464</v>
      </c>
      <c r="D841" s="505" t="s">
        <v>16</v>
      </c>
      <c r="E841" s="489">
        <v>95</v>
      </c>
      <c r="F841" s="660">
        <f>E841*C841</f>
        <v>139080</v>
      </c>
      <c r="G841" s="672">
        <v>82</v>
      </c>
      <c r="H841" s="665">
        <f>G841*C841</f>
        <v>120048</v>
      </c>
      <c r="I841" s="665">
        <f>H841+F841</f>
        <v>259128</v>
      </c>
      <c r="J841" s="489"/>
    </row>
    <row r="842" spans="1:10">
      <c r="A842" s="661"/>
      <c r="B842" s="863" t="s">
        <v>1787</v>
      </c>
      <c r="C842" s="506">
        <f>'Architecture '!F275</f>
        <v>839</v>
      </c>
      <c r="D842" s="505" t="s">
        <v>16</v>
      </c>
      <c r="E842" s="489">
        <v>450</v>
      </c>
      <c r="F842" s="660">
        <f>E842*C842</f>
        <v>377550</v>
      </c>
      <c r="G842" s="672">
        <v>150</v>
      </c>
      <c r="H842" s="665">
        <f>G842*C842</f>
        <v>125850</v>
      </c>
      <c r="I842" s="665">
        <f>H842+F842</f>
        <v>503400</v>
      </c>
      <c r="J842" s="489"/>
    </row>
    <row r="843" spans="1:10">
      <c r="A843" s="661" t="s">
        <v>1107</v>
      </c>
      <c r="B843" s="919" t="s">
        <v>31</v>
      </c>
      <c r="C843" s="506"/>
      <c r="D843" s="874"/>
      <c r="E843" s="489"/>
      <c r="F843" s="660"/>
      <c r="G843" s="672"/>
      <c r="H843" s="665"/>
      <c r="I843" s="665"/>
      <c r="J843" s="489"/>
    </row>
    <row r="844" spans="1:10">
      <c r="A844" s="661"/>
      <c r="B844" s="919" t="s">
        <v>32</v>
      </c>
      <c r="C844" s="506"/>
      <c r="D844" s="874"/>
      <c r="E844" s="489"/>
      <c r="F844" s="660"/>
      <c r="G844" s="672"/>
      <c r="H844" s="665"/>
      <c r="I844" s="665"/>
      <c r="J844" s="489"/>
    </row>
    <row r="845" spans="1:10">
      <c r="A845" s="661"/>
      <c r="B845" s="863" t="s">
        <v>433</v>
      </c>
      <c r="C845" s="498">
        <f>'Architecture '!U275</f>
        <v>1165</v>
      </c>
      <c r="D845" s="874" t="s">
        <v>16</v>
      </c>
      <c r="E845" s="489">
        <v>285</v>
      </c>
      <c r="F845" s="660">
        <f>E845*C845</f>
        <v>332025</v>
      </c>
      <c r="G845" s="672">
        <v>89</v>
      </c>
      <c r="H845" s="665">
        <f>G845*C845</f>
        <v>103685</v>
      </c>
      <c r="I845" s="665">
        <f>H845+F845</f>
        <v>435710</v>
      </c>
      <c r="J845" s="489"/>
    </row>
    <row r="846" spans="1:10">
      <c r="A846" s="661"/>
      <c r="B846" s="863" t="s">
        <v>1428</v>
      </c>
      <c r="C846" s="506">
        <f>'Architecture '!V275</f>
        <v>249</v>
      </c>
      <c r="D846" s="874" t="s">
        <v>16</v>
      </c>
      <c r="E846" s="489">
        <v>584</v>
      </c>
      <c r="F846" s="660">
        <f>E846*C846</f>
        <v>145416</v>
      </c>
      <c r="G846" s="672">
        <v>167</v>
      </c>
      <c r="H846" s="665">
        <f>G846*C846</f>
        <v>41583</v>
      </c>
      <c r="I846" s="665">
        <f>H846+F846</f>
        <v>186999</v>
      </c>
      <c r="J846" s="489"/>
    </row>
    <row r="847" spans="1:10">
      <c r="A847" s="661"/>
      <c r="B847" s="863" t="s">
        <v>1460</v>
      </c>
      <c r="C847" s="506">
        <f>'Architecture '!AB275</f>
        <v>399</v>
      </c>
      <c r="D847" s="505" t="s">
        <v>16</v>
      </c>
      <c r="E847" s="489">
        <v>450</v>
      </c>
      <c r="F847" s="660">
        <f>E847*C847</f>
        <v>179550</v>
      </c>
      <c r="G847" s="672">
        <v>150</v>
      </c>
      <c r="H847" s="665">
        <f>G847*C847</f>
        <v>59850</v>
      </c>
      <c r="I847" s="665">
        <f>H847+F847</f>
        <v>239400</v>
      </c>
      <c r="J847" s="489"/>
    </row>
    <row r="848" spans="1:10">
      <c r="A848" s="661"/>
      <c r="B848" s="863" t="s">
        <v>33</v>
      </c>
      <c r="C848" s="498">
        <f>'Architecture '!AQ275+'Architecture '!AR275+'Architecture '!AS275+'Architecture '!AT275</f>
        <v>528</v>
      </c>
      <c r="D848" s="874" t="s">
        <v>14</v>
      </c>
      <c r="E848" s="489">
        <v>70</v>
      </c>
      <c r="F848" s="660">
        <f>E848*C848</f>
        <v>36960</v>
      </c>
      <c r="G848" s="672">
        <v>44</v>
      </c>
      <c r="H848" s="665">
        <f>G848*C848</f>
        <v>23232</v>
      </c>
      <c r="I848" s="665">
        <f>H848+F848</f>
        <v>60192</v>
      </c>
      <c r="J848" s="489"/>
    </row>
    <row r="849" spans="1:10">
      <c r="A849" s="661"/>
      <c r="B849" s="785" t="s">
        <v>34</v>
      </c>
      <c r="C849" s="498"/>
      <c r="D849" s="505"/>
      <c r="E849" s="489"/>
      <c r="F849" s="660"/>
      <c r="G849" s="672"/>
      <c r="H849" s="665"/>
      <c r="I849" s="665"/>
      <c r="J849" s="489"/>
    </row>
    <row r="850" spans="1:10">
      <c r="A850" s="661"/>
      <c r="B850" s="927" t="s">
        <v>1415</v>
      </c>
      <c r="C850" s="498">
        <f>'Architecture '!AC275</f>
        <v>907</v>
      </c>
      <c r="D850" s="874" t="s">
        <v>16</v>
      </c>
      <c r="E850" s="489">
        <v>75</v>
      </c>
      <c r="F850" s="660">
        <f>E850*C850</f>
        <v>68025</v>
      </c>
      <c r="G850" s="672">
        <v>95</v>
      </c>
      <c r="H850" s="665">
        <f>G850*C850</f>
        <v>86165</v>
      </c>
      <c r="I850" s="665">
        <f>H850+F850</f>
        <v>154190</v>
      </c>
      <c r="J850" s="489"/>
    </row>
    <row r="851" spans="1:10">
      <c r="A851" s="661"/>
      <c r="B851" s="863" t="s">
        <v>1390</v>
      </c>
      <c r="C851" s="498">
        <f>'Architecture '!AD275</f>
        <v>1764</v>
      </c>
      <c r="D851" s="874" t="s">
        <v>16</v>
      </c>
      <c r="E851" s="489">
        <v>75</v>
      </c>
      <c r="F851" s="660">
        <f>E851*C851</f>
        <v>132300</v>
      </c>
      <c r="G851" s="672">
        <v>82</v>
      </c>
      <c r="H851" s="665">
        <f>G851*C851</f>
        <v>144648</v>
      </c>
      <c r="I851" s="665">
        <f>H851+F851</f>
        <v>276948</v>
      </c>
      <c r="J851" s="489"/>
    </row>
    <row r="852" spans="1:10">
      <c r="A852" s="661"/>
      <c r="B852" s="863" t="s">
        <v>1427</v>
      </c>
      <c r="C852" s="506">
        <f>'Architecture '!AE275</f>
        <v>179</v>
      </c>
      <c r="D852" s="874" t="s">
        <v>16</v>
      </c>
      <c r="E852" s="489">
        <v>80</v>
      </c>
      <c r="F852" s="660">
        <f>E852*C852</f>
        <v>14320</v>
      </c>
      <c r="G852" s="672">
        <v>115</v>
      </c>
      <c r="H852" s="665">
        <f>G852*C852</f>
        <v>20585</v>
      </c>
      <c r="I852" s="665">
        <f>H852+F852</f>
        <v>34905</v>
      </c>
      <c r="J852" s="489"/>
    </row>
    <row r="853" spans="1:10">
      <c r="A853" s="661" t="s">
        <v>1108</v>
      </c>
      <c r="B853" s="785" t="s">
        <v>35</v>
      </c>
      <c r="C853" s="498"/>
      <c r="D853" s="505"/>
      <c r="E853" s="489"/>
      <c r="F853" s="660"/>
      <c r="G853" s="672"/>
      <c r="H853" s="665"/>
      <c r="I853" s="665"/>
      <c r="J853" s="489"/>
    </row>
    <row r="854" spans="1:10">
      <c r="A854" s="661"/>
      <c r="B854" s="862" t="s">
        <v>1414</v>
      </c>
      <c r="C854" s="498">
        <f>'Architecture '!BA275</f>
        <v>671</v>
      </c>
      <c r="D854" s="505" t="s">
        <v>16</v>
      </c>
      <c r="E854" s="489">
        <v>180</v>
      </c>
      <c r="F854" s="660">
        <f>E854*C854</f>
        <v>120780</v>
      </c>
      <c r="G854" s="672">
        <v>50</v>
      </c>
      <c r="H854" s="665">
        <f>G854*C854</f>
        <v>33550</v>
      </c>
      <c r="I854" s="665">
        <f>H854+F854</f>
        <v>154330</v>
      </c>
      <c r="J854" s="489"/>
    </row>
    <row r="855" spans="1:10">
      <c r="A855" s="661"/>
      <c r="B855" s="862" t="s">
        <v>1389</v>
      </c>
      <c r="C855" s="498">
        <f>'Architecture '!AZ275</f>
        <v>1780</v>
      </c>
      <c r="D855" s="505" t="s">
        <v>16</v>
      </c>
      <c r="E855" s="489">
        <v>180</v>
      </c>
      <c r="F855" s="660">
        <f>E855*C855</f>
        <v>320400</v>
      </c>
      <c r="G855" s="672">
        <v>50</v>
      </c>
      <c r="H855" s="665">
        <f>G855*C855</f>
        <v>89000</v>
      </c>
      <c r="I855" s="665">
        <f>H855+F855</f>
        <v>409400</v>
      </c>
      <c r="J855" s="489"/>
    </row>
    <row r="856" spans="1:10">
      <c r="A856" s="661" t="s">
        <v>1109</v>
      </c>
      <c r="B856" s="919" t="s">
        <v>36</v>
      </c>
      <c r="C856" s="498"/>
      <c r="D856" s="874"/>
      <c r="E856" s="489"/>
      <c r="F856" s="660"/>
      <c r="G856" s="672"/>
      <c r="H856" s="665"/>
      <c r="I856" s="665"/>
      <c r="J856" s="489"/>
    </row>
    <row r="857" spans="1:10">
      <c r="A857" s="661"/>
      <c r="B857" s="863" t="s">
        <v>37</v>
      </c>
      <c r="C857" s="498">
        <f>'Architecture '!AU275</f>
        <v>146</v>
      </c>
      <c r="D857" s="874" t="s">
        <v>16</v>
      </c>
      <c r="E857" s="489">
        <v>292</v>
      </c>
      <c r="F857" s="660">
        <f>E857*C857</f>
        <v>42632</v>
      </c>
      <c r="G857" s="672">
        <v>75</v>
      </c>
      <c r="H857" s="665">
        <f>G857*C857</f>
        <v>10950</v>
      </c>
      <c r="I857" s="665">
        <f>H857+F857</f>
        <v>53582</v>
      </c>
      <c r="J857" s="489"/>
    </row>
    <row r="858" spans="1:10">
      <c r="A858" s="661"/>
      <c r="B858" s="863" t="s">
        <v>458</v>
      </c>
      <c r="C858" s="506">
        <f>'Architecture '!AW275</f>
        <v>1548</v>
      </c>
      <c r="D858" s="874" t="s">
        <v>16</v>
      </c>
      <c r="E858" s="489">
        <v>78</v>
      </c>
      <c r="F858" s="660">
        <f>E858*C858</f>
        <v>120744</v>
      </c>
      <c r="G858" s="672">
        <v>82</v>
      </c>
      <c r="H858" s="665">
        <f>G858*C858</f>
        <v>126936</v>
      </c>
      <c r="I858" s="665">
        <f>H858+F858</f>
        <v>247680</v>
      </c>
      <c r="J858" s="489"/>
    </row>
    <row r="859" spans="1:10">
      <c r="A859" s="661"/>
      <c r="B859" s="862" t="s">
        <v>39</v>
      </c>
      <c r="C859" s="498">
        <f>'Architecture '!BC275</f>
        <v>1694</v>
      </c>
      <c r="D859" s="874" t="s">
        <v>16</v>
      </c>
      <c r="E859" s="489">
        <v>33</v>
      </c>
      <c r="F859" s="660">
        <f>E859*C859</f>
        <v>55902</v>
      </c>
      <c r="G859" s="672">
        <v>31</v>
      </c>
      <c r="H859" s="665">
        <f>G859*C859</f>
        <v>52514</v>
      </c>
      <c r="I859" s="665">
        <f>H859+F859</f>
        <v>108416</v>
      </c>
      <c r="J859" s="489"/>
    </row>
    <row r="860" spans="1:10">
      <c r="A860" s="661" t="s">
        <v>1110</v>
      </c>
      <c r="B860" s="785" t="s">
        <v>47</v>
      </c>
      <c r="C860" s="506"/>
      <c r="D860" s="505"/>
      <c r="E860" s="489"/>
      <c r="F860" s="660"/>
      <c r="G860" s="672"/>
      <c r="H860" s="665"/>
      <c r="I860" s="665"/>
      <c r="J860" s="489"/>
    </row>
    <row r="861" spans="1:10">
      <c r="A861" s="661"/>
      <c r="B861" s="785" t="s">
        <v>48</v>
      </c>
      <c r="C861" s="506"/>
      <c r="D861" s="505"/>
      <c r="E861" s="489"/>
      <c r="F861" s="660"/>
      <c r="G861" s="672"/>
      <c r="H861" s="665"/>
      <c r="I861" s="665"/>
      <c r="J861" s="489"/>
    </row>
    <row r="862" spans="1:10" ht="48" customHeight="1">
      <c r="A862" s="661"/>
      <c r="B862" s="924" t="str">
        <f>'Architecture '!DV251</f>
        <v xml:space="preserve"> - C.D1 ประตูกระจกบานเปลือยสวิงคู่พร้อมช่องแสงติดตาย กระจกลามิเนตเขียวใสตัดแสง 6 + 6 มม. ขนาด 8.10 x 5.60 มม.</v>
      </c>
      <c r="C862" s="867">
        <f>'Architecture '!DQ251</f>
        <v>2</v>
      </c>
      <c r="D862" s="744" t="s">
        <v>15</v>
      </c>
      <c r="E862" s="527">
        <f>'Architecture '!DX251</f>
        <v>204120</v>
      </c>
      <c r="F862" s="668">
        <f>E862*C862</f>
        <v>408240</v>
      </c>
      <c r="G862" s="669">
        <v>0</v>
      </c>
      <c r="H862" s="668">
        <f>G862*C862</f>
        <v>0</v>
      </c>
      <c r="I862" s="670">
        <f>H862+F862</f>
        <v>408240</v>
      </c>
      <c r="J862" s="489"/>
    </row>
    <row r="863" spans="1:10" ht="48" customHeight="1">
      <c r="A863" s="661"/>
      <c r="B863" s="927" t="str">
        <f>'Architecture '!DV252</f>
        <v xml:space="preserve"> - C.D2 ประตูกระจกบานเปลือยสวิงคู่พร้อมช่องแสงติดตาย วงกบ 2"x4" อบสีดำ ลูกฟัก กระจกลามิเนตเขียวใส 3+3 มม. ขนาด 7.90 x 4.40 มม.</v>
      </c>
      <c r="C863" s="867">
        <f>'Architecture '!DQ252</f>
        <v>2</v>
      </c>
      <c r="D863" s="744" t="s">
        <v>15</v>
      </c>
      <c r="E863" s="527">
        <f>'Architecture '!DX252</f>
        <v>139040</v>
      </c>
      <c r="F863" s="668">
        <f>E863*C863</f>
        <v>278080</v>
      </c>
      <c r="G863" s="669">
        <v>0</v>
      </c>
      <c r="H863" s="668">
        <f>G863*C863</f>
        <v>0</v>
      </c>
      <c r="I863" s="670">
        <f>H863+F863</f>
        <v>278080</v>
      </c>
      <c r="J863" s="489"/>
    </row>
    <row r="864" spans="1:10" ht="48" customHeight="1">
      <c r="A864" s="661"/>
      <c r="B864" s="927" t="str">
        <f>'Architecture '!DV253</f>
        <v xml:space="preserve"> - C.D3 ประตูกระจกบานเปลือยสวิงคู่พร้อมช่องแสงติดตาย วงกบ 2"x4" อบสีดำ ลูกฟัก กระจกลามิเนตเขียวใส 3+3 มม. ขนาด 2.10 x 4.40 มม.</v>
      </c>
      <c r="C864" s="867">
        <f>'Architecture '!DQ253</f>
        <v>2</v>
      </c>
      <c r="D864" s="744" t="s">
        <v>15</v>
      </c>
      <c r="E864" s="527">
        <f>'Architecture '!DX253</f>
        <v>32340</v>
      </c>
      <c r="F864" s="668">
        <f>E864*C864</f>
        <v>64680</v>
      </c>
      <c r="G864" s="669">
        <v>0</v>
      </c>
      <c r="H864" s="668">
        <f>G864*C864</f>
        <v>0</v>
      </c>
      <c r="I864" s="670">
        <f>H864+F864</f>
        <v>64680</v>
      </c>
      <c r="J864" s="489"/>
    </row>
    <row r="865" spans="1:10">
      <c r="A865" s="661"/>
      <c r="B865" s="785" t="s">
        <v>49</v>
      </c>
      <c r="C865" s="506"/>
      <c r="D865" s="505"/>
      <c r="E865" s="489"/>
      <c r="F865" s="660"/>
      <c r="G865" s="672"/>
      <c r="H865" s="665"/>
      <c r="I865" s="665"/>
      <c r="J865" s="489"/>
    </row>
    <row r="866" spans="1:10" ht="48">
      <c r="A866" s="661"/>
      <c r="B866" s="924" t="str">
        <f>'Architecture '!DV263</f>
        <v xml:space="preserve"> - C.W1 หน้าต่างบานกระทุ้งพร้อมช่องแสงติดตาย วงกบ 2"x4" อบสีดำ ลูกฟัก กระจกลามิเนตเขียวใสตัดแสง 6 มม. ขนาด 7.90 x 3.85 มม.</v>
      </c>
      <c r="C866" s="867">
        <f>'Architecture '!DQ263</f>
        <v>6</v>
      </c>
      <c r="D866" s="744" t="s">
        <v>15</v>
      </c>
      <c r="E866" s="527">
        <f>'Architecture '!DX263</f>
        <v>85162</v>
      </c>
      <c r="F866" s="668">
        <f>E866*C866</f>
        <v>510972</v>
      </c>
      <c r="G866" s="669">
        <v>0</v>
      </c>
      <c r="H866" s="668">
        <f>G866*C866</f>
        <v>0</v>
      </c>
      <c r="I866" s="670">
        <f>H866+F866</f>
        <v>510972</v>
      </c>
      <c r="J866" s="489"/>
    </row>
    <row r="867" spans="1:10" ht="48">
      <c r="A867" s="661"/>
      <c r="B867" s="924" t="str">
        <f>'Architecture '!DV264</f>
        <v xml:space="preserve"> - C.W2 ช่องแสงติดตาย วงกบ 2"x4" อบสีดำ ลูกฟัก กระจกลามิเนตเขียวใส 6 มม. ขนาด 7.90 x 3.85 มม.</v>
      </c>
      <c r="C867" s="867">
        <f>'Architecture '!DQ264</f>
        <v>2</v>
      </c>
      <c r="D867" s="744" t="s">
        <v>15</v>
      </c>
      <c r="E867" s="527">
        <f>'Architecture '!DX264</f>
        <v>76038</v>
      </c>
      <c r="F867" s="668">
        <f>E867*C867</f>
        <v>152076</v>
      </c>
      <c r="G867" s="669">
        <v>0</v>
      </c>
      <c r="H867" s="668">
        <f>G867*C867</f>
        <v>0</v>
      </c>
      <c r="I867" s="670">
        <f>H867+F867</f>
        <v>152076</v>
      </c>
      <c r="J867" s="489"/>
    </row>
    <row r="868" spans="1:10" ht="48">
      <c r="A868" s="661"/>
      <c r="B868" s="924" t="str">
        <f>'Architecture '!DV265</f>
        <v xml:space="preserve"> - C.W3 ช่องแสงกระจกบานเปลือยติดตาย  กระจกลามิเนตเขียวใสตัดแสง 6+6 มม. ขนาด 8.10 x 4.40 มม.</v>
      </c>
      <c r="C868" s="867">
        <f>'Architecture '!DQ265</f>
        <v>4</v>
      </c>
      <c r="D868" s="744" t="s">
        <v>15</v>
      </c>
      <c r="E868" s="527">
        <f>'Architecture '!DX265</f>
        <v>124740</v>
      </c>
      <c r="F868" s="668">
        <f>E868*C868</f>
        <v>498960</v>
      </c>
      <c r="G868" s="669">
        <v>0</v>
      </c>
      <c r="H868" s="668">
        <f>G868*C868</f>
        <v>0</v>
      </c>
      <c r="I868" s="670">
        <f>H868+F868</f>
        <v>498960</v>
      </c>
      <c r="J868" s="489"/>
    </row>
    <row r="869" spans="1:10" ht="48">
      <c r="A869" s="661"/>
      <c r="B869" s="924" t="str">
        <f>'Architecture '!DV266</f>
        <v xml:space="preserve"> - C.W3.1 ช่องแสงกระจกบานเปลือยติดตาย  กระจกลามิเนตเขียวใสตัดแสง 6+6 มม. ขนาด 8.10 x 5.60 มม.</v>
      </c>
      <c r="C869" s="867">
        <f>'Architecture '!DQ266</f>
        <v>2</v>
      </c>
      <c r="D869" s="744" t="s">
        <v>15</v>
      </c>
      <c r="E869" s="527">
        <f>'Architecture '!DX266</f>
        <v>158760</v>
      </c>
      <c r="F869" s="668">
        <f>E869*C869</f>
        <v>317520</v>
      </c>
      <c r="G869" s="669">
        <v>0</v>
      </c>
      <c r="H869" s="668">
        <f>G869*C869</f>
        <v>0</v>
      </c>
      <c r="I869" s="670">
        <f>H869+F869</f>
        <v>317520</v>
      </c>
      <c r="J869" s="489"/>
    </row>
    <row r="870" spans="1:10">
      <c r="A870" s="661"/>
      <c r="B870" s="662" t="s">
        <v>1056</v>
      </c>
      <c r="C870" s="498">
        <v>1</v>
      </c>
      <c r="D870" s="499" t="s">
        <v>44</v>
      </c>
      <c r="E870" s="500">
        <f>SUM(F861:F869)*20%</f>
        <v>446105.60000000003</v>
      </c>
      <c r="F870" s="660">
        <f>E870*C870</f>
        <v>446105.60000000003</v>
      </c>
      <c r="G870" s="672">
        <v>0</v>
      </c>
      <c r="H870" s="660">
        <f>G870*C870</f>
        <v>0</v>
      </c>
      <c r="I870" s="665">
        <f>H870+F870</f>
        <v>446105.60000000003</v>
      </c>
      <c r="J870" s="489"/>
    </row>
    <row r="871" spans="1:10">
      <c r="A871" s="661" t="s">
        <v>1111</v>
      </c>
      <c r="B871" s="785" t="s">
        <v>648</v>
      </c>
      <c r="C871" s="506"/>
      <c r="D871" s="505"/>
      <c r="E871" s="489"/>
      <c r="F871" s="660"/>
      <c r="G871" s="672"/>
      <c r="H871" s="665"/>
      <c r="I871" s="665"/>
      <c r="J871" s="489"/>
    </row>
    <row r="872" spans="1:10">
      <c r="A872" s="661"/>
      <c r="B872" s="662" t="s">
        <v>1463</v>
      </c>
      <c r="C872" s="506">
        <f>ROUNDUP(8+4.4+7.65,0)</f>
        <v>21</v>
      </c>
      <c r="D872" s="499" t="s">
        <v>73</v>
      </c>
      <c r="E872" s="524">
        <f>ROUNDUP(3200/6,0)</f>
        <v>534</v>
      </c>
      <c r="F872" s="663">
        <f>E872*C872</f>
        <v>11214</v>
      </c>
      <c r="G872" s="524">
        <f>ROUNDUP(900/6,0)</f>
        <v>150</v>
      </c>
      <c r="H872" s="665">
        <f>G872*C872</f>
        <v>3150</v>
      </c>
      <c r="I872" s="665">
        <f>H872+F872</f>
        <v>14364</v>
      </c>
      <c r="J872" s="489"/>
    </row>
    <row r="873" spans="1:10">
      <c r="A873" s="661"/>
      <c r="B873" s="662" t="s">
        <v>1614</v>
      </c>
      <c r="C873" s="506">
        <f>ROUNDUP((0.9*(C872/1)),0)</f>
        <v>19</v>
      </c>
      <c r="D873" s="499" t="s">
        <v>73</v>
      </c>
      <c r="E873" s="524">
        <f>ROUNDUP(2500/6,0)</f>
        <v>417</v>
      </c>
      <c r="F873" s="663">
        <f>E873*C873</f>
        <v>7923</v>
      </c>
      <c r="G873" s="524">
        <f>ROUNDUP(450/6,0)</f>
        <v>75</v>
      </c>
      <c r="H873" s="665">
        <f>G873*C873</f>
        <v>1425</v>
      </c>
      <c r="I873" s="665">
        <f>H873+F873</f>
        <v>9348</v>
      </c>
      <c r="J873" s="489"/>
    </row>
    <row r="874" spans="1:10">
      <c r="A874" s="661"/>
      <c r="B874" s="662" t="s">
        <v>446</v>
      </c>
      <c r="C874" s="506">
        <f>ROUNDUP(((0.65*C872)*10.764),0)</f>
        <v>147</v>
      </c>
      <c r="D874" s="499" t="s">
        <v>447</v>
      </c>
      <c r="E874" s="524">
        <v>345</v>
      </c>
      <c r="F874" s="663">
        <f>E874*C874</f>
        <v>50715</v>
      </c>
      <c r="G874" s="934">
        <v>50</v>
      </c>
      <c r="H874" s="665">
        <f>G874*C874</f>
        <v>7350</v>
      </c>
      <c r="I874" s="665">
        <f>H874+F874</f>
        <v>58065</v>
      </c>
      <c r="J874" s="489"/>
    </row>
    <row r="875" spans="1:10">
      <c r="A875" s="661"/>
      <c r="B875" s="662" t="s">
        <v>448</v>
      </c>
      <c r="C875" s="498">
        <v>68</v>
      </c>
      <c r="D875" s="499" t="s">
        <v>449</v>
      </c>
      <c r="E875" s="501">
        <v>350</v>
      </c>
      <c r="F875" s="897">
        <f>E875*C875</f>
        <v>23800</v>
      </c>
      <c r="G875" s="523">
        <v>0</v>
      </c>
      <c r="H875" s="898">
        <f>G875*C875</f>
        <v>0</v>
      </c>
      <c r="I875" s="898">
        <f>H875+F875</f>
        <v>23800</v>
      </c>
      <c r="J875" s="489"/>
    </row>
    <row r="876" spans="1:10">
      <c r="A876" s="661"/>
      <c r="B876" s="662" t="s">
        <v>450</v>
      </c>
      <c r="C876" s="498">
        <v>1</v>
      </c>
      <c r="D876" s="499" t="s">
        <v>451</v>
      </c>
      <c r="E876" s="500">
        <f>SUM(F872:F875)*20%</f>
        <v>18730.400000000001</v>
      </c>
      <c r="F876" s="663">
        <f>E876*C876</f>
        <v>18730.400000000001</v>
      </c>
      <c r="G876" s="672">
        <v>0</v>
      </c>
      <c r="H876" s="660">
        <f>G876*C876</f>
        <v>0</v>
      </c>
      <c r="I876" s="665">
        <f>H876+F876</f>
        <v>18730.400000000001</v>
      </c>
      <c r="J876" s="489"/>
    </row>
    <row r="877" spans="1:10">
      <c r="A877" s="935">
        <v>3.1</v>
      </c>
      <c r="B877" s="525" t="s">
        <v>1195</v>
      </c>
      <c r="C877" s="506"/>
      <c r="D877" s="505"/>
      <c r="E877" s="489"/>
      <c r="F877" s="660"/>
      <c r="G877" s="672"/>
      <c r="H877" s="665"/>
      <c r="I877" s="665"/>
      <c r="J877" s="660"/>
    </row>
    <row r="878" spans="1:10">
      <c r="A878" s="661" t="s">
        <v>1112</v>
      </c>
      <c r="B878" s="919" t="s">
        <v>29</v>
      </c>
      <c r="C878" s="506"/>
      <c r="D878" s="505"/>
      <c r="E878" s="489"/>
      <c r="F878" s="660"/>
      <c r="G878" s="672"/>
      <c r="H878" s="665"/>
      <c r="I878" s="665"/>
      <c r="J878" s="660"/>
    </row>
    <row r="879" spans="1:10">
      <c r="A879" s="661"/>
      <c r="B879" s="863" t="s">
        <v>1425</v>
      </c>
      <c r="C879" s="506">
        <f>'Architecture '!H289</f>
        <v>1512</v>
      </c>
      <c r="D879" s="505" t="s">
        <v>16</v>
      </c>
      <c r="E879" s="489">
        <v>101</v>
      </c>
      <c r="F879" s="660">
        <f>E879*C879</f>
        <v>152712</v>
      </c>
      <c r="G879" s="672">
        <v>82</v>
      </c>
      <c r="H879" s="665">
        <f>G879*C879</f>
        <v>123984</v>
      </c>
      <c r="I879" s="665">
        <f>H879+F879</f>
        <v>276696</v>
      </c>
      <c r="J879" s="660"/>
    </row>
    <row r="880" spans="1:10">
      <c r="A880" s="661" t="s">
        <v>1113</v>
      </c>
      <c r="B880" s="785" t="s">
        <v>647</v>
      </c>
      <c r="C880" s="506"/>
      <c r="D880" s="505"/>
      <c r="E880" s="489"/>
      <c r="F880" s="660"/>
      <c r="G880" s="672"/>
      <c r="H880" s="665"/>
      <c r="I880" s="665"/>
      <c r="J880" s="660"/>
    </row>
    <row r="881" spans="1:10">
      <c r="A881" s="661" t="s">
        <v>1714</v>
      </c>
      <c r="B881" s="525" t="s">
        <v>382</v>
      </c>
      <c r="C881" s="506"/>
      <c r="D881" s="505"/>
      <c r="E881" s="489"/>
      <c r="F881" s="660"/>
      <c r="G881" s="672"/>
      <c r="H881" s="665"/>
      <c r="I881" s="665"/>
      <c r="J881" s="660"/>
    </row>
    <row r="882" spans="1:10">
      <c r="A882" s="661"/>
      <c r="B882" s="927" t="s">
        <v>1835</v>
      </c>
      <c r="C882" s="867">
        <f>'Architecture '!DN283</f>
        <v>175</v>
      </c>
      <c r="D882" s="526" t="s">
        <v>16</v>
      </c>
      <c r="E882" s="527">
        <v>6000</v>
      </c>
      <c r="F882" s="527">
        <f>E882*C882</f>
        <v>1050000</v>
      </c>
      <c r="G882" s="672">
        <v>1200</v>
      </c>
      <c r="H882" s="528">
        <f>G882*C882</f>
        <v>210000</v>
      </c>
      <c r="I882" s="528">
        <f>H882+F882</f>
        <v>1260000</v>
      </c>
      <c r="J882" s="660"/>
    </row>
    <row r="883" spans="1:10">
      <c r="A883" s="661"/>
      <c r="B883" s="662" t="s">
        <v>450</v>
      </c>
      <c r="C883" s="498">
        <v>1</v>
      </c>
      <c r="D883" s="499" t="s">
        <v>44</v>
      </c>
      <c r="E883" s="500">
        <f>SUM(F882)*20%</f>
        <v>210000</v>
      </c>
      <c r="F883" s="663">
        <f>E883*C883</f>
        <v>210000</v>
      </c>
      <c r="G883" s="672">
        <v>0</v>
      </c>
      <c r="H883" s="660">
        <f>G883*C883</f>
        <v>0</v>
      </c>
      <c r="I883" s="665">
        <f>H883+F883</f>
        <v>210000</v>
      </c>
      <c r="J883" s="660"/>
    </row>
    <row r="884" spans="1:10">
      <c r="A884" s="661" t="s">
        <v>1715</v>
      </c>
      <c r="B884" s="525" t="s">
        <v>56</v>
      </c>
      <c r="C884" s="506"/>
      <c r="D884" s="505"/>
      <c r="E884" s="489"/>
      <c r="F884" s="660"/>
      <c r="G884" s="672"/>
      <c r="H884" s="665"/>
      <c r="I884" s="665"/>
      <c r="J884" s="660"/>
    </row>
    <row r="885" spans="1:10">
      <c r="A885" s="661"/>
      <c r="B885" s="928" t="s">
        <v>1368</v>
      </c>
      <c r="C885" s="866">
        <f>'Architecture '!DF280</f>
        <v>115</v>
      </c>
      <c r="D885" s="789" t="s">
        <v>16</v>
      </c>
      <c r="E885" s="530">
        <v>650</v>
      </c>
      <c r="F885" s="530">
        <f>E885*C885</f>
        <v>74750</v>
      </c>
      <c r="G885" s="672">
        <f>E885*0.2</f>
        <v>130</v>
      </c>
      <c r="H885" s="531">
        <f>G885*C885</f>
        <v>14950</v>
      </c>
      <c r="I885" s="531">
        <f>H885+F885</f>
        <v>89700</v>
      </c>
      <c r="J885" s="660"/>
    </row>
    <row r="886" spans="1:10">
      <c r="A886" s="661"/>
      <c r="B886" s="930" t="s">
        <v>1369</v>
      </c>
      <c r="C886" s="867">
        <f>'Architecture '!DL289</f>
        <v>115</v>
      </c>
      <c r="D886" s="929" t="s">
        <v>16</v>
      </c>
      <c r="E886" s="527">
        <v>280</v>
      </c>
      <c r="F886" s="527">
        <f>E886*C886</f>
        <v>32200</v>
      </c>
      <c r="G886" s="669">
        <v>25</v>
      </c>
      <c r="H886" s="528">
        <f>G886*C886</f>
        <v>2875</v>
      </c>
      <c r="I886" s="528">
        <f>H886+F886</f>
        <v>35075</v>
      </c>
      <c r="J886" s="660"/>
    </row>
    <row r="887" spans="1:10">
      <c r="A887" s="661"/>
      <c r="B887" s="662" t="s">
        <v>1370</v>
      </c>
      <c r="C887" s="866">
        <f>'Architecture '!DM289</f>
        <v>160</v>
      </c>
      <c r="D887" s="502" t="s">
        <v>57</v>
      </c>
      <c r="E887" s="489">
        <v>1300</v>
      </c>
      <c r="F887" s="530">
        <f>E887*C887</f>
        <v>208000</v>
      </c>
      <c r="G887" s="931">
        <v>50</v>
      </c>
      <c r="H887" s="531">
        <f>G887*C887</f>
        <v>8000</v>
      </c>
      <c r="I887" s="531">
        <f>H887+F887</f>
        <v>216000</v>
      </c>
      <c r="J887" s="660"/>
    </row>
    <row r="888" spans="1:10">
      <c r="A888" s="661"/>
      <c r="B888" s="862" t="s">
        <v>487</v>
      </c>
      <c r="C888" s="866"/>
      <c r="D888" s="518"/>
      <c r="E888" s="489"/>
      <c r="F888" s="530"/>
      <c r="G888" s="931"/>
      <c r="H888" s="528"/>
      <c r="I888" s="528"/>
      <c r="J888" s="660"/>
    </row>
    <row r="889" spans="1:10">
      <c r="A889" s="661"/>
      <c r="B889" s="862" t="s">
        <v>489</v>
      </c>
      <c r="C889" s="866">
        <f>'Architecture '!DH289</f>
        <v>88</v>
      </c>
      <c r="D889" s="518" t="s">
        <v>57</v>
      </c>
      <c r="E889" s="489">
        <v>315</v>
      </c>
      <c r="F889" s="530">
        <f>E889*C889</f>
        <v>27720</v>
      </c>
      <c r="G889" s="672">
        <f>E889*0.2</f>
        <v>63</v>
      </c>
      <c r="H889" s="531">
        <f>G889*C889</f>
        <v>5544</v>
      </c>
      <c r="I889" s="531">
        <f>H889+F889</f>
        <v>33264</v>
      </c>
      <c r="J889" s="660"/>
    </row>
    <row r="890" spans="1:10">
      <c r="A890" s="661"/>
      <c r="B890" s="662" t="s">
        <v>1375</v>
      </c>
      <c r="C890" s="866"/>
      <c r="D890" s="502"/>
      <c r="E890" s="489"/>
      <c r="F890" s="530"/>
      <c r="G890" s="931"/>
      <c r="H890" s="531"/>
      <c r="I890" s="531"/>
      <c r="J890" s="660"/>
    </row>
    <row r="891" spans="1:10">
      <c r="A891" s="661"/>
      <c r="B891" s="662" t="s">
        <v>1295</v>
      </c>
      <c r="C891" s="867">
        <f>'Architecture '!DO284</f>
        <v>187</v>
      </c>
      <c r="D891" s="667" t="s">
        <v>16</v>
      </c>
      <c r="E891" s="527">
        <v>1900</v>
      </c>
      <c r="F891" s="668">
        <f>E891*C891</f>
        <v>355300</v>
      </c>
      <c r="G891" s="669">
        <v>1025</v>
      </c>
      <c r="H891" s="670">
        <f>G891*C891</f>
        <v>191675</v>
      </c>
      <c r="I891" s="670">
        <f>H891+F891</f>
        <v>546975</v>
      </c>
      <c r="J891" s="660"/>
    </row>
    <row r="892" spans="1:10">
      <c r="A892" s="661"/>
      <c r="B892" s="662" t="s">
        <v>450</v>
      </c>
      <c r="C892" s="498">
        <v>1</v>
      </c>
      <c r="D892" s="499" t="s">
        <v>451</v>
      </c>
      <c r="E892" s="500">
        <f>SUM(F885:F891)*20%</f>
        <v>139594</v>
      </c>
      <c r="F892" s="663">
        <f>E892*C892</f>
        <v>139594</v>
      </c>
      <c r="G892" s="672">
        <v>0</v>
      </c>
      <c r="H892" s="660">
        <f>G892*C892</f>
        <v>0</v>
      </c>
      <c r="I892" s="665">
        <f>H892+F892</f>
        <v>139594</v>
      </c>
      <c r="J892" s="660"/>
    </row>
    <row r="893" spans="1:10">
      <c r="A893" s="661" t="s">
        <v>1114</v>
      </c>
      <c r="B893" s="936" t="s">
        <v>1325</v>
      </c>
      <c r="C893" s="866"/>
      <c r="D893" s="789"/>
      <c r="E893" s="530"/>
      <c r="F893" s="530"/>
      <c r="G893" s="931"/>
      <c r="H893" s="531"/>
      <c r="I893" s="531"/>
      <c r="J893" s="660"/>
    </row>
    <row r="894" spans="1:10">
      <c r="A894" s="661"/>
      <c r="B894" s="662" t="s">
        <v>1295</v>
      </c>
      <c r="C894" s="866">
        <f>'Architecture '!DO285</f>
        <v>1978</v>
      </c>
      <c r="D894" s="789" t="s">
        <v>16</v>
      </c>
      <c r="E894" s="530">
        <v>1900</v>
      </c>
      <c r="F894" s="530">
        <f>E894*C894</f>
        <v>3758200</v>
      </c>
      <c r="G894" s="931">
        <v>1025</v>
      </c>
      <c r="H894" s="531">
        <f>G894*C894</f>
        <v>2027450</v>
      </c>
      <c r="I894" s="531">
        <f>H894+F894</f>
        <v>5785650</v>
      </c>
      <c r="J894" s="660"/>
    </row>
    <row r="895" spans="1:10">
      <c r="A895" s="661"/>
      <c r="B895" s="662" t="s">
        <v>450</v>
      </c>
      <c r="C895" s="498">
        <v>1</v>
      </c>
      <c r="D895" s="499" t="s">
        <v>44</v>
      </c>
      <c r="E895" s="500">
        <f>SUM(F894)*20%</f>
        <v>751640</v>
      </c>
      <c r="F895" s="663">
        <f>E895*C895</f>
        <v>751640</v>
      </c>
      <c r="G895" s="672">
        <v>0</v>
      </c>
      <c r="H895" s="660">
        <f>G895*C895</f>
        <v>0</v>
      </c>
      <c r="I895" s="665">
        <f>H895+F895</f>
        <v>751640</v>
      </c>
      <c r="J895" s="660"/>
    </row>
    <row r="896" spans="1:10">
      <c r="A896" s="661" t="s">
        <v>1115</v>
      </c>
      <c r="B896" s="666" t="s">
        <v>1277</v>
      </c>
      <c r="C896" s="498"/>
      <c r="D896" s="526"/>
      <c r="E896" s="527"/>
      <c r="F896" s="527"/>
      <c r="G896" s="672"/>
      <c r="H896" s="528"/>
      <c r="I896" s="528"/>
      <c r="J896" s="660"/>
    </row>
    <row r="897" spans="1:10">
      <c r="A897" s="661"/>
      <c r="B897" s="927" t="s">
        <v>1365</v>
      </c>
      <c r="C897" s="498">
        <f>'Architecture '!DR286</f>
        <v>43</v>
      </c>
      <c r="D897" s="526" t="s">
        <v>16</v>
      </c>
      <c r="E897" s="527">
        <v>2500</v>
      </c>
      <c r="F897" s="527">
        <f>E897*C897</f>
        <v>107500</v>
      </c>
      <c r="G897" s="672">
        <f>E897*0.4</f>
        <v>1000</v>
      </c>
      <c r="H897" s="528">
        <f>G897*C897</f>
        <v>43000</v>
      </c>
      <c r="I897" s="528">
        <f>H897+F897</f>
        <v>150500</v>
      </c>
      <c r="J897" s="660"/>
    </row>
    <row r="898" spans="1:10">
      <c r="A898" s="661"/>
      <c r="B898" s="662" t="s">
        <v>450</v>
      </c>
      <c r="C898" s="498">
        <v>1</v>
      </c>
      <c r="D898" s="499" t="s">
        <v>451</v>
      </c>
      <c r="E898" s="500">
        <f>SUM(F896:F897)*20%</f>
        <v>21500</v>
      </c>
      <c r="F898" s="663">
        <f>E898*C898</f>
        <v>21500</v>
      </c>
      <c r="G898" s="672">
        <v>0</v>
      </c>
      <c r="H898" s="660">
        <f>G898*C898</f>
        <v>0</v>
      </c>
      <c r="I898" s="665">
        <f>H898+F898</f>
        <v>21500</v>
      </c>
      <c r="J898" s="660"/>
    </row>
    <row r="899" spans="1:10">
      <c r="A899" s="661" t="s">
        <v>1116</v>
      </c>
      <c r="B899" s="666" t="s">
        <v>1057</v>
      </c>
      <c r="C899" s="498"/>
      <c r="D899" s="499"/>
      <c r="E899" s="500"/>
      <c r="F899" s="524"/>
      <c r="G899" s="664"/>
      <c r="H899" s="490"/>
      <c r="I899" s="490"/>
      <c r="J899" s="660"/>
    </row>
    <row r="900" spans="1:10" ht="48">
      <c r="A900" s="661"/>
      <c r="B900" s="927" t="s">
        <v>1464</v>
      </c>
      <c r="C900" s="867">
        <v>1</v>
      </c>
      <c r="D900" s="667" t="s">
        <v>44</v>
      </c>
      <c r="E900" s="527">
        <f>ROUNDUP((6000*49)+(3000*31)+(18*800),0)</f>
        <v>401400</v>
      </c>
      <c r="F900" s="527">
        <f>E900*C900</f>
        <v>401400</v>
      </c>
      <c r="G900" s="669">
        <f>E900*0.25</f>
        <v>100350</v>
      </c>
      <c r="H900" s="528">
        <f>G900*C900</f>
        <v>100350</v>
      </c>
      <c r="I900" s="528">
        <f>H900+F900</f>
        <v>501750</v>
      </c>
      <c r="J900" s="660"/>
    </row>
    <row r="901" spans="1:10">
      <c r="A901" s="661"/>
      <c r="B901" s="662" t="s">
        <v>450</v>
      </c>
      <c r="C901" s="498">
        <v>1</v>
      </c>
      <c r="D901" s="499" t="s">
        <v>44</v>
      </c>
      <c r="E901" s="500">
        <f>SUM(F900)*20%</f>
        <v>80280</v>
      </c>
      <c r="F901" s="663">
        <f>E901*C901</f>
        <v>80280</v>
      </c>
      <c r="G901" s="672">
        <v>0</v>
      </c>
      <c r="H901" s="660">
        <f>G901*C901</f>
        <v>0</v>
      </c>
      <c r="I901" s="665">
        <f>H901+F901</f>
        <v>80280</v>
      </c>
      <c r="J901" s="660"/>
    </row>
    <row r="902" spans="1:10">
      <c r="A902" s="661"/>
      <c r="B902" s="662"/>
      <c r="C902" s="498"/>
      <c r="D902" s="499"/>
      <c r="E902" s="500"/>
      <c r="F902" s="524"/>
      <c r="G902" s="672"/>
      <c r="H902" s="490"/>
      <c r="I902" s="490"/>
      <c r="J902" s="660"/>
    </row>
    <row r="903" spans="1:10">
      <c r="A903" s="838"/>
      <c r="B903" s="833" t="s">
        <v>1290</v>
      </c>
      <c r="C903" s="840"/>
      <c r="D903" s="841"/>
      <c r="E903" s="837"/>
      <c r="F903" s="842">
        <f>SUM(F812:F902)</f>
        <v>12678476</v>
      </c>
      <c r="G903" s="842"/>
      <c r="H903" s="842">
        <f>SUM(H812:H902)</f>
        <v>3956331</v>
      </c>
      <c r="I903" s="842">
        <f>SUM(I812:I902)</f>
        <v>16634807</v>
      </c>
      <c r="J903" s="837"/>
    </row>
    <row r="904" spans="1:10">
      <c r="A904" s="661"/>
      <c r="B904" s="662"/>
      <c r="C904" s="498"/>
      <c r="D904" s="499"/>
      <c r="E904" s="500"/>
      <c r="F904" s="524"/>
      <c r="G904" s="664"/>
      <c r="H904" s="490"/>
      <c r="I904" s="490"/>
      <c r="J904" s="660"/>
    </row>
    <row r="905" spans="1:10">
      <c r="A905" s="661"/>
      <c r="B905" s="785" t="s">
        <v>1189</v>
      </c>
      <c r="C905" s="506"/>
      <c r="D905" s="505"/>
      <c r="E905" s="489"/>
      <c r="F905" s="660"/>
      <c r="G905" s="672"/>
      <c r="H905" s="665"/>
      <c r="I905" s="665"/>
      <c r="J905" s="660"/>
    </row>
    <row r="906" spans="1:10">
      <c r="A906" s="504">
        <v>3.11</v>
      </c>
      <c r="B906" s="493" t="s">
        <v>1198</v>
      </c>
      <c r="C906" s="506"/>
      <c r="D906" s="505"/>
      <c r="E906" s="489"/>
      <c r="F906" s="489"/>
      <c r="G906" s="507"/>
      <c r="H906" s="490"/>
      <c r="I906" s="490"/>
      <c r="J906" s="489"/>
    </row>
    <row r="907" spans="1:10">
      <c r="A907" s="661" t="s">
        <v>1117</v>
      </c>
      <c r="B907" s="919" t="s">
        <v>29</v>
      </c>
      <c r="C907" s="506"/>
      <c r="D907" s="505"/>
      <c r="E907" s="489"/>
      <c r="F907" s="660"/>
      <c r="G907" s="672"/>
      <c r="H907" s="665"/>
      <c r="I907" s="665"/>
      <c r="J907" s="489"/>
    </row>
    <row r="908" spans="1:10">
      <c r="A908" s="661"/>
      <c r="B908" s="863" t="s">
        <v>430</v>
      </c>
      <c r="C908" s="506">
        <f>'Architecture '!C370-(C944+C946)</f>
        <v>1290</v>
      </c>
      <c r="D908" s="505" t="s">
        <v>16</v>
      </c>
      <c r="E908" s="489">
        <v>95</v>
      </c>
      <c r="F908" s="660">
        <f t="shared" ref="F908:F914" si="71">E908*C908</f>
        <v>122550</v>
      </c>
      <c r="G908" s="672">
        <v>82</v>
      </c>
      <c r="H908" s="665">
        <f t="shared" ref="H908:H914" si="72">G908*C908</f>
        <v>105780</v>
      </c>
      <c r="I908" s="665">
        <f t="shared" ref="I908:I914" si="73">H908+F908</f>
        <v>228330</v>
      </c>
      <c r="J908" s="489"/>
    </row>
    <row r="909" spans="1:10">
      <c r="A909" s="661"/>
      <c r="B909" s="863" t="s">
        <v>1786</v>
      </c>
      <c r="C909" s="506">
        <f>'Architecture '!D370-(C937+C954)</f>
        <v>2530</v>
      </c>
      <c r="D909" s="505" t="s">
        <v>16</v>
      </c>
      <c r="E909" s="489">
        <v>350</v>
      </c>
      <c r="F909" s="660">
        <f t="shared" si="71"/>
        <v>885500</v>
      </c>
      <c r="G909" s="672">
        <v>198</v>
      </c>
      <c r="H909" s="665">
        <f t="shared" si="72"/>
        <v>500940</v>
      </c>
      <c r="I909" s="665">
        <f t="shared" si="73"/>
        <v>1386440</v>
      </c>
      <c r="J909" s="489"/>
    </row>
    <row r="910" spans="1:10">
      <c r="A910" s="661"/>
      <c r="B910" s="926" t="s">
        <v>1788</v>
      </c>
      <c r="C910" s="506">
        <f>'Architecture '!E370</f>
        <v>144</v>
      </c>
      <c r="D910" s="505" t="s">
        <v>16</v>
      </c>
      <c r="E910" s="489">
        <v>560</v>
      </c>
      <c r="F910" s="660">
        <f t="shared" si="71"/>
        <v>80640</v>
      </c>
      <c r="G910" s="672">
        <v>250</v>
      </c>
      <c r="H910" s="665">
        <f t="shared" si="72"/>
        <v>36000</v>
      </c>
      <c r="I910" s="665">
        <f t="shared" si="73"/>
        <v>116640</v>
      </c>
      <c r="J910" s="489"/>
    </row>
    <row r="911" spans="1:10">
      <c r="A911" s="661"/>
      <c r="B911" s="863" t="s">
        <v>1787</v>
      </c>
      <c r="C911" s="506">
        <f>'Architecture '!F370-C961</f>
        <v>59</v>
      </c>
      <c r="D911" s="505" t="s">
        <v>16</v>
      </c>
      <c r="E911" s="489">
        <v>450</v>
      </c>
      <c r="F911" s="660">
        <f t="shared" si="71"/>
        <v>26550</v>
      </c>
      <c r="G911" s="672">
        <v>150</v>
      </c>
      <c r="H911" s="665">
        <f t="shared" si="72"/>
        <v>8850</v>
      </c>
      <c r="I911" s="665">
        <f t="shared" si="73"/>
        <v>35400</v>
      </c>
      <c r="J911" s="489"/>
    </row>
    <row r="912" spans="1:10">
      <c r="A912" s="661"/>
      <c r="B912" s="863" t="s">
        <v>431</v>
      </c>
      <c r="C912" s="506">
        <f>'Architecture '!G370</f>
        <v>2740</v>
      </c>
      <c r="D912" s="532" t="s">
        <v>16</v>
      </c>
      <c r="E912" s="489">
        <v>120</v>
      </c>
      <c r="F912" s="683">
        <f t="shared" si="71"/>
        <v>328800</v>
      </c>
      <c r="G912" s="672">
        <v>61</v>
      </c>
      <c r="H912" s="684">
        <f t="shared" si="72"/>
        <v>167140</v>
      </c>
      <c r="I912" s="684">
        <f t="shared" si="73"/>
        <v>495940</v>
      </c>
      <c r="J912" s="489"/>
    </row>
    <row r="913" spans="1:10">
      <c r="A913" s="661"/>
      <c r="B913" s="863" t="s">
        <v>1326</v>
      </c>
      <c r="C913" s="506">
        <f>'Architecture '!H370</f>
        <v>47</v>
      </c>
      <c r="D913" s="505" t="s">
        <v>16</v>
      </c>
      <c r="E913" s="489">
        <v>101</v>
      </c>
      <c r="F913" s="683">
        <f t="shared" si="71"/>
        <v>4747</v>
      </c>
      <c r="G913" s="672">
        <v>82</v>
      </c>
      <c r="H913" s="684">
        <f t="shared" si="72"/>
        <v>3854</v>
      </c>
      <c r="I913" s="684">
        <f t="shared" si="73"/>
        <v>8601</v>
      </c>
      <c r="J913" s="489"/>
    </row>
    <row r="914" spans="1:10">
      <c r="A914" s="661"/>
      <c r="B914" s="863" t="s">
        <v>30</v>
      </c>
      <c r="C914" s="506">
        <f>C910</f>
        <v>144</v>
      </c>
      <c r="D914" s="505" t="s">
        <v>16</v>
      </c>
      <c r="E914" s="489">
        <v>83</v>
      </c>
      <c r="F914" s="660">
        <f t="shared" si="71"/>
        <v>11952</v>
      </c>
      <c r="G914" s="672">
        <v>82</v>
      </c>
      <c r="H914" s="665">
        <f t="shared" si="72"/>
        <v>11808</v>
      </c>
      <c r="I914" s="665">
        <f t="shared" si="73"/>
        <v>23760</v>
      </c>
      <c r="J914" s="489"/>
    </row>
    <row r="915" spans="1:10">
      <c r="A915" s="661" t="s">
        <v>1118</v>
      </c>
      <c r="B915" s="919" t="s">
        <v>31</v>
      </c>
      <c r="C915" s="506"/>
      <c r="D915" s="874"/>
      <c r="E915" s="489"/>
      <c r="F915" s="660"/>
      <c r="G915" s="672"/>
      <c r="H915" s="665"/>
      <c r="I915" s="665"/>
      <c r="J915" s="489"/>
    </row>
    <row r="916" spans="1:10">
      <c r="A916" s="661"/>
      <c r="B916" s="919" t="s">
        <v>32</v>
      </c>
      <c r="C916" s="506"/>
      <c r="D916" s="874"/>
      <c r="E916" s="489"/>
      <c r="F916" s="660"/>
      <c r="G916" s="672"/>
      <c r="H916" s="665"/>
      <c r="I916" s="665"/>
      <c r="J916" s="489"/>
    </row>
    <row r="917" spans="1:10">
      <c r="A917" s="661"/>
      <c r="B917" s="863" t="s">
        <v>433</v>
      </c>
      <c r="C917" s="498">
        <f>'Architecture '!U370</f>
        <v>5006</v>
      </c>
      <c r="D917" s="874" t="s">
        <v>16</v>
      </c>
      <c r="E917" s="489">
        <v>285</v>
      </c>
      <c r="F917" s="660">
        <f>E917*C917</f>
        <v>1426710</v>
      </c>
      <c r="G917" s="672">
        <v>89</v>
      </c>
      <c r="H917" s="665">
        <f>G917*C917</f>
        <v>445534</v>
      </c>
      <c r="I917" s="665">
        <f>H917+F917</f>
        <v>1872244</v>
      </c>
      <c r="J917" s="489"/>
    </row>
    <row r="918" spans="1:10">
      <c r="A918" s="661"/>
      <c r="B918" s="863" t="s">
        <v>1428</v>
      </c>
      <c r="C918" s="506">
        <f>'Architecture '!V370</f>
        <v>2553</v>
      </c>
      <c r="D918" s="874" t="s">
        <v>16</v>
      </c>
      <c r="E918" s="489">
        <v>584</v>
      </c>
      <c r="F918" s="660">
        <f>E918*C918</f>
        <v>1490952</v>
      </c>
      <c r="G918" s="672">
        <v>167</v>
      </c>
      <c r="H918" s="665">
        <f>G918*C918</f>
        <v>426351</v>
      </c>
      <c r="I918" s="665">
        <f>H918+F918</f>
        <v>1917303</v>
      </c>
      <c r="J918" s="489"/>
    </row>
    <row r="919" spans="1:10">
      <c r="A919" s="661"/>
      <c r="B919" s="863" t="s">
        <v>1634</v>
      </c>
      <c r="C919" s="498">
        <f>'Architecture '!AA370</f>
        <v>519</v>
      </c>
      <c r="D919" s="874" t="s">
        <v>16</v>
      </c>
      <c r="E919" s="489">
        <v>400</v>
      </c>
      <c r="F919" s="660">
        <f>E919*C919</f>
        <v>207600</v>
      </c>
      <c r="G919" s="672">
        <v>250</v>
      </c>
      <c r="H919" s="665">
        <f>G919*C919</f>
        <v>129750</v>
      </c>
      <c r="I919" s="665">
        <f>H919+F919</f>
        <v>337350</v>
      </c>
      <c r="J919" s="489"/>
    </row>
    <row r="920" spans="1:10">
      <c r="A920" s="661"/>
      <c r="B920" s="863" t="s">
        <v>33</v>
      </c>
      <c r="C920" s="498">
        <f>'Architecture '!AQ370+'Architecture '!AR370+'Architecture '!AS370+'Architecture '!AT370</f>
        <v>1631</v>
      </c>
      <c r="D920" s="874" t="s">
        <v>14</v>
      </c>
      <c r="E920" s="489">
        <v>70</v>
      </c>
      <c r="F920" s="660">
        <f>E920*C920</f>
        <v>114170</v>
      </c>
      <c r="G920" s="672">
        <v>44</v>
      </c>
      <c r="H920" s="665">
        <f>G920*C920</f>
        <v>71764</v>
      </c>
      <c r="I920" s="665">
        <f>H920+F920</f>
        <v>185934</v>
      </c>
      <c r="J920" s="489"/>
    </row>
    <row r="921" spans="1:10">
      <c r="A921" s="661"/>
      <c r="B921" s="785" t="s">
        <v>34</v>
      </c>
      <c r="C921" s="506"/>
      <c r="D921" s="505"/>
      <c r="E921" s="489"/>
      <c r="F921" s="660"/>
      <c r="G921" s="672"/>
      <c r="H921" s="665"/>
      <c r="I921" s="665"/>
      <c r="J921" s="489"/>
    </row>
    <row r="922" spans="1:10">
      <c r="A922" s="661"/>
      <c r="B922" s="863" t="s">
        <v>1390</v>
      </c>
      <c r="C922" s="498">
        <f>'Architecture '!AD370</f>
        <v>13737</v>
      </c>
      <c r="D922" s="874" t="s">
        <v>16</v>
      </c>
      <c r="E922" s="489">
        <v>75</v>
      </c>
      <c r="F922" s="660">
        <f>E922*C922</f>
        <v>1030275</v>
      </c>
      <c r="G922" s="672">
        <v>82</v>
      </c>
      <c r="H922" s="665">
        <f>G922*C922</f>
        <v>1126434</v>
      </c>
      <c r="I922" s="665">
        <f>H922+F922</f>
        <v>2156709</v>
      </c>
      <c r="J922" s="489"/>
    </row>
    <row r="923" spans="1:10">
      <c r="A923" s="661"/>
      <c r="B923" s="863" t="s">
        <v>1427</v>
      </c>
      <c r="C923" s="506">
        <f>'Architecture '!AE370</f>
        <v>226</v>
      </c>
      <c r="D923" s="874" t="s">
        <v>16</v>
      </c>
      <c r="E923" s="489">
        <v>80</v>
      </c>
      <c r="F923" s="660">
        <f>E923*C923</f>
        <v>18080</v>
      </c>
      <c r="G923" s="672">
        <v>115</v>
      </c>
      <c r="H923" s="665">
        <f>G923*C923</f>
        <v>25990</v>
      </c>
      <c r="I923" s="665">
        <f>H923+F923</f>
        <v>44070</v>
      </c>
      <c r="J923" s="489"/>
    </row>
    <row r="924" spans="1:10">
      <c r="A924" s="661"/>
      <c r="B924" s="863" t="s">
        <v>1372</v>
      </c>
      <c r="C924" s="498">
        <f>'Architecture '!AG370</f>
        <v>657</v>
      </c>
      <c r="D924" s="874" t="s">
        <v>16</v>
      </c>
      <c r="E924" s="489">
        <v>750</v>
      </c>
      <c r="F924" s="660">
        <f>E924*C924</f>
        <v>492750</v>
      </c>
      <c r="G924" s="672">
        <v>250</v>
      </c>
      <c r="H924" s="665">
        <f>G924*C924</f>
        <v>164250</v>
      </c>
      <c r="I924" s="665">
        <f>H924+F924</f>
        <v>657000</v>
      </c>
      <c r="J924" s="489"/>
    </row>
    <row r="925" spans="1:10">
      <c r="A925" s="661"/>
      <c r="B925" s="863" t="s">
        <v>1832</v>
      </c>
      <c r="C925" s="506">
        <f>'Architecture '!AH370</f>
        <v>594</v>
      </c>
      <c r="D925" s="874" t="s">
        <v>16</v>
      </c>
      <c r="E925" s="489">
        <v>950</v>
      </c>
      <c r="F925" s="660">
        <f>E925*C925</f>
        <v>564300</v>
      </c>
      <c r="G925" s="672">
        <v>250</v>
      </c>
      <c r="H925" s="665">
        <f>G925*C925</f>
        <v>148500</v>
      </c>
      <c r="I925" s="665">
        <f>H925+F925</f>
        <v>712800</v>
      </c>
      <c r="J925" s="489"/>
    </row>
    <row r="926" spans="1:10">
      <c r="A926" s="661"/>
      <c r="B926" s="863" t="s">
        <v>1831</v>
      </c>
      <c r="C926" s="506">
        <f>'Architecture '!AI370</f>
        <v>519</v>
      </c>
      <c r="D926" s="874" t="s">
        <v>16</v>
      </c>
      <c r="E926" s="489">
        <v>795</v>
      </c>
      <c r="F926" s="660">
        <f>E926*C926</f>
        <v>412605</v>
      </c>
      <c r="G926" s="672">
        <v>140</v>
      </c>
      <c r="H926" s="665">
        <f>G926*C926</f>
        <v>72660</v>
      </c>
      <c r="I926" s="665">
        <f>H926+F926</f>
        <v>485265</v>
      </c>
      <c r="J926" s="489"/>
    </row>
    <row r="927" spans="1:10">
      <c r="A927" s="661" t="s">
        <v>1119</v>
      </c>
      <c r="B927" s="785" t="s">
        <v>35</v>
      </c>
      <c r="C927" s="506"/>
      <c r="D927" s="505"/>
      <c r="E927" s="489"/>
      <c r="F927" s="660"/>
      <c r="G927" s="672"/>
      <c r="H927" s="665"/>
      <c r="I927" s="665"/>
      <c r="J927" s="489"/>
    </row>
    <row r="928" spans="1:10">
      <c r="A928" s="518"/>
      <c r="B928" s="862" t="s">
        <v>1389</v>
      </c>
      <c r="C928" s="506">
        <f>C922</f>
        <v>13737</v>
      </c>
      <c r="D928" s="505" t="s">
        <v>16</v>
      </c>
      <c r="E928" s="489">
        <v>180</v>
      </c>
      <c r="F928" s="660">
        <f>E928*C928</f>
        <v>2472660</v>
      </c>
      <c r="G928" s="672">
        <v>50</v>
      </c>
      <c r="H928" s="665">
        <f>G928*C928</f>
        <v>686850</v>
      </c>
      <c r="I928" s="665">
        <f>H928+F928</f>
        <v>3159510</v>
      </c>
      <c r="J928" s="489"/>
    </row>
    <row r="929" spans="1:10">
      <c r="A929" s="518"/>
      <c r="B929" s="862" t="s">
        <v>1830</v>
      </c>
      <c r="C929" s="506">
        <f>'Architecture '!BB370</f>
        <v>519</v>
      </c>
      <c r="D929" s="505" t="s">
        <v>16</v>
      </c>
      <c r="E929" s="489">
        <v>180</v>
      </c>
      <c r="F929" s="660">
        <f>E929*C929</f>
        <v>93420</v>
      </c>
      <c r="G929" s="672">
        <v>50</v>
      </c>
      <c r="H929" s="665">
        <f>G929*C929</f>
        <v>25950</v>
      </c>
      <c r="I929" s="665">
        <f>H929+F929</f>
        <v>119370</v>
      </c>
      <c r="J929" s="489"/>
    </row>
    <row r="930" spans="1:10">
      <c r="A930" s="661" t="s">
        <v>1120</v>
      </c>
      <c r="B930" s="919" t="s">
        <v>36</v>
      </c>
      <c r="C930" s="506"/>
      <c r="D930" s="874"/>
      <c r="E930" s="489"/>
      <c r="F930" s="660"/>
      <c r="G930" s="672"/>
      <c r="H930" s="665"/>
      <c r="I930" s="665"/>
      <c r="J930" s="489"/>
    </row>
    <row r="931" spans="1:10">
      <c r="A931" s="685"/>
      <c r="B931" s="863" t="s">
        <v>37</v>
      </c>
      <c r="C931" s="498">
        <f>'Architecture '!AU370</f>
        <v>123</v>
      </c>
      <c r="D931" s="874" t="s">
        <v>16</v>
      </c>
      <c r="E931" s="489">
        <v>292</v>
      </c>
      <c r="F931" s="660">
        <f>E931*C931</f>
        <v>35916</v>
      </c>
      <c r="G931" s="672">
        <v>75</v>
      </c>
      <c r="H931" s="665">
        <f>G931*C931</f>
        <v>9225</v>
      </c>
      <c r="I931" s="665">
        <f>H931+F931</f>
        <v>45141</v>
      </c>
      <c r="J931" s="489"/>
    </row>
    <row r="932" spans="1:10">
      <c r="A932" s="685"/>
      <c r="B932" s="863" t="s">
        <v>38</v>
      </c>
      <c r="C932" s="498">
        <f>'Architecture '!AV370</f>
        <v>144</v>
      </c>
      <c r="D932" s="874" t="s">
        <v>16</v>
      </c>
      <c r="E932" s="489">
        <v>312</v>
      </c>
      <c r="F932" s="660">
        <f>E932*C932</f>
        <v>44928</v>
      </c>
      <c r="G932" s="672">
        <v>75</v>
      </c>
      <c r="H932" s="665">
        <f>G932*C932</f>
        <v>10800</v>
      </c>
      <c r="I932" s="665">
        <f>H932+F932</f>
        <v>55728</v>
      </c>
      <c r="J932" s="489"/>
    </row>
    <row r="933" spans="1:10">
      <c r="A933" s="685"/>
      <c r="B933" s="863" t="s">
        <v>458</v>
      </c>
      <c r="C933" s="506">
        <f>'Architecture '!AW370</f>
        <v>1969</v>
      </c>
      <c r="D933" s="874" t="s">
        <v>16</v>
      </c>
      <c r="E933" s="489">
        <v>78</v>
      </c>
      <c r="F933" s="660">
        <f>E933*C933</f>
        <v>153582</v>
      </c>
      <c r="G933" s="672">
        <v>82</v>
      </c>
      <c r="H933" s="665">
        <f>G933*C933</f>
        <v>161458</v>
      </c>
      <c r="I933" s="665">
        <f>H933+F933</f>
        <v>315040</v>
      </c>
      <c r="J933" s="489"/>
    </row>
    <row r="934" spans="1:10">
      <c r="A934" s="685"/>
      <c r="B934" s="862" t="s">
        <v>39</v>
      </c>
      <c r="C934" s="498">
        <f>'Architecture '!BC370</f>
        <v>2236</v>
      </c>
      <c r="D934" s="874" t="s">
        <v>16</v>
      </c>
      <c r="E934" s="489">
        <v>33</v>
      </c>
      <c r="F934" s="660">
        <f>E934*C934</f>
        <v>73788</v>
      </c>
      <c r="G934" s="672">
        <v>31</v>
      </c>
      <c r="H934" s="665">
        <f>G934*C934</f>
        <v>69316</v>
      </c>
      <c r="I934" s="665">
        <f>H934+F934</f>
        <v>143104</v>
      </c>
      <c r="J934" s="489"/>
    </row>
    <row r="935" spans="1:10">
      <c r="A935" s="661" t="s">
        <v>1121</v>
      </c>
      <c r="B935" s="785" t="s">
        <v>1410</v>
      </c>
      <c r="C935" s="506"/>
      <c r="D935" s="505"/>
      <c r="E935" s="489"/>
      <c r="F935" s="660"/>
      <c r="G935" s="672"/>
      <c r="H935" s="665"/>
      <c r="I935" s="665"/>
      <c r="J935" s="489"/>
    </row>
    <row r="936" spans="1:10">
      <c r="A936" s="661" t="s">
        <v>1716</v>
      </c>
      <c r="B936" s="785" t="s">
        <v>1618</v>
      </c>
      <c r="C936" s="498"/>
      <c r="D936" s="499"/>
      <c r="E936" s="500"/>
      <c r="F936" s="663"/>
      <c r="G936" s="664"/>
      <c r="H936" s="665"/>
      <c r="I936" s="665"/>
      <c r="J936" s="489"/>
    </row>
    <row r="937" spans="1:10">
      <c r="A937" s="685"/>
      <c r="B937" s="862" t="s">
        <v>1786</v>
      </c>
      <c r="C937" s="506">
        <f>'Architecture '!D360</f>
        <v>29</v>
      </c>
      <c r="D937" s="505" t="s">
        <v>16</v>
      </c>
      <c r="E937" s="489">
        <v>350</v>
      </c>
      <c r="F937" s="660">
        <f>E937*C937</f>
        <v>10150</v>
      </c>
      <c r="G937" s="672">
        <v>198</v>
      </c>
      <c r="H937" s="665">
        <f>G937*C937</f>
        <v>5742</v>
      </c>
      <c r="I937" s="665">
        <f>H937+F937</f>
        <v>15892</v>
      </c>
      <c r="J937" s="489"/>
    </row>
    <row r="938" spans="1:10">
      <c r="A938" s="661" t="s">
        <v>1717</v>
      </c>
      <c r="B938" s="785" t="s">
        <v>1619</v>
      </c>
      <c r="C938" s="506"/>
      <c r="D938" s="505"/>
      <c r="E938" s="489"/>
      <c r="F938" s="660"/>
      <c r="G938" s="672"/>
      <c r="H938" s="665"/>
      <c r="I938" s="665"/>
      <c r="J938" s="489"/>
    </row>
    <row r="939" spans="1:10">
      <c r="A939" s="685"/>
      <c r="B939" s="662" t="s">
        <v>1463</v>
      </c>
      <c r="C939" s="506">
        <f>ROUNDUP(4.57+2.55+4.3+0.5,0)</f>
        <v>12</v>
      </c>
      <c r="D939" s="499" t="s">
        <v>73</v>
      </c>
      <c r="E939" s="524">
        <f>ROUNDUP(3200/6,0)</f>
        <v>534</v>
      </c>
      <c r="F939" s="663">
        <f>E939*C939</f>
        <v>6408</v>
      </c>
      <c r="G939" s="524">
        <f>ROUNDUP(900/6,0)</f>
        <v>150</v>
      </c>
      <c r="H939" s="665">
        <f>G939*C939</f>
        <v>1800</v>
      </c>
      <c r="I939" s="665">
        <f>H939+F939</f>
        <v>8208</v>
      </c>
      <c r="J939" s="489"/>
    </row>
    <row r="940" spans="1:10">
      <c r="A940" s="685"/>
      <c r="B940" s="662" t="s">
        <v>1613</v>
      </c>
      <c r="C940" s="506">
        <f>ROUNDUP(0.15*15,0)</f>
        <v>3</v>
      </c>
      <c r="D940" s="499" t="s">
        <v>73</v>
      </c>
      <c r="E940" s="524">
        <f>ROUNDUP(2500/6,0)</f>
        <v>417</v>
      </c>
      <c r="F940" s="663">
        <f>E940*C940</f>
        <v>1251</v>
      </c>
      <c r="G940" s="524">
        <f>ROUNDUP(450/6,0)</f>
        <v>75</v>
      </c>
      <c r="H940" s="665">
        <f>G940*C940</f>
        <v>225</v>
      </c>
      <c r="I940" s="665">
        <f>H940+F940</f>
        <v>1476</v>
      </c>
      <c r="J940" s="489"/>
    </row>
    <row r="941" spans="1:10">
      <c r="A941" s="685"/>
      <c r="B941" s="662" t="s">
        <v>448</v>
      </c>
      <c r="C941" s="498">
        <v>15</v>
      </c>
      <c r="D941" s="499" t="s">
        <v>449</v>
      </c>
      <c r="E941" s="501">
        <v>350</v>
      </c>
      <c r="F941" s="897">
        <f>E941*C941</f>
        <v>5250</v>
      </c>
      <c r="G941" s="523">
        <v>0</v>
      </c>
      <c r="H941" s="898">
        <f>G941*C941</f>
        <v>0</v>
      </c>
      <c r="I941" s="898">
        <f>H941+F941</f>
        <v>5250</v>
      </c>
      <c r="J941" s="489"/>
    </row>
    <row r="942" spans="1:10">
      <c r="A942" s="685"/>
      <c r="B942" s="662" t="s">
        <v>450</v>
      </c>
      <c r="C942" s="498">
        <v>1</v>
      </c>
      <c r="D942" s="499" t="s">
        <v>451</v>
      </c>
      <c r="E942" s="500">
        <f>SUM(F939:F941)*30%</f>
        <v>3872.7</v>
      </c>
      <c r="F942" s="663">
        <f>E942*C942</f>
        <v>3872.7</v>
      </c>
      <c r="G942" s="672">
        <v>0</v>
      </c>
      <c r="H942" s="660">
        <f>G942*C942</f>
        <v>0</v>
      </c>
      <c r="I942" s="665">
        <f>H942+F942</f>
        <v>3872.7</v>
      </c>
      <c r="J942" s="489"/>
    </row>
    <row r="943" spans="1:10">
      <c r="A943" s="661" t="s">
        <v>1718</v>
      </c>
      <c r="B943" s="785" t="s">
        <v>1334</v>
      </c>
      <c r="C943" s="498"/>
      <c r="D943" s="499"/>
      <c r="E943" s="500"/>
      <c r="F943" s="663"/>
      <c r="G943" s="672"/>
      <c r="H943" s="665"/>
      <c r="I943" s="665"/>
      <c r="J943" s="489"/>
    </row>
    <row r="944" spans="1:10">
      <c r="A944" s="685"/>
      <c r="B944" s="862" t="s">
        <v>1616</v>
      </c>
      <c r="C944" s="506">
        <f>'Architecture '!C361</f>
        <v>25</v>
      </c>
      <c r="D944" s="505" t="s">
        <v>16</v>
      </c>
      <c r="E944" s="489">
        <v>95</v>
      </c>
      <c r="F944" s="660">
        <f>E944*C944</f>
        <v>2375</v>
      </c>
      <c r="G944" s="672">
        <v>82</v>
      </c>
      <c r="H944" s="665">
        <f>G944*C944</f>
        <v>2050</v>
      </c>
      <c r="I944" s="665">
        <f>H944+F944</f>
        <v>4425</v>
      </c>
      <c r="J944" s="489"/>
    </row>
    <row r="945" spans="1:10">
      <c r="A945" s="661" t="s">
        <v>1719</v>
      </c>
      <c r="B945" s="785" t="s">
        <v>1620</v>
      </c>
      <c r="C945" s="498"/>
      <c r="D945" s="499"/>
      <c r="E945" s="500"/>
      <c r="F945" s="663"/>
      <c r="G945" s="672"/>
      <c r="H945" s="665"/>
      <c r="I945" s="665"/>
      <c r="J945" s="489"/>
    </row>
    <row r="946" spans="1:10">
      <c r="A946" s="685"/>
      <c r="B946" s="862" t="s">
        <v>1616</v>
      </c>
      <c r="C946" s="506">
        <f>'Architecture '!C362</f>
        <v>26</v>
      </c>
      <c r="D946" s="505" t="s">
        <v>16</v>
      </c>
      <c r="E946" s="489">
        <v>95</v>
      </c>
      <c r="F946" s="660">
        <f>E946*C946</f>
        <v>2470</v>
      </c>
      <c r="G946" s="672">
        <v>82</v>
      </c>
      <c r="H946" s="665">
        <f>G946*C946</f>
        <v>2132</v>
      </c>
      <c r="I946" s="665">
        <f>H946+F946</f>
        <v>4602</v>
      </c>
      <c r="J946" s="489"/>
    </row>
    <row r="947" spans="1:10">
      <c r="A947" s="685"/>
      <c r="B947" s="862" t="s">
        <v>1615</v>
      </c>
      <c r="C947" s="506">
        <f>ROUNDUP(32*1.5,0)</f>
        <v>48</v>
      </c>
      <c r="D947" s="505" t="s">
        <v>14</v>
      </c>
      <c r="E947" s="489">
        <v>350</v>
      </c>
      <c r="F947" s="660">
        <f>E947*C947</f>
        <v>16800</v>
      </c>
      <c r="G947" s="672">
        <v>50</v>
      </c>
      <c r="H947" s="665">
        <f>G947*C947</f>
        <v>2400</v>
      </c>
      <c r="I947" s="665">
        <f>H947+F947</f>
        <v>19200</v>
      </c>
      <c r="J947" s="489"/>
    </row>
    <row r="948" spans="1:10">
      <c r="A948" s="661" t="s">
        <v>1720</v>
      </c>
      <c r="B948" s="785" t="s">
        <v>1621</v>
      </c>
      <c r="C948" s="506"/>
      <c r="D948" s="505"/>
      <c r="E948" s="489"/>
      <c r="F948" s="660"/>
      <c r="G948" s="672"/>
      <c r="H948" s="665"/>
      <c r="I948" s="665"/>
      <c r="J948" s="489"/>
    </row>
    <row r="949" spans="1:10">
      <c r="A949" s="685"/>
      <c r="B949" s="862" t="s">
        <v>1397</v>
      </c>
      <c r="C949" s="506">
        <f>ROUNDUP((0.1+4.88+0.6+4.8)*7.01,0)</f>
        <v>73</v>
      </c>
      <c r="D949" s="505" t="s">
        <v>19</v>
      </c>
      <c r="E949" s="489">
        <v>28</v>
      </c>
      <c r="F949" s="660">
        <f>E949*C949</f>
        <v>2044</v>
      </c>
      <c r="G949" s="672">
        <v>12</v>
      </c>
      <c r="H949" s="665">
        <f>G949*C949</f>
        <v>876</v>
      </c>
      <c r="I949" s="665">
        <f>H949+F949</f>
        <v>2920</v>
      </c>
      <c r="J949" s="489"/>
    </row>
    <row r="950" spans="1:10">
      <c r="A950" s="685"/>
      <c r="B950" s="862" t="s">
        <v>1398</v>
      </c>
      <c r="C950" s="506">
        <f>ROUNDUP((((0.85*2)*18)+((0.1+4.88+0.6+4.8)*2))*2.36,0)</f>
        <v>122</v>
      </c>
      <c r="D950" s="505" t="s">
        <v>19</v>
      </c>
      <c r="E950" s="489">
        <v>28</v>
      </c>
      <c r="F950" s="660">
        <f>E950*C950</f>
        <v>3416</v>
      </c>
      <c r="G950" s="672">
        <v>12</v>
      </c>
      <c r="H950" s="665">
        <f>G950*C950</f>
        <v>1464</v>
      </c>
      <c r="I950" s="665">
        <f>H950+F950</f>
        <v>4880</v>
      </c>
      <c r="J950" s="489"/>
    </row>
    <row r="951" spans="1:10">
      <c r="A951" s="685"/>
      <c r="B951" s="862" t="s">
        <v>1756</v>
      </c>
      <c r="C951" s="506">
        <f>ROUNDUP(((0.1+0.05+0.1+0.05)*(0.1+4.88+0.6+4.8))+((0.05+0.05+0.006+0.006)*(((0.85*2)*18)+((0.1+4.88+0.6+4.8))*2)),0)</f>
        <v>9</v>
      </c>
      <c r="D951" s="505" t="s">
        <v>16</v>
      </c>
      <c r="E951" s="489">
        <v>58</v>
      </c>
      <c r="F951" s="660">
        <f>E951*C951</f>
        <v>522</v>
      </c>
      <c r="G951" s="672">
        <v>35</v>
      </c>
      <c r="H951" s="665">
        <f>G951*C951</f>
        <v>315</v>
      </c>
      <c r="I951" s="665">
        <f>H951+F951</f>
        <v>837</v>
      </c>
      <c r="J951" s="489"/>
    </row>
    <row r="952" spans="1:10">
      <c r="A952" s="685"/>
      <c r="B952" s="662" t="s">
        <v>450</v>
      </c>
      <c r="C952" s="498">
        <v>1</v>
      </c>
      <c r="D952" s="499" t="s">
        <v>44</v>
      </c>
      <c r="E952" s="500">
        <f>SUM(F949:F951)*20%</f>
        <v>1196.4000000000001</v>
      </c>
      <c r="F952" s="663">
        <f>E952*C952</f>
        <v>1196.4000000000001</v>
      </c>
      <c r="G952" s="664">
        <v>0</v>
      </c>
      <c r="H952" s="665">
        <f>G952*C952</f>
        <v>0</v>
      </c>
      <c r="I952" s="665">
        <f>H952+F952</f>
        <v>1196.4000000000001</v>
      </c>
      <c r="J952" s="489"/>
    </row>
    <row r="953" spans="1:10">
      <c r="A953" s="661" t="s">
        <v>1721</v>
      </c>
      <c r="B953" s="785" t="s">
        <v>1622</v>
      </c>
      <c r="C953" s="498"/>
      <c r="D953" s="499"/>
      <c r="E953" s="500"/>
      <c r="F953" s="663"/>
      <c r="G953" s="672"/>
      <c r="H953" s="665"/>
      <c r="I953" s="665"/>
      <c r="J953" s="489"/>
    </row>
    <row r="954" spans="1:10">
      <c r="A954" s="685"/>
      <c r="B954" s="862" t="s">
        <v>1790</v>
      </c>
      <c r="C954" s="506">
        <f>'Architecture '!D364</f>
        <v>34</v>
      </c>
      <c r="D954" s="505" t="s">
        <v>16</v>
      </c>
      <c r="E954" s="489">
        <v>350</v>
      </c>
      <c r="F954" s="660">
        <f>E954*C954</f>
        <v>11900</v>
      </c>
      <c r="G954" s="672">
        <v>198</v>
      </c>
      <c r="H954" s="665">
        <f>G954*C954</f>
        <v>6732</v>
      </c>
      <c r="I954" s="665">
        <f>H954+F954</f>
        <v>18632</v>
      </c>
      <c r="J954" s="489"/>
    </row>
    <row r="955" spans="1:10">
      <c r="A955" s="661" t="s">
        <v>1722</v>
      </c>
      <c r="B955" s="785" t="s">
        <v>1623</v>
      </c>
      <c r="C955" s="506"/>
      <c r="D955" s="505"/>
      <c r="E955" s="489"/>
      <c r="F955" s="660"/>
      <c r="G955" s="672"/>
      <c r="H955" s="665"/>
      <c r="I955" s="665"/>
      <c r="J955" s="489"/>
    </row>
    <row r="956" spans="1:10">
      <c r="A956" s="685"/>
      <c r="B956" s="862" t="s">
        <v>1397</v>
      </c>
      <c r="C956" s="506">
        <f>ROUNDUP((0.1+4.3+0.6+4.3)*7.01,0)</f>
        <v>66</v>
      </c>
      <c r="D956" s="505" t="s">
        <v>19</v>
      </c>
      <c r="E956" s="489">
        <v>28</v>
      </c>
      <c r="F956" s="660">
        <f>E956*C956</f>
        <v>1848</v>
      </c>
      <c r="G956" s="672">
        <v>12</v>
      </c>
      <c r="H956" s="665">
        <f>G956*C956</f>
        <v>792</v>
      </c>
      <c r="I956" s="665">
        <f>H956+F956</f>
        <v>2640</v>
      </c>
      <c r="J956" s="489"/>
    </row>
    <row r="957" spans="1:10">
      <c r="A957" s="685"/>
      <c r="B957" s="862" t="s">
        <v>1398</v>
      </c>
      <c r="C957" s="506">
        <f>ROUNDUP((((0.85*2)*16)+((0.1+4.3+0.6+4.3)*2))*2.36,0)</f>
        <v>109</v>
      </c>
      <c r="D957" s="505" t="s">
        <v>19</v>
      </c>
      <c r="E957" s="489">
        <v>28</v>
      </c>
      <c r="F957" s="660">
        <f>E957*C957</f>
        <v>3052</v>
      </c>
      <c r="G957" s="672">
        <v>12</v>
      </c>
      <c r="H957" s="665">
        <f>G957*C957</f>
        <v>1308</v>
      </c>
      <c r="I957" s="665">
        <f>H957+F957</f>
        <v>4360</v>
      </c>
      <c r="J957" s="489"/>
    </row>
    <row r="958" spans="1:10">
      <c r="A958" s="685"/>
      <c r="B958" s="862" t="s">
        <v>1756</v>
      </c>
      <c r="C958" s="506">
        <f>ROUNDUP(((0.1+0.05+0.1+0.05)*(0.1+4.3+0.6+4.3))+((0.05+0.05+0.006+0.006)*(((0.85*2)*16)+((0.1+4.3+0.6+4.3))*2)),0)</f>
        <v>8</v>
      </c>
      <c r="D958" s="505" t="s">
        <v>16</v>
      </c>
      <c r="E958" s="489">
        <v>58</v>
      </c>
      <c r="F958" s="660">
        <f>E958*C958</f>
        <v>464</v>
      </c>
      <c r="G958" s="672">
        <v>35</v>
      </c>
      <c r="H958" s="665">
        <f>G958*C958</f>
        <v>280</v>
      </c>
      <c r="I958" s="665">
        <f>H958+F958</f>
        <v>744</v>
      </c>
      <c r="J958" s="489"/>
    </row>
    <row r="959" spans="1:10">
      <c r="A959" s="685"/>
      <c r="B959" s="662" t="s">
        <v>450</v>
      </c>
      <c r="C959" s="498">
        <v>1</v>
      </c>
      <c r="D959" s="499" t="s">
        <v>44</v>
      </c>
      <c r="E959" s="500">
        <f>SUM(F956:F958)*20%</f>
        <v>1072.8</v>
      </c>
      <c r="F959" s="663">
        <f>E959*C959</f>
        <v>1072.8</v>
      </c>
      <c r="G959" s="664">
        <v>0</v>
      </c>
      <c r="H959" s="665">
        <f>G959*C959</f>
        <v>0</v>
      </c>
      <c r="I959" s="665">
        <f>H959+F959</f>
        <v>1072.8</v>
      </c>
      <c r="J959" s="489"/>
    </row>
    <row r="960" spans="1:10">
      <c r="A960" s="661" t="s">
        <v>1723</v>
      </c>
      <c r="B960" s="785" t="s">
        <v>1342</v>
      </c>
      <c r="C960" s="498"/>
      <c r="D960" s="499"/>
      <c r="E960" s="500"/>
      <c r="F960" s="524"/>
      <c r="G960" s="523"/>
      <c r="H960" s="490"/>
      <c r="I960" s="490"/>
      <c r="J960" s="489"/>
    </row>
    <row r="961" spans="1:10">
      <c r="A961" s="685"/>
      <c r="B961" s="862" t="s">
        <v>1789</v>
      </c>
      <c r="C961" s="506">
        <f>'Architecture '!F366</f>
        <v>47</v>
      </c>
      <c r="D961" s="505" t="s">
        <v>16</v>
      </c>
      <c r="E961" s="489">
        <v>450</v>
      </c>
      <c r="F961" s="660">
        <f>E961*C961</f>
        <v>21150</v>
      </c>
      <c r="G961" s="672">
        <v>150</v>
      </c>
      <c r="H961" s="665">
        <f>G961*C961</f>
        <v>7050</v>
      </c>
      <c r="I961" s="665">
        <f>H961+F961</f>
        <v>28200</v>
      </c>
      <c r="J961" s="489"/>
    </row>
    <row r="962" spans="1:10">
      <c r="A962" s="661" t="s">
        <v>1724</v>
      </c>
      <c r="B962" s="785" t="s">
        <v>1617</v>
      </c>
      <c r="C962" s="506"/>
      <c r="D962" s="505"/>
      <c r="E962" s="489"/>
      <c r="F962" s="660"/>
      <c r="G962" s="672"/>
      <c r="H962" s="665"/>
      <c r="I962" s="665"/>
      <c r="J962" s="489"/>
    </row>
    <row r="963" spans="1:10">
      <c r="A963" s="685"/>
      <c r="B963" s="862" t="s">
        <v>1397</v>
      </c>
      <c r="C963" s="506">
        <f>ROUNDUP((3.27+8.17+4+4+1.5)*7.01,0)</f>
        <v>147</v>
      </c>
      <c r="D963" s="505" t="s">
        <v>19</v>
      </c>
      <c r="E963" s="489">
        <v>28</v>
      </c>
      <c r="F963" s="660">
        <f>E963*C963</f>
        <v>4116</v>
      </c>
      <c r="G963" s="672">
        <v>12</v>
      </c>
      <c r="H963" s="665">
        <f>G963*C963</f>
        <v>1764</v>
      </c>
      <c r="I963" s="665">
        <f>H963+F963</f>
        <v>5880</v>
      </c>
      <c r="J963" s="489"/>
    </row>
    <row r="964" spans="1:10">
      <c r="A964" s="685"/>
      <c r="B964" s="862" t="s">
        <v>1398</v>
      </c>
      <c r="C964" s="506">
        <f>ROUNDUP((((0.85*2)*22)+((3.27+8.17+4+4+1.5)*2))*2.36,0)</f>
        <v>188</v>
      </c>
      <c r="D964" s="505" t="s">
        <v>19</v>
      </c>
      <c r="E964" s="489">
        <v>28</v>
      </c>
      <c r="F964" s="660">
        <f>E964*C964</f>
        <v>5264</v>
      </c>
      <c r="G964" s="672">
        <v>12</v>
      </c>
      <c r="H964" s="665">
        <f>G964*C964</f>
        <v>2256</v>
      </c>
      <c r="I964" s="665">
        <f>H964+F964</f>
        <v>7520</v>
      </c>
      <c r="J964" s="489"/>
    </row>
    <row r="965" spans="1:10">
      <c r="A965" s="685"/>
      <c r="B965" s="862" t="s">
        <v>1756</v>
      </c>
      <c r="C965" s="506">
        <f>ROUNDUP(((0.1+0.05+0.1+0.05)*(3.27+8.17+4+4+1.5))+((0.05+0.05+0.006+0.006)*(((0.85*2)*22)+((3.27+8.17+4+4+1.5)*2))),0)</f>
        <v>16</v>
      </c>
      <c r="D965" s="505" t="s">
        <v>16</v>
      </c>
      <c r="E965" s="489">
        <v>58</v>
      </c>
      <c r="F965" s="660">
        <f>E965*C965</f>
        <v>928</v>
      </c>
      <c r="G965" s="672">
        <v>35</v>
      </c>
      <c r="H965" s="665">
        <f>G965*C965</f>
        <v>560</v>
      </c>
      <c r="I965" s="665">
        <f>H965+F965</f>
        <v>1488</v>
      </c>
      <c r="J965" s="489"/>
    </row>
    <row r="966" spans="1:10">
      <c r="A966" s="685"/>
      <c r="B966" s="662" t="s">
        <v>450</v>
      </c>
      <c r="C966" s="498">
        <v>1</v>
      </c>
      <c r="D966" s="499" t="s">
        <v>44</v>
      </c>
      <c r="E966" s="500">
        <f>SUM(F963:F965)*20%</f>
        <v>2061.6</v>
      </c>
      <c r="F966" s="663">
        <f>E966*C966</f>
        <v>2061.6</v>
      </c>
      <c r="G966" s="664">
        <v>0</v>
      </c>
      <c r="H966" s="665">
        <f>G966*C966</f>
        <v>0</v>
      </c>
      <c r="I966" s="665">
        <f>H966+F966</f>
        <v>2061.6</v>
      </c>
      <c r="J966" s="489"/>
    </row>
    <row r="967" spans="1:10">
      <c r="A967" s="661" t="s">
        <v>1122</v>
      </c>
      <c r="B967" s="785" t="s">
        <v>1647</v>
      </c>
      <c r="C967" s="506"/>
      <c r="D967" s="505"/>
      <c r="E967" s="489"/>
      <c r="F967" s="660"/>
      <c r="G967" s="672"/>
      <c r="H967" s="665"/>
      <c r="I967" s="665"/>
      <c r="J967" s="489"/>
    </row>
    <row r="968" spans="1:10">
      <c r="A968" s="661"/>
      <c r="B968" s="919" t="s">
        <v>40</v>
      </c>
      <c r="C968" s="506"/>
      <c r="D968" s="874"/>
      <c r="E968" s="517"/>
      <c r="F968" s="514"/>
      <c r="G968" s="520"/>
      <c r="H968" s="665"/>
      <c r="I968" s="665"/>
      <c r="J968" s="489"/>
    </row>
    <row r="969" spans="1:10">
      <c r="A969" s="685">
        <f>'Sannitary ware'!R7</f>
        <v>1</v>
      </c>
      <c r="B969" s="863" t="str">
        <f>'Sannitary ware'!S7</f>
        <v xml:space="preserve"> - โถสุขภัณฑ์สองชิ้น</v>
      </c>
      <c r="C969" s="506">
        <f>'Sannitary ware'!AA7</f>
        <v>20</v>
      </c>
      <c r="D969" s="874" t="s">
        <v>15</v>
      </c>
      <c r="E969" s="920">
        <f>'Sannitary ware'!AN7</f>
        <v>4850</v>
      </c>
      <c r="F969" s="660">
        <f t="shared" ref="F969:F999" si="74">E969*C969</f>
        <v>97000</v>
      </c>
      <c r="G969" s="921">
        <f>'Sannitary ware'!AP7</f>
        <v>450</v>
      </c>
      <c r="H969" s="665">
        <f t="shared" ref="H969:H1007" si="75">G969*C969</f>
        <v>9000</v>
      </c>
      <c r="I969" s="665">
        <f t="shared" ref="I969:I1007" si="76">H969+F969</f>
        <v>106000</v>
      </c>
      <c r="J969" s="660"/>
    </row>
    <row r="970" spans="1:10">
      <c r="A970" s="685">
        <f>'Sannitary ware'!R8</f>
        <v>1</v>
      </c>
      <c r="B970" s="863" t="str">
        <f>'Sannitary ware'!S8</f>
        <v xml:space="preserve">     • STOP VALVE 1/2" </v>
      </c>
      <c r="C970" s="506">
        <f>'Sannitary ware'!AA8</f>
        <v>20</v>
      </c>
      <c r="D970" s="874" t="s">
        <v>27</v>
      </c>
      <c r="E970" s="920">
        <f>'Sannitary ware'!AN8</f>
        <v>80</v>
      </c>
      <c r="F970" s="660">
        <f t="shared" si="74"/>
        <v>1600</v>
      </c>
      <c r="G970" s="921">
        <f>'Sannitary ware'!AP8</f>
        <v>35</v>
      </c>
      <c r="H970" s="665">
        <f t="shared" si="75"/>
        <v>700</v>
      </c>
      <c r="I970" s="665">
        <f t="shared" si="76"/>
        <v>2300</v>
      </c>
      <c r="J970" s="660"/>
    </row>
    <row r="971" spans="1:10">
      <c r="A971" s="685" t="str">
        <f>'Sannitary ware'!R9</f>
        <v>1'</v>
      </c>
      <c r="B971" s="863" t="str">
        <f>'Sannitary ware'!S9</f>
        <v xml:space="preserve"> - โถสุขภัณฑ์สองชิ้น  (ห้องน้ำผู้พิการ)</v>
      </c>
      <c r="C971" s="506">
        <f>'Sannitary ware'!AA9</f>
        <v>1</v>
      </c>
      <c r="D971" s="874" t="s">
        <v>15</v>
      </c>
      <c r="E971" s="920">
        <f>'Sannitary ware'!AN9</f>
        <v>4850</v>
      </c>
      <c r="F971" s="660">
        <f t="shared" si="74"/>
        <v>4850</v>
      </c>
      <c r="G971" s="921">
        <f>'Sannitary ware'!AP9</f>
        <v>450</v>
      </c>
      <c r="H971" s="665">
        <f t="shared" si="75"/>
        <v>450</v>
      </c>
      <c r="I971" s="665">
        <f t="shared" si="76"/>
        <v>5300</v>
      </c>
      <c r="J971" s="660"/>
    </row>
    <row r="972" spans="1:10">
      <c r="A972" s="685" t="str">
        <f>'Sannitary ware'!R10</f>
        <v>1'</v>
      </c>
      <c r="B972" s="863" t="str">
        <f>'Sannitary ware'!S10</f>
        <v xml:space="preserve">     • STOP VALVE 1/2" </v>
      </c>
      <c r="C972" s="506">
        <f>'Sannitary ware'!AA10</f>
        <v>1</v>
      </c>
      <c r="D972" s="874" t="s">
        <v>27</v>
      </c>
      <c r="E972" s="920">
        <f>'Sannitary ware'!AN10</f>
        <v>80</v>
      </c>
      <c r="F972" s="660">
        <f t="shared" si="74"/>
        <v>80</v>
      </c>
      <c r="G972" s="921">
        <f>'Sannitary ware'!AP10</f>
        <v>35</v>
      </c>
      <c r="H972" s="665">
        <f t="shared" si="75"/>
        <v>35</v>
      </c>
      <c r="I972" s="665">
        <f t="shared" si="76"/>
        <v>115</v>
      </c>
      <c r="J972" s="489"/>
    </row>
    <row r="973" spans="1:10">
      <c r="A973" s="685">
        <f>'Sannitary ware'!R11</f>
        <v>2</v>
      </c>
      <c r="B973" s="863" t="str">
        <f>'Sannitary ware'!S11</f>
        <v xml:space="preserve"> - สายชำระพร้อมสต๊อปวาล์ว</v>
      </c>
      <c r="C973" s="506">
        <f>'Sannitary ware'!AA11</f>
        <v>20</v>
      </c>
      <c r="D973" s="874" t="s">
        <v>15</v>
      </c>
      <c r="E973" s="920">
        <f>'Sannitary ware'!AN11</f>
        <v>1180</v>
      </c>
      <c r="F973" s="660">
        <f t="shared" si="74"/>
        <v>23600</v>
      </c>
      <c r="G973" s="921">
        <f>'Sannitary ware'!AP11</f>
        <v>105</v>
      </c>
      <c r="H973" s="665">
        <f t="shared" si="75"/>
        <v>2100</v>
      </c>
      <c r="I973" s="665">
        <f t="shared" si="76"/>
        <v>25700</v>
      </c>
      <c r="J973" s="660"/>
    </row>
    <row r="974" spans="1:10">
      <c r="A974" s="685">
        <f>'Sannitary ware'!R12</f>
        <v>3</v>
      </c>
      <c r="B974" s="863" t="str">
        <f>'Sannitary ware'!S12</f>
        <v xml:space="preserve"> - โถปัสสาวะชายพร้อมฟลัชวาล์ว</v>
      </c>
      <c r="C974" s="506">
        <f>'Sannitary ware'!AA12</f>
        <v>8</v>
      </c>
      <c r="D974" s="874" t="s">
        <v>15</v>
      </c>
      <c r="E974" s="920">
        <f>'Sannitary ware'!AN12</f>
        <v>5500</v>
      </c>
      <c r="F974" s="660">
        <f t="shared" si="74"/>
        <v>44000</v>
      </c>
      <c r="G974" s="921">
        <f>'Sannitary ware'!AP12</f>
        <v>450</v>
      </c>
      <c r="H974" s="665">
        <f t="shared" si="75"/>
        <v>3600</v>
      </c>
      <c r="I974" s="665">
        <f t="shared" si="76"/>
        <v>47600</v>
      </c>
      <c r="J974" s="660"/>
    </row>
    <row r="975" spans="1:10">
      <c r="A975" s="685">
        <f>'Sannitary ware'!R13</f>
        <v>4</v>
      </c>
      <c r="B975" s="863" t="str">
        <f>'Sannitary ware'!S13</f>
        <v xml:space="preserve"> - อ่างล้างหน้าแบบฝังเคาน์เตอร์ </v>
      </c>
      <c r="C975" s="506">
        <f>'Sannitary ware'!AA13</f>
        <v>17</v>
      </c>
      <c r="D975" s="874" t="s">
        <v>15</v>
      </c>
      <c r="E975" s="920">
        <f>'Sannitary ware'!AN13</f>
        <v>3500</v>
      </c>
      <c r="F975" s="660">
        <f t="shared" si="74"/>
        <v>59500</v>
      </c>
      <c r="G975" s="1680">
        <f>'Sannitary ware'!AP13</f>
        <v>450</v>
      </c>
      <c r="H975" s="1683">
        <f t="shared" si="75"/>
        <v>7650</v>
      </c>
      <c r="I975" s="665">
        <f t="shared" si="76"/>
        <v>67150</v>
      </c>
      <c r="J975" s="660"/>
    </row>
    <row r="976" spans="1:10">
      <c r="A976" s="685">
        <f>'Sannitary ware'!R14</f>
        <v>4</v>
      </c>
      <c r="B976" s="863" t="str">
        <f>'Sannitary ware'!S14</f>
        <v xml:space="preserve">     • ก๊อกน้ำเดี่ยวอ่างล้างหน้า </v>
      </c>
      <c r="C976" s="506">
        <f>'Sannitary ware'!AA14</f>
        <v>17</v>
      </c>
      <c r="D976" s="874" t="s">
        <v>15</v>
      </c>
      <c r="E976" s="920">
        <f>'Sannitary ware'!AN14</f>
        <v>0</v>
      </c>
      <c r="F976" s="660">
        <f t="shared" si="74"/>
        <v>0</v>
      </c>
      <c r="G976" s="1681"/>
      <c r="H976" s="1684"/>
      <c r="I976" s="665">
        <f t="shared" si="76"/>
        <v>0</v>
      </c>
      <c r="J976" s="660"/>
    </row>
    <row r="977" spans="1:10">
      <c r="A977" s="685">
        <f>'Sannitary ware'!R15</f>
        <v>4</v>
      </c>
      <c r="B977" s="863" t="str">
        <f>'Sannitary ware'!S15</f>
        <v xml:space="preserve">     • ท่อน้ำทิ้งอ่างล้างหน้า </v>
      </c>
      <c r="C977" s="506">
        <f>'Sannitary ware'!AA15</f>
        <v>17</v>
      </c>
      <c r="D977" s="874" t="s">
        <v>15</v>
      </c>
      <c r="E977" s="920">
        <f>'Sannitary ware'!AN15</f>
        <v>0</v>
      </c>
      <c r="F977" s="660">
        <f t="shared" si="74"/>
        <v>0</v>
      </c>
      <c r="G977" s="1681"/>
      <c r="H977" s="1684"/>
      <c r="I977" s="665">
        <f t="shared" si="76"/>
        <v>0</v>
      </c>
      <c r="J977" s="660"/>
    </row>
    <row r="978" spans="1:10">
      <c r="A978" s="685">
        <f>'Sannitary ware'!R16</f>
        <v>4</v>
      </c>
      <c r="B978" s="863" t="str">
        <f>'Sannitary ware'!S16</f>
        <v xml:space="preserve">     • สะดืออ่างล้างหน้าแบบกด </v>
      </c>
      <c r="C978" s="506">
        <f>'Sannitary ware'!AA16</f>
        <v>17</v>
      </c>
      <c r="D978" s="874" t="s">
        <v>15</v>
      </c>
      <c r="E978" s="920">
        <f>'Sannitary ware'!AN16</f>
        <v>0</v>
      </c>
      <c r="F978" s="660">
        <f t="shared" si="74"/>
        <v>0</v>
      </c>
      <c r="G978" s="1681"/>
      <c r="H978" s="1684"/>
      <c r="I978" s="665">
        <f t="shared" si="76"/>
        <v>0</v>
      </c>
      <c r="J978" s="660"/>
    </row>
    <row r="979" spans="1:10">
      <c r="A979" s="685">
        <f>'Sannitary ware'!R17</f>
        <v>4</v>
      </c>
      <c r="B979" s="863" t="str">
        <f>'Sannitary ware'!S17</f>
        <v xml:space="preserve">     • สายน้ำดีอ่างล้างหน้าสแตนเลสถักยาว 16" </v>
      </c>
      <c r="C979" s="506">
        <f>'Sannitary ware'!AA17</f>
        <v>17</v>
      </c>
      <c r="D979" s="874" t="s">
        <v>15</v>
      </c>
      <c r="E979" s="920">
        <f>'Sannitary ware'!AN17</f>
        <v>0</v>
      </c>
      <c r="F979" s="660">
        <f t="shared" si="74"/>
        <v>0</v>
      </c>
      <c r="G979" s="1681"/>
      <c r="H979" s="1684"/>
      <c r="I979" s="665">
        <f t="shared" si="76"/>
        <v>0</v>
      </c>
      <c r="J979" s="922"/>
    </row>
    <row r="980" spans="1:10">
      <c r="A980" s="685">
        <f>'Sannitary ware'!R18</f>
        <v>4</v>
      </c>
      <c r="B980" s="863" t="str">
        <f>'Sannitary ware'!S18</f>
        <v xml:space="preserve">     • STOP VALVE 1/2" </v>
      </c>
      <c r="C980" s="506">
        <f>'Sannitary ware'!AA18</f>
        <v>17</v>
      </c>
      <c r="D980" s="874" t="s">
        <v>27</v>
      </c>
      <c r="E980" s="920">
        <f>'Sannitary ware'!AN18</f>
        <v>0</v>
      </c>
      <c r="F980" s="660">
        <f t="shared" si="74"/>
        <v>0</v>
      </c>
      <c r="G980" s="1682"/>
      <c r="H980" s="1685"/>
      <c r="I980" s="665">
        <f t="shared" si="76"/>
        <v>0</v>
      </c>
      <c r="J980" s="660"/>
    </row>
    <row r="981" spans="1:10">
      <c r="A981" s="685" t="str">
        <f>'Sannitary ware'!R19</f>
        <v>4'</v>
      </c>
      <c r="B981" s="863" t="str">
        <f>'Sannitary ware'!S19</f>
        <v xml:space="preserve"> - อ่างล้างหน้าแบบแขวนผนัง (ห้องน้ำผู้พิการ)</v>
      </c>
      <c r="C981" s="506">
        <f>'Sannitary ware'!AA19</f>
        <v>1</v>
      </c>
      <c r="D981" s="874" t="s">
        <v>15</v>
      </c>
      <c r="E981" s="920">
        <f>'Sannitary ware'!AN19</f>
        <v>2300</v>
      </c>
      <c r="F981" s="660">
        <f t="shared" si="74"/>
        <v>2300</v>
      </c>
      <c r="G981" s="1680">
        <f>'Sannitary ware'!AP19</f>
        <v>450</v>
      </c>
      <c r="H981" s="1683">
        <f t="shared" si="75"/>
        <v>450</v>
      </c>
      <c r="I981" s="665">
        <f t="shared" si="76"/>
        <v>2750</v>
      </c>
      <c r="J981" s="660"/>
    </row>
    <row r="982" spans="1:10">
      <c r="A982" s="685" t="str">
        <f>'Sannitary ware'!R20</f>
        <v>4'</v>
      </c>
      <c r="B982" s="863" t="str">
        <f>'Sannitary ware'!S20</f>
        <v xml:space="preserve">     • ก๊อกน้ำเดี่ยวอ่างล้างหน้า </v>
      </c>
      <c r="C982" s="506">
        <f>'Sannitary ware'!AA20</f>
        <v>1</v>
      </c>
      <c r="D982" s="874" t="s">
        <v>15</v>
      </c>
      <c r="E982" s="920">
        <f>'Sannitary ware'!AN20</f>
        <v>0</v>
      </c>
      <c r="F982" s="660">
        <f t="shared" si="74"/>
        <v>0</v>
      </c>
      <c r="G982" s="1681"/>
      <c r="H982" s="1684"/>
      <c r="I982" s="665">
        <f t="shared" si="76"/>
        <v>0</v>
      </c>
      <c r="J982" s="660"/>
    </row>
    <row r="983" spans="1:10">
      <c r="A983" s="685" t="str">
        <f>'Sannitary ware'!R21</f>
        <v>4'</v>
      </c>
      <c r="B983" s="863" t="str">
        <f>'Sannitary ware'!S21</f>
        <v xml:space="preserve">     • ท่อน้ำทิ้งอ่างล้างหน้า </v>
      </c>
      <c r="C983" s="506">
        <f>'Sannitary ware'!AA21</f>
        <v>1</v>
      </c>
      <c r="D983" s="874" t="s">
        <v>15</v>
      </c>
      <c r="E983" s="920">
        <f>'Sannitary ware'!AN21</f>
        <v>0</v>
      </c>
      <c r="F983" s="660">
        <f t="shared" si="74"/>
        <v>0</v>
      </c>
      <c r="G983" s="1681"/>
      <c r="H983" s="1684"/>
      <c r="I983" s="665">
        <f t="shared" si="76"/>
        <v>0</v>
      </c>
      <c r="J983" s="489"/>
    </row>
    <row r="984" spans="1:10">
      <c r="A984" s="685" t="str">
        <f>'Sannitary ware'!R22</f>
        <v>4'</v>
      </c>
      <c r="B984" s="863" t="str">
        <f>'Sannitary ware'!S22</f>
        <v xml:space="preserve">     • สะดืออ่างล้างหน้าแบบกด </v>
      </c>
      <c r="C984" s="506">
        <f>'Sannitary ware'!AA22</f>
        <v>1</v>
      </c>
      <c r="D984" s="874" t="s">
        <v>15</v>
      </c>
      <c r="E984" s="920">
        <f>'Sannitary ware'!AN22</f>
        <v>0</v>
      </c>
      <c r="F984" s="660">
        <f t="shared" si="74"/>
        <v>0</v>
      </c>
      <c r="G984" s="1681"/>
      <c r="H984" s="1684"/>
      <c r="I984" s="665">
        <f t="shared" si="76"/>
        <v>0</v>
      </c>
      <c r="J984" s="489"/>
    </row>
    <row r="985" spans="1:10">
      <c r="A985" s="685" t="str">
        <f>'Sannitary ware'!R23</f>
        <v>4'</v>
      </c>
      <c r="B985" s="863" t="str">
        <f>'Sannitary ware'!S23</f>
        <v xml:space="preserve">     • สายน้ำดีอ่างล้างหน้าสแตนเลสถักยาว 16" </v>
      </c>
      <c r="C985" s="506">
        <f>'Sannitary ware'!AA23</f>
        <v>1</v>
      </c>
      <c r="D985" s="874" t="s">
        <v>15</v>
      </c>
      <c r="E985" s="920">
        <f>'Sannitary ware'!AN23</f>
        <v>0</v>
      </c>
      <c r="F985" s="660">
        <f t="shared" si="74"/>
        <v>0</v>
      </c>
      <c r="G985" s="1681"/>
      <c r="H985" s="1684"/>
      <c r="I985" s="665">
        <f t="shared" si="76"/>
        <v>0</v>
      </c>
      <c r="J985" s="489"/>
    </row>
    <row r="986" spans="1:10">
      <c r="A986" s="685" t="str">
        <f>'Sannitary ware'!R24</f>
        <v>4'</v>
      </c>
      <c r="B986" s="863" t="str">
        <f>'Sannitary ware'!S24</f>
        <v xml:space="preserve">     • STOP VALVE 1/2" </v>
      </c>
      <c r="C986" s="506">
        <f>'Sannitary ware'!AA24</f>
        <v>1</v>
      </c>
      <c r="D986" s="874" t="s">
        <v>27</v>
      </c>
      <c r="E986" s="920">
        <f>'Sannitary ware'!AN24</f>
        <v>0</v>
      </c>
      <c r="F986" s="660">
        <f t="shared" si="74"/>
        <v>0</v>
      </c>
      <c r="G986" s="1682"/>
      <c r="H986" s="1685"/>
      <c r="I986" s="665">
        <f t="shared" si="76"/>
        <v>0</v>
      </c>
      <c r="J986" s="489"/>
    </row>
    <row r="987" spans="1:10">
      <c r="A987" s="685">
        <f>'Sannitary ware'!R25</f>
        <v>5</v>
      </c>
      <c r="B987" s="863" t="str">
        <f>'Sannitary ware'!S25</f>
        <v xml:space="preserve"> - บานกระจกเงาหนา 6 มม. ขนาด 1.00  x 1.00 ม.(ห้องน้ำผู้พิการ)</v>
      </c>
      <c r="C987" s="506">
        <f>'Sannitary ware'!AA25</f>
        <v>1</v>
      </c>
      <c r="D987" s="874" t="s">
        <v>15</v>
      </c>
      <c r="E987" s="920">
        <f>'Sannitary ware'!AN25</f>
        <v>2153</v>
      </c>
      <c r="F987" s="660">
        <f t="shared" si="74"/>
        <v>2153</v>
      </c>
      <c r="G987" s="921">
        <f>'Sannitary ware'!AP25</f>
        <v>120</v>
      </c>
      <c r="H987" s="665">
        <f t="shared" si="75"/>
        <v>120</v>
      </c>
      <c r="I987" s="665">
        <f t="shared" si="76"/>
        <v>2273</v>
      </c>
      <c r="J987" s="660"/>
    </row>
    <row r="988" spans="1:10">
      <c r="A988" s="685">
        <f>'Sannitary ware'!R26</f>
        <v>5</v>
      </c>
      <c r="B988" s="863" t="str">
        <f>'Sannitary ware'!S26</f>
        <v xml:space="preserve"> - บานกระจกเงาหนา 6 มม. ขนาด 2.80  x 1.00 ม.</v>
      </c>
      <c r="C988" s="506">
        <f>'Sannitary ware'!AA26</f>
        <v>1</v>
      </c>
      <c r="D988" s="874" t="s">
        <v>15</v>
      </c>
      <c r="E988" s="920">
        <f>'Sannitary ware'!AN26</f>
        <v>6028</v>
      </c>
      <c r="F988" s="660">
        <f t="shared" si="74"/>
        <v>6028</v>
      </c>
      <c r="G988" s="921">
        <f>'Sannitary ware'!AP26</f>
        <v>120</v>
      </c>
      <c r="H988" s="665">
        <f t="shared" si="75"/>
        <v>120</v>
      </c>
      <c r="I988" s="665">
        <f t="shared" si="76"/>
        <v>6148</v>
      </c>
      <c r="J988" s="660"/>
    </row>
    <row r="989" spans="1:10">
      <c r="A989" s="685">
        <f>'Sannitary ware'!R27</f>
        <v>5</v>
      </c>
      <c r="B989" s="863" t="str">
        <f>'Sannitary ware'!S27</f>
        <v xml:space="preserve"> - บานกระจกเงาหนา 6 มม. ขนาด 3.00  x 1.00 ม.</v>
      </c>
      <c r="C989" s="506">
        <f>'Sannitary ware'!AA27</f>
        <v>1</v>
      </c>
      <c r="D989" s="874" t="s">
        <v>15</v>
      </c>
      <c r="E989" s="920">
        <f>'Sannitary ware'!AN27</f>
        <v>6459</v>
      </c>
      <c r="F989" s="660">
        <f t="shared" si="74"/>
        <v>6459</v>
      </c>
      <c r="G989" s="921">
        <f>'Sannitary ware'!AP27</f>
        <v>120</v>
      </c>
      <c r="H989" s="665">
        <f t="shared" si="75"/>
        <v>120</v>
      </c>
      <c r="I989" s="665">
        <f t="shared" si="76"/>
        <v>6579</v>
      </c>
      <c r="J989" s="660"/>
    </row>
    <row r="990" spans="1:10">
      <c r="A990" s="685">
        <f>'Sannitary ware'!R28</f>
        <v>5</v>
      </c>
      <c r="B990" s="863" t="str">
        <f>'Sannitary ware'!S28</f>
        <v xml:space="preserve"> - บานกระจกเงาหนา 6 มม. ขนาด 3.70  x 1.00 ม.</v>
      </c>
      <c r="C990" s="506">
        <f>'Sannitary ware'!AA28</f>
        <v>1</v>
      </c>
      <c r="D990" s="874" t="s">
        <v>15</v>
      </c>
      <c r="E990" s="920">
        <f>'Sannitary ware'!AN28</f>
        <v>7966</v>
      </c>
      <c r="F990" s="660">
        <f t="shared" si="74"/>
        <v>7966</v>
      </c>
      <c r="G990" s="921">
        <f>'Sannitary ware'!AP28</f>
        <v>120</v>
      </c>
      <c r="H990" s="665">
        <f t="shared" si="75"/>
        <v>120</v>
      </c>
      <c r="I990" s="665">
        <f t="shared" si="76"/>
        <v>8086</v>
      </c>
      <c r="J990" s="660"/>
    </row>
    <row r="991" spans="1:10">
      <c r="A991" s="685">
        <f>'Sannitary ware'!R29</f>
        <v>5</v>
      </c>
      <c r="B991" s="863" t="str">
        <f>'Sannitary ware'!S29</f>
        <v xml:space="preserve"> - บานกระจกเงาหนา 6 มม. ขนาด 5.60  x 1.00 ม. </v>
      </c>
      <c r="C991" s="506">
        <f>'Sannitary ware'!AA29</f>
        <v>1</v>
      </c>
      <c r="D991" s="874" t="s">
        <v>15</v>
      </c>
      <c r="E991" s="920">
        <f>'Sannitary ware'!AN29</f>
        <v>12056</v>
      </c>
      <c r="F991" s="660">
        <f t="shared" si="74"/>
        <v>12056</v>
      </c>
      <c r="G991" s="921">
        <f>'Sannitary ware'!AP29</f>
        <v>120</v>
      </c>
      <c r="H991" s="665">
        <f t="shared" si="75"/>
        <v>120</v>
      </c>
      <c r="I991" s="665">
        <f t="shared" si="76"/>
        <v>12176</v>
      </c>
      <c r="J991" s="660"/>
    </row>
    <row r="992" spans="1:10">
      <c r="A992" s="685">
        <f>'Sannitary ware'!R30</f>
        <v>6</v>
      </c>
      <c r="B992" s="863" t="str">
        <f>'Sannitary ware'!S30</f>
        <v xml:space="preserve"> - ราวจับตัวแอล</v>
      </c>
      <c r="C992" s="506">
        <f>'Sannitary ware'!AA30</f>
        <v>2</v>
      </c>
      <c r="D992" s="874" t="s">
        <v>15</v>
      </c>
      <c r="E992" s="920">
        <f>'Sannitary ware'!AN30</f>
        <v>3600</v>
      </c>
      <c r="F992" s="660">
        <f t="shared" si="74"/>
        <v>7200</v>
      </c>
      <c r="G992" s="921">
        <f>'Sannitary ware'!AP30</f>
        <v>105</v>
      </c>
      <c r="H992" s="665">
        <f t="shared" si="75"/>
        <v>210</v>
      </c>
      <c r="I992" s="665">
        <f t="shared" si="76"/>
        <v>7410</v>
      </c>
      <c r="J992" s="660"/>
    </row>
    <row r="993" spans="1:10">
      <c r="A993" s="685" t="str">
        <f>'Sannitary ware'!R31</f>
        <v>6'</v>
      </c>
      <c r="B993" s="863" t="str">
        <f>'Sannitary ware'!S31</f>
        <v xml:space="preserve"> - ราวจับตัวที</v>
      </c>
      <c r="C993" s="506">
        <f>'Sannitary ware'!AA31</f>
        <v>1</v>
      </c>
      <c r="D993" s="874" t="s">
        <v>15</v>
      </c>
      <c r="E993" s="920">
        <f>'Sannitary ware'!AN31</f>
        <v>2590</v>
      </c>
      <c r="F993" s="660">
        <f t="shared" si="74"/>
        <v>2590</v>
      </c>
      <c r="G993" s="921">
        <f>'Sannitary ware'!AP31</f>
        <v>105</v>
      </c>
      <c r="H993" s="665">
        <f t="shared" si="75"/>
        <v>105</v>
      </c>
      <c r="I993" s="665">
        <f t="shared" si="76"/>
        <v>2695</v>
      </c>
      <c r="J993" s="660"/>
    </row>
    <row r="994" spans="1:10">
      <c r="A994" s="685">
        <f>'Sannitary ware'!R32</f>
        <v>7</v>
      </c>
      <c r="B994" s="863" t="str">
        <f>'Sannitary ware'!S32</f>
        <v xml:space="preserve"> - ที่ใส่กระดาษชำระ (ห้องผู้พิการ)</v>
      </c>
      <c r="C994" s="506">
        <f>'Sannitary ware'!AA32</f>
        <v>1</v>
      </c>
      <c r="D994" s="874" t="s">
        <v>15</v>
      </c>
      <c r="E994" s="920">
        <f>'Sannitary ware'!AN32</f>
        <v>390</v>
      </c>
      <c r="F994" s="660">
        <f t="shared" si="74"/>
        <v>390</v>
      </c>
      <c r="G994" s="921">
        <f>'Sannitary ware'!AP32</f>
        <v>120</v>
      </c>
      <c r="H994" s="665">
        <f t="shared" si="75"/>
        <v>120</v>
      </c>
      <c r="I994" s="665">
        <f t="shared" si="76"/>
        <v>510</v>
      </c>
      <c r="J994" s="660"/>
    </row>
    <row r="995" spans="1:10">
      <c r="A995" s="685">
        <f>'Sannitary ware'!R33</f>
        <v>8</v>
      </c>
      <c r="B995" s="863" t="str">
        <f>'Sannitary ware'!S33</f>
        <v xml:space="preserve"> - ก๊อกล้างพื้น </v>
      </c>
      <c r="C995" s="506">
        <f>'Sannitary ware'!AA33</f>
        <v>5</v>
      </c>
      <c r="D995" s="874" t="s">
        <v>15</v>
      </c>
      <c r="E995" s="920">
        <f>'Sannitary ware'!AN33</f>
        <v>125</v>
      </c>
      <c r="F995" s="660">
        <f t="shared" si="74"/>
        <v>625</v>
      </c>
      <c r="G995" s="921">
        <f>'Sannitary ware'!AP33</f>
        <v>25</v>
      </c>
      <c r="H995" s="665">
        <f t="shared" si="75"/>
        <v>125</v>
      </c>
      <c r="I995" s="665">
        <f t="shared" si="76"/>
        <v>750</v>
      </c>
      <c r="J995" s="660"/>
    </row>
    <row r="996" spans="1:10">
      <c r="A996" s="685">
        <f>'Sannitary ware'!R34</f>
        <v>9</v>
      </c>
      <c r="B996" s="863" t="str">
        <f>'Sannitary ware'!S34</f>
        <v xml:space="preserve"> - ฝักบัว</v>
      </c>
      <c r="C996" s="506">
        <f>'Sannitary ware'!AA34</f>
        <v>4</v>
      </c>
      <c r="D996" s="874" t="s">
        <v>15</v>
      </c>
      <c r="E996" s="920">
        <f>'Sannitary ware'!AN34</f>
        <v>400</v>
      </c>
      <c r="F996" s="660">
        <f t="shared" si="74"/>
        <v>1600</v>
      </c>
      <c r="G996" s="921">
        <f>'Sannitary ware'!AP34</f>
        <v>170</v>
      </c>
      <c r="H996" s="665">
        <f t="shared" si="75"/>
        <v>680</v>
      </c>
      <c r="I996" s="665">
        <f t="shared" si="76"/>
        <v>2280</v>
      </c>
      <c r="J996" s="660"/>
    </row>
    <row r="997" spans="1:10">
      <c r="A997" s="685">
        <f>'Sannitary ware'!R35</f>
        <v>10</v>
      </c>
      <c r="B997" s="863" t="str">
        <f>'Sannitary ware'!S35</f>
        <v xml:space="preserve"> - ก็อกอ่างล้างมือ</v>
      </c>
      <c r="C997" s="506">
        <f>'Sannitary ware'!AA35</f>
        <v>14</v>
      </c>
      <c r="D997" s="874" t="s">
        <v>15</v>
      </c>
      <c r="E997" s="920">
        <f>'Sannitary ware'!AN35</f>
        <v>900</v>
      </c>
      <c r="F997" s="660">
        <f t="shared" si="74"/>
        <v>12600</v>
      </c>
      <c r="G997" s="921">
        <f>'Sannitary ware'!AP35</f>
        <v>150</v>
      </c>
      <c r="H997" s="665">
        <f t="shared" si="75"/>
        <v>2100</v>
      </c>
      <c r="I997" s="665">
        <f t="shared" si="76"/>
        <v>14700</v>
      </c>
      <c r="J997" s="660"/>
    </row>
    <row r="998" spans="1:10">
      <c r="A998" s="685"/>
      <c r="B998" s="863" t="str">
        <f>'Sannitary ware'!S36</f>
        <v xml:space="preserve"> - ตะแกรงระบายน้ำที่พื้น </v>
      </c>
      <c r="C998" s="506">
        <f>'Sannitary ware'!AA36</f>
        <v>12</v>
      </c>
      <c r="D998" s="874" t="s">
        <v>15</v>
      </c>
      <c r="E998" s="920">
        <f>'Sannitary ware'!AN36</f>
        <v>350</v>
      </c>
      <c r="F998" s="660">
        <f t="shared" si="74"/>
        <v>4200</v>
      </c>
      <c r="G998" s="921">
        <f>'Sannitary ware'!AP36</f>
        <v>75</v>
      </c>
      <c r="H998" s="665">
        <f t="shared" si="75"/>
        <v>900</v>
      </c>
      <c r="I998" s="665">
        <f t="shared" si="76"/>
        <v>5100</v>
      </c>
      <c r="J998" s="660"/>
    </row>
    <row r="999" spans="1:10">
      <c r="A999" s="685" t="str">
        <f>'Sannitary ware'!R37</f>
        <v>P</v>
      </c>
      <c r="B999" s="863" t="str">
        <f>'Sannitary ware'!S37</f>
        <v xml:space="preserve"> - ชุดผนังห้องน้ำสำเร็จรูป </v>
      </c>
      <c r="C999" s="506">
        <f>'Sannitary ware'!AA37</f>
        <v>20</v>
      </c>
      <c r="D999" s="874" t="s">
        <v>15</v>
      </c>
      <c r="E999" s="920">
        <f>'Sannitary ware'!AN37</f>
        <v>12600</v>
      </c>
      <c r="F999" s="660">
        <f t="shared" si="74"/>
        <v>252000</v>
      </c>
      <c r="G999" s="921">
        <f>'Sannitary ware'!AP37</f>
        <v>1250</v>
      </c>
      <c r="H999" s="665">
        <f t="shared" si="75"/>
        <v>25000</v>
      </c>
      <c r="I999" s="665">
        <f t="shared" si="76"/>
        <v>277000</v>
      </c>
      <c r="J999" s="660"/>
    </row>
    <row r="1000" spans="1:10">
      <c r="A1000" s="685"/>
      <c r="B1000" s="863" t="str">
        <f>'Sannitary ware'!S39</f>
        <v xml:space="preserve"> - TOP หินแกรนิตสีดำจีน หนา 25 มม.</v>
      </c>
      <c r="C1000" s="506">
        <f>'Sannitary ware'!AA39</f>
        <v>19</v>
      </c>
      <c r="D1000" s="505" t="s">
        <v>16</v>
      </c>
      <c r="E1000" s="920">
        <f>'Sannitary ware'!AN39</f>
        <v>2500</v>
      </c>
      <c r="F1000" s="660"/>
      <c r="G1000" s="921">
        <f>'Sannitary ware'!AP39</f>
        <v>250</v>
      </c>
      <c r="H1000" s="665">
        <f t="shared" si="75"/>
        <v>4750</v>
      </c>
      <c r="I1000" s="665">
        <f t="shared" si="76"/>
        <v>4750</v>
      </c>
      <c r="J1000" s="660"/>
    </row>
    <row r="1001" spans="1:10">
      <c r="A1001" s="685"/>
      <c r="B1001" s="863" t="str">
        <f>'Sannitary ware'!S40</f>
        <v xml:space="preserve"> - งานหล่อเคาน์เตอร์</v>
      </c>
      <c r="C1001" s="506">
        <f>'Sannitary ware'!AA40</f>
        <v>28</v>
      </c>
      <c r="D1001" s="874" t="s">
        <v>14</v>
      </c>
      <c r="E1001" s="920">
        <f>'Sannitary ware'!AN40</f>
        <v>0</v>
      </c>
      <c r="F1001" s="660"/>
      <c r="G1001" s="921">
        <v>160</v>
      </c>
      <c r="H1001" s="665">
        <f t="shared" si="75"/>
        <v>4480</v>
      </c>
      <c r="I1001" s="665">
        <f t="shared" si="76"/>
        <v>4480</v>
      </c>
      <c r="J1001" s="660"/>
    </row>
    <row r="1002" spans="1:10">
      <c r="A1002" s="661"/>
      <c r="B1002" s="863" t="s">
        <v>453</v>
      </c>
      <c r="C1002" s="923">
        <f>ROUNDUP((((0.6*C1001*0.15)*2400)/393),0)</f>
        <v>16</v>
      </c>
      <c r="D1002" s="505" t="s">
        <v>42</v>
      </c>
      <c r="E1002" s="489">
        <v>135</v>
      </c>
      <c r="F1002" s="660">
        <f t="shared" ref="F1002:F1007" si="77">E1002*C1002</f>
        <v>2160</v>
      </c>
      <c r="G1002" s="672">
        <v>0</v>
      </c>
      <c r="H1002" s="665">
        <f t="shared" si="75"/>
        <v>0</v>
      </c>
      <c r="I1002" s="665">
        <f t="shared" si="76"/>
        <v>2160</v>
      </c>
      <c r="J1002" s="660"/>
    </row>
    <row r="1003" spans="1:10">
      <c r="A1003" s="661"/>
      <c r="B1003" s="863" t="s">
        <v>454</v>
      </c>
      <c r="C1003" s="923">
        <f>ROUNDUP((((0.6*C1002*0.12)*1450)/653),0)</f>
        <v>3</v>
      </c>
      <c r="D1003" s="505" t="s">
        <v>43</v>
      </c>
      <c r="E1003" s="489">
        <v>450</v>
      </c>
      <c r="F1003" s="660">
        <f t="shared" si="77"/>
        <v>1350</v>
      </c>
      <c r="G1003" s="672">
        <v>0</v>
      </c>
      <c r="H1003" s="660">
        <f t="shared" si="75"/>
        <v>0</v>
      </c>
      <c r="I1003" s="665">
        <f t="shared" si="76"/>
        <v>1350</v>
      </c>
      <c r="J1003" s="660"/>
    </row>
    <row r="1004" spans="1:10">
      <c r="A1004" s="661"/>
      <c r="B1004" s="863" t="s">
        <v>455</v>
      </c>
      <c r="C1004" s="521">
        <f>C1003</f>
        <v>3</v>
      </c>
      <c r="D1004" s="505" t="s">
        <v>43</v>
      </c>
      <c r="E1004" s="489">
        <v>460</v>
      </c>
      <c r="F1004" s="660">
        <f t="shared" si="77"/>
        <v>1380</v>
      </c>
      <c r="G1004" s="672">
        <v>0</v>
      </c>
      <c r="H1004" s="660">
        <f t="shared" si="75"/>
        <v>0</v>
      </c>
      <c r="I1004" s="665">
        <f t="shared" si="76"/>
        <v>1380</v>
      </c>
      <c r="J1004" s="489"/>
    </row>
    <row r="1005" spans="1:10">
      <c r="A1005" s="661"/>
      <c r="B1005" s="863" t="s">
        <v>456</v>
      </c>
      <c r="C1005" s="920">
        <f>ROUNDUP((((0.6*(C1001/0.15))*2)+((C1001*(0.6/0.15)*2))*0.499),0)</f>
        <v>336</v>
      </c>
      <c r="D1005" s="505" t="s">
        <v>19</v>
      </c>
      <c r="E1005" s="489">
        <v>21.38</v>
      </c>
      <c r="F1005" s="660">
        <f t="shared" si="77"/>
        <v>7183.6799999999994</v>
      </c>
      <c r="G1005" s="672">
        <v>0</v>
      </c>
      <c r="H1005" s="660">
        <f t="shared" si="75"/>
        <v>0</v>
      </c>
      <c r="I1005" s="665">
        <f t="shared" si="76"/>
        <v>7183.6799999999994</v>
      </c>
      <c r="J1005" s="489"/>
    </row>
    <row r="1006" spans="1:10">
      <c r="A1006" s="661"/>
      <c r="B1006" s="863" t="s">
        <v>457</v>
      </c>
      <c r="C1006" s="521">
        <f>(0.6*C1001*0.2)</f>
        <v>3.3600000000000003</v>
      </c>
      <c r="D1006" s="874" t="s">
        <v>16</v>
      </c>
      <c r="E1006" s="489">
        <v>400</v>
      </c>
      <c r="F1006" s="660">
        <f t="shared" si="77"/>
        <v>1344.0000000000002</v>
      </c>
      <c r="G1006" s="672">
        <v>0</v>
      </c>
      <c r="H1006" s="660">
        <f t="shared" si="75"/>
        <v>0</v>
      </c>
      <c r="I1006" s="665">
        <f t="shared" si="76"/>
        <v>1344.0000000000002</v>
      </c>
      <c r="J1006" s="489"/>
    </row>
    <row r="1007" spans="1:10">
      <c r="A1007" s="661"/>
      <c r="B1007" s="662" t="s">
        <v>1056</v>
      </c>
      <c r="C1007" s="506">
        <v>1</v>
      </c>
      <c r="D1007" s="505" t="s">
        <v>44</v>
      </c>
      <c r="E1007" s="489">
        <f>SUM(F968:F1006)*20%</f>
        <v>112442.93600000002</v>
      </c>
      <c r="F1007" s="660">
        <f t="shared" si="77"/>
        <v>112442.93600000002</v>
      </c>
      <c r="G1007" s="672">
        <v>0</v>
      </c>
      <c r="H1007" s="660">
        <f t="shared" si="75"/>
        <v>0</v>
      </c>
      <c r="I1007" s="665">
        <f t="shared" si="76"/>
        <v>112442.93600000002</v>
      </c>
      <c r="J1007" s="489"/>
    </row>
    <row r="1008" spans="1:10">
      <c r="A1008" s="661" t="s">
        <v>1123</v>
      </c>
      <c r="B1008" s="785" t="s">
        <v>47</v>
      </c>
      <c r="C1008" s="506"/>
      <c r="D1008" s="505"/>
      <c r="E1008" s="489"/>
      <c r="F1008" s="660"/>
      <c r="G1008" s="672"/>
      <c r="H1008" s="665"/>
      <c r="I1008" s="665"/>
      <c r="J1008" s="489"/>
    </row>
    <row r="1009" spans="1:10">
      <c r="A1009" s="661"/>
      <c r="B1009" s="785" t="s">
        <v>48</v>
      </c>
      <c r="C1009" s="506"/>
      <c r="D1009" s="505"/>
      <c r="E1009" s="489"/>
      <c r="F1009" s="660"/>
      <c r="G1009" s="672"/>
      <c r="H1009" s="665"/>
      <c r="I1009" s="665"/>
      <c r="J1009" s="489"/>
    </row>
    <row r="1010" spans="1:10" ht="48">
      <c r="A1010" s="661"/>
      <c r="B1010" s="924" t="str">
        <f>'Architecture '!DV307</f>
        <v xml:space="preserve"> - D.D1 ประตูบานเปิดสวิงคู่พร้อมช่องแสงติดตาย วงกบ 2"x4" อบสีดำ ลูกฟัก กระจกลามิเนตเขียวใสตัดแสง 6 มม. ขนาด 7.40 x 2.85 มม.</v>
      </c>
      <c r="C1010" s="867">
        <f>'Architecture '!DP307</f>
        <v>1</v>
      </c>
      <c r="D1010" s="744" t="s">
        <v>15</v>
      </c>
      <c r="E1010" s="527">
        <f>'Architecture '!DX307</f>
        <v>94905</v>
      </c>
      <c r="F1010" s="668">
        <f t="shared" ref="F1010:F1025" si="78">E1010*C1010</f>
        <v>94905</v>
      </c>
      <c r="G1010" s="669">
        <v>0</v>
      </c>
      <c r="H1010" s="668">
        <f t="shared" ref="H1010:H1025" si="79">G1010*C1010</f>
        <v>0</v>
      </c>
      <c r="I1010" s="670">
        <f t="shared" ref="I1010:I1025" si="80">H1010+F1010</f>
        <v>94905</v>
      </c>
      <c r="J1010" s="489"/>
    </row>
    <row r="1011" spans="1:10" ht="48">
      <c r="A1011" s="661"/>
      <c r="B1011" s="924" t="str">
        <f>'Architecture '!DV308</f>
        <v xml:space="preserve"> - D.D2 ประตูบานเปิดสวิงคู่พร้อมช่องแสงติดตาย วงกบ 2"x4" อบสีดำ ลูกฟัก กระจกลามิเนตใส 6 มม. ขนาด 5.40 x 2.85 มม.</v>
      </c>
      <c r="C1011" s="867">
        <f>'Architecture '!DP308</f>
        <v>1</v>
      </c>
      <c r="D1011" s="744" t="s">
        <v>15</v>
      </c>
      <c r="E1011" s="527">
        <f>'Architecture '!DX308</f>
        <v>69255</v>
      </c>
      <c r="F1011" s="668">
        <f t="shared" si="78"/>
        <v>69255</v>
      </c>
      <c r="G1011" s="669">
        <v>0</v>
      </c>
      <c r="H1011" s="668">
        <f t="shared" si="79"/>
        <v>0</v>
      </c>
      <c r="I1011" s="670">
        <f t="shared" si="80"/>
        <v>69255</v>
      </c>
      <c r="J1011" s="489"/>
    </row>
    <row r="1012" spans="1:10" ht="48">
      <c r="A1012" s="661"/>
      <c r="B1012" s="924" t="str">
        <f>'Architecture '!DV309</f>
        <v xml:space="preserve"> - D.D3 ประตูบานเปิดคู่พร้อมช่องแสงติดตาย วงกบ 2"x4" ทำสีตามตัวอย่าง ลูกฟัก กระจกลามิเนตใส 6 มม. ขนาด 5.40 x 2.85 มม.</v>
      </c>
      <c r="C1012" s="867">
        <f>'Architecture '!DP309</f>
        <v>21</v>
      </c>
      <c r="D1012" s="744" t="s">
        <v>15</v>
      </c>
      <c r="E1012" s="527">
        <f>'Architecture '!DX309</f>
        <v>56205</v>
      </c>
      <c r="F1012" s="668">
        <f t="shared" si="78"/>
        <v>1180305</v>
      </c>
      <c r="G1012" s="669">
        <v>0</v>
      </c>
      <c r="H1012" s="668">
        <f t="shared" si="79"/>
        <v>0</v>
      </c>
      <c r="I1012" s="670">
        <f t="shared" si="80"/>
        <v>1180305</v>
      </c>
      <c r="J1012" s="489"/>
    </row>
    <row r="1013" spans="1:10" ht="48">
      <c r="A1013" s="661"/>
      <c r="B1013" s="924" t="str">
        <f>'Architecture '!DV310</f>
        <v xml:space="preserve"> - D.D3.1 ประตูบานเปิดคู่พร้อมช่องแสงติดตาย วงกบ 2"x4" ทำสีตามตัวอย่าง ลูกฟัก กระจกลามิเนตใส 6 มม. ขนาด 1.90 x 2.85 มม.</v>
      </c>
      <c r="C1013" s="867">
        <f>'Architecture '!DP310</f>
        <v>3</v>
      </c>
      <c r="D1013" s="744" t="s">
        <v>15</v>
      </c>
      <c r="E1013" s="527">
        <f>'Architecture '!DX310</f>
        <v>24368</v>
      </c>
      <c r="F1013" s="668">
        <f t="shared" si="78"/>
        <v>73104</v>
      </c>
      <c r="G1013" s="669">
        <v>0</v>
      </c>
      <c r="H1013" s="668">
        <f t="shared" si="79"/>
        <v>0</v>
      </c>
      <c r="I1013" s="670">
        <f t="shared" si="80"/>
        <v>73104</v>
      </c>
      <c r="J1013" s="489"/>
    </row>
    <row r="1014" spans="1:10" ht="48">
      <c r="A1014" s="661"/>
      <c r="B1014" s="924" t="str">
        <f>'Architecture '!DV312</f>
        <v xml:space="preserve"> - D.D4 ประตูบานเปิดคู่พร้อมช่องแสงติดตาย วงกบ 2"x4" ทำสีตามตัวอย่าง ลูกฟัก กระจกลามิเนตใส 6 มม. ขนาด 3.70 x 2.85 มม.</v>
      </c>
      <c r="C1014" s="867">
        <f>'Architecture '!DP312</f>
        <v>2</v>
      </c>
      <c r="D1014" s="744" t="s">
        <v>15</v>
      </c>
      <c r="E1014" s="527">
        <f>'Architecture '!DX312</f>
        <v>40905</v>
      </c>
      <c r="F1014" s="668">
        <f t="shared" si="78"/>
        <v>81810</v>
      </c>
      <c r="G1014" s="669">
        <v>0</v>
      </c>
      <c r="H1014" s="668">
        <f t="shared" si="79"/>
        <v>0</v>
      </c>
      <c r="I1014" s="670">
        <f t="shared" si="80"/>
        <v>81810</v>
      </c>
      <c r="J1014" s="489"/>
    </row>
    <row r="1015" spans="1:10" ht="48">
      <c r="A1015" s="661"/>
      <c r="B1015" s="924" t="str">
        <f>'Architecture '!DV313</f>
        <v xml:space="preserve"> - D.D5 ประตูบานเปิดคู่พร้อมช่องแสงติดตาย วงกบ 2"x4" ทำสีตามตัวอย่าง ลูกฟัก กระจกลามิเนตใส 6 มม. ขนาด 7.00 x 2.85 มม.</v>
      </c>
      <c r="C1015" s="867">
        <f>'Architecture '!DP313</f>
        <v>3</v>
      </c>
      <c r="D1015" s="744" t="s">
        <v>15</v>
      </c>
      <c r="E1015" s="527">
        <f>'Architecture '!DX313</f>
        <v>70605</v>
      </c>
      <c r="F1015" s="668">
        <f t="shared" si="78"/>
        <v>211815</v>
      </c>
      <c r="G1015" s="669">
        <v>0</v>
      </c>
      <c r="H1015" s="668">
        <f t="shared" si="79"/>
        <v>0</v>
      </c>
      <c r="I1015" s="670">
        <f t="shared" si="80"/>
        <v>211815</v>
      </c>
      <c r="J1015" s="489"/>
    </row>
    <row r="1016" spans="1:10" ht="48">
      <c r="A1016" s="661"/>
      <c r="B1016" s="924" t="str">
        <f>'Architecture '!DV314</f>
        <v xml:space="preserve"> - D.D6 ประตูบานเปิดคู่พร้อมช่องแสงติดตาย วงกบ 2"x4" อบสีดำ ลูกฟัก กระจกลามิเนตใส 6 มม. ขนาด 2.00 x 2.85 มม.</v>
      </c>
      <c r="C1016" s="867">
        <f>'Architecture '!DP314</f>
        <v>3</v>
      </c>
      <c r="D1016" s="744" t="s">
        <v>15</v>
      </c>
      <c r="E1016" s="527">
        <f>'Architecture '!DX314</f>
        <v>25650</v>
      </c>
      <c r="F1016" s="668">
        <f t="shared" si="78"/>
        <v>76950</v>
      </c>
      <c r="G1016" s="669">
        <v>0</v>
      </c>
      <c r="H1016" s="668">
        <f t="shared" si="79"/>
        <v>0</v>
      </c>
      <c r="I1016" s="670">
        <f t="shared" si="80"/>
        <v>76950</v>
      </c>
      <c r="J1016" s="489"/>
    </row>
    <row r="1017" spans="1:10" ht="48">
      <c r="A1017" s="661"/>
      <c r="B1017" s="924" t="str">
        <f>'Architecture '!DV315</f>
        <v xml:space="preserve"> - D.D7 ประตูบานเปิดคู่พร้อมช่องแสงติดตาย วงกบ 2"x4" อบสีดำ ลูกฟัก กระจกลามิเนตใส 6 มม. ขนาด 5.65 x 2.85 มม.</v>
      </c>
      <c r="C1017" s="867">
        <f>'Architecture '!DP315</f>
        <v>4</v>
      </c>
      <c r="D1017" s="744" t="s">
        <v>15</v>
      </c>
      <c r="E1017" s="527">
        <f>'Architecture '!DX315</f>
        <v>58455</v>
      </c>
      <c r="F1017" s="668">
        <f t="shared" si="78"/>
        <v>233820</v>
      </c>
      <c r="G1017" s="669">
        <v>0</v>
      </c>
      <c r="H1017" s="668">
        <f t="shared" si="79"/>
        <v>0</v>
      </c>
      <c r="I1017" s="670">
        <f t="shared" si="80"/>
        <v>233820</v>
      </c>
      <c r="J1017" s="489"/>
    </row>
    <row r="1018" spans="1:10" ht="48">
      <c r="A1018" s="661"/>
      <c r="B1018" s="924" t="str">
        <f>'Architecture '!DV316</f>
        <v xml:space="preserve"> - D.D8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2.00 x 2.50 มม.</v>
      </c>
      <c r="C1018" s="867">
        <f>'Architecture '!DP316</f>
        <v>1</v>
      </c>
      <c r="D1018" s="744" t="s">
        <v>15</v>
      </c>
      <c r="E1018" s="527">
        <f>'Architecture '!DX316</f>
        <v>22500</v>
      </c>
      <c r="F1018" s="668">
        <f t="shared" si="78"/>
        <v>22500</v>
      </c>
      <c r="G1018" s="669">
        <v>0</v>
      </c>
      <c r="H1018" s="668">
        <f t="shared" si="79"/>
        <v>0</v>
      </c>
      <c r="I1018" s="670">
        <f t="shared" si="80"/>
        <v>22500</v>
      </c>
      <c r="J1018" s="489"/>
    </row>
    <row r="1019" spans="1:10" ht="48">
      <c r="A1019" s="661"/>
      <c r="B1019" s="924" t="str">
        <f>'Architecture '!DV318</f>
        <v xml:space="preserve"> - D.D9 ประตูบานเปิดสวิงคู่พร้อมช่องแสงติดตาย วงกบ 2"x4" อบสีดำ ลูกฟัก กระจกลามิเนตใส 6 มม. ขนาด 2.10 x 2.85 มม.</v>
      </c>
      <c r="C1019" s="867">
        <f>'Architecture '!DP318</f>
        <v>1</v>
      </c>
      <c r="D1019" s="744" t="s">
        <v>15</v>
      </c>
      <c r="E1019" s="527">
        <f>'Architecture '!DX318</f>
        <v>26933</v>
      </c>
      <c r="F1019" s="668">
        <f t="shared" si="78"/>
        <v>26933</v>
      </c>
      <c r="G1019" s="669">
        <v>0</v>
      </c>
      <c r="H1019" s="668">
        <f t="shared" si="79"/>
        <v>0</v>
      </c>
      <c r="I1019" s="670">
        <f t="shared" si="80"/>
        <v>26933</v>
      </c>
      <c r="J1019" s="489"/>
    </row>
    <row r="1020" spans="1:10" ht="48" customHeight="1">
      <c r="A1020" s="661"/>
      <c r="B1020" s="927" t="str">
        <f>'Architecture '!DV320</f>
        <v xml:space="preserve"> - D.D10 ประตูบานเปิดคู่พร้อมหน้าต่างบานกระทุ้งกระจกช่องแสง ประตูเหล็กทนไฟตามมาตรฐาน มอก. ทนไฟไม่น้อยกว่า 2 ชม. วงกบเหล็ก มียางกันควันติดที่วงกบ 2''x4'' อบสี ขนาด 4.55 x 2.40 มม.</v>
      </c>
      <c r="C1020" s="867">
        <f>'Architecture '!DP320</f>
        <v>5</v>
      </c>
      <c r="D1020" s="744" t="s">
        <v>15</v>
      </c>
      <c r="E1020" s="527">
        <f>'Architecture '!DX320</f>
        <v>39375</v>
      </c>
      <c r="F1020" s="668">
        <f t="shared" si="78"/>
        <v>196875</v>
      </c>
      <c r="G1020" s="669">
        <v>0</v>
      </c>
      <c r="H1020" s="668">
        <f t="shared" si="79"/>
        <v>0</v>
      </c>
      <c r="I1020" s="670">
        <f t="shared" si="80"/>
        <v>196875</v>
      </c>
      <c r="J1020" s="489"/>
    </row>
    <row r="1021" spans="1:10" ht="48" customHeight="1">
      <c r="A1021" s="661"/>
      <c r="B1021" s="924" t="str">
        <f>'Architecture '!DV321</f>
        <v xml:space="preserve"> - D.D11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1021" s="867">
        <f>'Architecture '!DP321</f>
        <v>4</v>
      </c>
      <c r="D1021" s="744" t="s">
        <v>15</v>
      </c>
      <c r="E1021" s="527">
        <f>'Architecture '!DX321</f>
        <v>12375</v>
      </c>
      <c r="F1021" s="668">
        <f t="shared" si="78"/>
        <v>49500</v>
      </c>
      <c r="G1021" s="669">
        <v>0</v>
      </c>
      <c r="H1021" s="668">
        <f t="shared" si="79"/>
        <v>0</v>
      </c>
      <c r="I1021" s="670">
        <f t="shared" si="80"/>
        <v>49500</v>
      </c>
      <c r="J1021" s="489"/>
    </row>
    <row r="1022" spans="1:10" ht="48">
      <c r="A1022" s="661"/>
      <c r="B1022" s="924" t="str">
        <f>'Architecture '!DV322</f>
        <v xml:space="preserve"> - D.D12 ประตูบานเลื่อนพร้อมเกล็ดระบายอากาศด้านล่าง วงกบ ขนาด 2"x5" ทำสีตามตัวอย่าง ขนาด 1.10 x 2.50 มม.</v>
      </c>
      <c r="C1022" s="867">
        <f>'Architecture '!DP322</f>
        <v>1</v>
      </c>
      <c r="D1022" s="744" t="s">
        <v>15</v>
      </c>
      <c r="E1022" s="527">
        <f>'Architecture '!DX322</f>
        <v>12375</v>
      </c>
      <c r="F1022" s="668">
        <f t="shared" si="78"/>
        <v>12375</v>
      </c>
      <c r="G1022" s="669">
        <v>0</v>
      </c>
      <c r="H1022" s="668">
        <f t="shared" si="79"/>
        <v>0</v>
      </c>
      <c r="I1022" s="670">
        <f t="shared" si="80"/>
        <v>12375</v>
      </c>
      <c r="J1022" s="489"/>
    </row>
    <row r="1023" spans="1:10" ht="48">
      <c r="A1023" s="661"/>
      <c r="B1023" s="924" t="str">
        <f>'Architecture '!DV323</f>
        <v xml:space="preserve"> - D.D13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1023" s="867">
        <f>'Architecture '!DP323</f>
        <v>1</v>
      </c>
      <c r="D1023" s="744" t="s">
        <v>15</v>
      </c>
      <c r="E1023" s="527">
        <f>'Architecture '!DX323</f>
        <v>10148</v>
      </c>
      <c r="F1023" s="668">
        <f t="shared" si="78"/>
        <v>10148</v>
      </c>
      <c r="G1023" s="669">
        <v>0</v>
      </c>
      <c r="H1023" s="668">
        <f t="shared" si="79"/>
        <v>0</v>
      </c>
      <c r="I1023" s="670">
        <f t="shared" si="80"/>
        <v>10148</v>
      </c>
      <c r="J1023" s="489"/>
    </row>
    <row r="1024" spans="1:10" ht="48">
      <c r="A1024" s="661"/>
      <c r="B1024" s="924" t="str">
        <f>'Architecture '!DV324</f>
        <v xml:space="preserve"> - D.D14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1024" s="867">
        <f>'Architecture '!DP324</f>
        <v>1</v>
      </c>
      <c r="D1024" s="744" t="s">
        <v>15</v>
      </c>
      <c r="E1024" s="527">
        <f>'Architecture '!DX324</f>
        <v>43515</v>
      </c>
      <c r="F1024" s="668">
        <f t="shared" si="78"/>
        <v>43515</v>
      </c>
      <c r="G1024" s="669">
        <v>0</v>
      </c>
      <c r="H1024" s="668">
        <f t="shared" si="79"/>
        <v>0</v>
      </c>
      <c r="I1024" s="670">
        <f t="shared" si="80"/>
        <v>43515</v>
      </c>
      <c r="J1024" s="489"/>
    </row>
    <row r="1025" spans="1:10" ht="48">
      <c r="A1025" s="661"/>
      <c r="B1025" s="924" t="str">
        <f>'Architecture '!DV333</f>
        <v xml:space="preserve"> - D.D23 ประตูบานเหล็กม้วน วงกบเหล็ก 2"x4" ทำสีตามตัวอย่าง พร้อมระบบมอเตอร์ไฟฟ้า ขนาด 5.40 x 2.50 มม.</v>
      </c>
      <c r="C1025" s="867">
        <f>'Architecture '!DP333</f>
        <v>1</v>
      </c>
      <c r="D1025" s="744" t="s">
        <v>15</v>
      </c>
      <c r="E1025" s="527">
        <f>'Architecture '!DX333</f>
        <v>60750</v>
      </c>
      <c r="F1025" s="668">
        <f t="shared" si="78"/>
        <v>60750</v>
      </c>
      <c r="G1025" s="669">
        <v>0</v>
      </c>
      <c r="H1025" s="668">
        <f t="shared" si="79"/>
        <v>0</v>
      </c>
      <c r="I1025" s="670">
        <f t="shared" si="80"/>
        <v>60750</v>
      </c>
      <c r="J1025" s="489"/>
    </row>
    <row r="1026" spans="1:10">
      <c r="A1026" s="661"/>
      <c r="B1026" s="785" t="s">
        <v>49</v>
      </c>
      <c r="C1026" s="506"/>
      <c r="D1026" s="505"/>
      <c r="E1026" s="489"/>
      <c r="F1026" s="660"/>
      <c r="G1026" s="672"/>
      <c r="H1026" s="665"/>
      <c r="I1026" s="665"/>
      <c r="J1026" s="489"/>
    </row>
    <row r="1027" spans="1:10" ht="48">
      <c r="A1027" s="661"/>
      <c r="B1027" s="924" t="str">
        <f>'Architecture '!DV351</f>
        <v xml:space="preserve"> - D.W1 หน้าต่างบานกระทุ้งพร้อมช่องแสงติดตาย วงกบ 2"x4" อบสีดำ ลูกฟัก กระจกลามิเนตเขียวใสตัดแสง 6 มม. ขนาด 5.10 x 2.40 มม.</v>
      </c>
      <c r="C1027" s="867">
        <f>'Architecture '!DP351</f>
        <v>13</v>
      </c>
      <c r="D1027" s="744" t="s">
        <v>15</v>
      </c>
      <c r="E1027" s="527">
        <f>'Architecture '!DX351</f>
        <v>55080</v>
      </c>
      <c r="F1027" s="668">
        <f t="shared" ref="F1027:F1038" si="81">E1027*C1027</f>
        <v>716040</v>
      </c>
      <c r="G1027" s="669">
        <v>0</v>
      </c>
      <c r="H1027" s="668">
        <f t="shared" ref="H1027:H1039" si="82">G1027*C1027</f>
        <v>0</v>
      </c>
      <c r="I1027" s="670">
        <f t="shared" ref="I1027:I1038" si="83">H1027+F1027</f>
        <v>716040</v>
      </c>
      <c r="J1027" s="489"/>
    </row>
    <row r="1028" spans="1:10">
      <c r="A1028" s="661"/>
      <c r="B1028" s="924" t="str">
        <f>'Architecture '!DV354</f>
        <v xml:space="preserve"> - D.W3 ช่องแสงเกล็ดอลูมิเนียม วงกบ 2"x4" อบสีขาวควันบุหรี่ ขนาด 5.10 x 2.45 มม.</v>
      </c>
      <c r="C1028" s="867">
        <f>'Architecture '!DP354</f>
        <v>11</v>
      </c>
      <c r="D1028" s="744" t="s">
        <v>15</v>
      </c>
      <c r="E1028" s="527">
        <f>'Architecture '!DX354</f>
        <v>53729</v>
      </c>
      <c r="F1028" s="668">
        <f t="shared" si="81"/>
        <v>591019</v>
      </c>
      <c r="G1028" s="669">
        <v>0</v>
      </c>
      <c r="H1028" s="668">
        <f t="shared" si="82"/>
        <v>0</v>
      </c>
      <c r="I1028" s="670">
        <f t="shared" si="83"/>
        <v>591019</v>
      </c>
      <c r="J1028" s="489"/>
    </row>
    <row r="1029" spans="1:10" ht="48">
      <c r="A1029" s="504"/>
      <c r="B1029" s="924" t="str">
        <f>'Architecture '!DV356</f>
        <v xml:space="preserve"> - D.W5 หน้าต่างบานเปิดพร้อมช่องแสงติดตาย วงกบ 2"x4" อบสีดำ ลูกฟัก กระจกลามิเนตเขียวใสตัดแสง 6 มม. ขนาด 5.10 x 3.75 มม.</v>
      </c>
      <c r="C1029" s="867">
        <f>'Architecture '!DP356</f>
        <v>4</v>
      </c>
      <c r="D1029" s="744" t="s">
        <v>15</v>
      </c>
      <c r="E1029" s="527">
        <f>'Architecture '!DX356</f>
        <v>86063</v>
      </c>
      <c r="F1029" s="668">
        <f t="shared" si="81"/>
        <v>344252</v>
      </c>
      <c r="G1029" s="669">
        <v>0</v>
      </c>
      <c r="H1029" s="668">
        <f t="shared" si="82"/>
        <v>0</v>
      </c>
      <c r="I1029" s="670">
        <f t="shared" si="83"/>
        <v>344252</v>
      </c>
      <c r="J1029" s="489"/>
    </row>
    <row r="1030" spans="1:10" ht="48">
      <c r="A1030" s="504"/>
      <c r="B1030" s="924" t="str">
        <f>'Architecture '!DV357</f>
        <v xml:space="preserve"> - D.W6 หน้าต่างบานเปิดพร้อมช่องแสงติดตาย วงกบ 2"x4" อบสีดำ ลูกฟัก กระจกลามิเนตเขียวใสตัดแสง 6 มม. ขนาด 1.79 x 3.75 มม.</v>
      </c>
      <c r="C1030" s="867">
        <f>'Architecture '!DP357</f>
        <v>1</v>
      </c>
      <c r="D1030" s="744" t="s">
        <v>15</v>
      </c>
      <c r="E1030" s="527">
        <f>'Architecture '!DX357</f>
        <v>30207</v>
      </c>
      <c r="F1030" s="668">
        <f t="shared" si="81"/>
        <v>30207</v>
      </c>
      <c r="G1030" s="669">
        <v>0</v>
      </c>
      <c r="H1030" s="668">
        <f t="shared" si="82"/>
        <v>0</v>
      </c>
      <c r="I1030" s="670">
        <f t="shared" si="83"/>
        <v>30207</v>
      </c>
      <c r="J1030" s="489"/>
    </row>
    <row r="1031" spans="1:10" ht="48">
      <c r="A1031" s="504"/>
      <c r="B1031" s="924" t="str">
        <f>'Architecture '!DV360</f>
        <v xml:space="preserve"> - D.W7 หน้าต่างช่องแสงติดตายบานสลับ วงกบ 2"x5" อบสีดำ ลูกฟัก กระจกลามิเนตฝ้า 6 มม. ขนาด 2.30 x 0.65 มม.</v>
      </c>
      <c r="C1031" s="867">
        <f>'Architecture '!DP360</f>
        <v>2</v>
      </c>
      <c r="D1031" s="744" t="s">
        <v>15</v>
      </c>
      <c r="E1031" s="527">
        <f>'Architecture '!DX360</f>
        <v>6728</v>
      </c>
      <c r="F1031" s="668">
        <f t="shared" si="81"/>
        <v>13456</v>
      </c>
      <c r="G1031" s="669">
        <v>0</v>
      </c>
      <c r="H1031" s="668">
        <f t="shared" si="82"/>
        <v>0</v>
      </c>
      <c r="I1031" s="670">
        <f t="shared" si="83"/>
        <v>13456</v>
      </c>
      <c r="J1031" s="489"/>
    </row>
    <row r="1032" spans="1:10" ht="48">
      <c r="A1032" s="504"/>
      <c r="B1032" s="924" t="str">
        <f>'Architecture '!DV361</f>
        <v xml:space="preserve"> - D.W7.1 หน้าต่างช่องแสงติดตายบานสลับ วงกบ 2"x5" อบสีดำ ลูกฟัก กระจกลามิเนตฝ้า 6 มม. ขนาด 1.18 x 0.65 มม.</v>
      </c>
      <c r="C1032" s="867">
        <f>'Architecture '!DP361</f>
        <v>1</v>
      </c>
      <c r="D1032" s="744" t="s">
        <v>15</v>
      </c>
      <c r="E1032" s="527">
        <f>'Architecture '!DX361</f>
        <v>3452</v>
      </c>
      <c r="F1032" s="668">
        <f t="shared" si="81"/>
        <v>3452</v>
      </c>
      <c r="G1032" s="669">
        <v>0</v>
      </c>
      <c r="H1032" s="668">
        <f t="shared" si="82"/>
        <v>0</v>
      </c>
      <c r="I1032" s="670">
        <f t="shared" si="83"/>
        <v>3452</v>
      </c>
      <c r="J1032" s="489"/>
    </row>
    <row r="1033" spans="1:10" ht="48">
      <c r="A1033" s="504"/>
      <c r="B1033" s="924" t="str">
        <f>'Architecture '!DV364</f>
        <v xml:space="preserve"> - D.W8 หน้าต่างบานกระทุ้งพร้อมช่องแสงติดตาย วงกบ 2"x4" อบสีดำ ลูกฟัก กระจกลามิเนตเขียวใสตัดแสง 6 มม. ขนาด 1.80 x 2.45 มม.</v>
      </c>
      <c r="C1033" s="867">
        <f>'Architecture '!DP364</f>
        <v>10</v>
      </c>
      <c r="D1033" s="744" t="s">
        <v>15</v>
      </c>
      <c r="E1033" s="527">
        <f>'Architecture '!DX364</f>
        <v>19845</v>
      </c>
      <c r="F1033" s="668">
        <f t="shared" si="81"/>
        <v>198450</v>
      </c>
      <c r="G1033" s="669">
        <v>0</v>
      </c>
      <c r="H1033" s="668">
        <f t="shared" si="82"/>
        <v>0</v>
      </c>
      <c r="I1033" s="670">
        <f t="shared" si="83"/>
        <v>198450</v>
      </c>
      <c r="J1033" s="489"/>
    </row>
    <row r="1034" spans="1:10" ht="48">
      <c r="A1034" s="504"/>
      <c r="B1034" s="924" t="str">
        <f>'Architecture '!DV365</f>
        <v xml:space="preserve"> - D.W9 หน้าต่างบานกระทุ้ง วงกบ 2"x4" อบสีดำ ลูกฟัก กระจกลามิเนตเขียวใสตัดแสง 6 มม. ขนาด 2.58 x 0.60 มม.</v>
      </c>
      <c r="C1034" s="867">
        <f>'Architecture '!DP365</f>
        <v>2</v>
      </c>
      <c r="D1034" s="744" t="s">
        <v>15</v>
      </c>
      <c r="E1034" s="527">
        <f>'Architecture '!DX365</f>
        <v>6966</v>
      </c>
      <c r="F1034" s="668">
        <f t="shared" si="81"/>
        <v>13932</v>
      </c>
      <c r="G1034" s="669">
        <v>0</v>
      </c>
      <c r="H1034" s="668">
        <f t="shared" si="82"/>
        <v>0</v>
      </c>
      <c r="I1034" s="670">
        <f t="shared" si="83"/>
        <v>13932</v>
      </c>
      <c r="J1034" s="489"/>
    </row>
    <row r="1035" spans="1:10" ht="48">
      <c r="A1035" s="504"/>
      <c r="B1035" s="924" t="str">
        <f>'Architecture '!DV366</f>
        <v xml:space="preserve"> - D.W9.1 หน้าต่างบานกระทุ้ง วงกบ 2"x4" อบสีดำ ลูกฟัก กระจกลามิเนตเขียวใสตัดแสง 6 มม. ขนาด 4.26 x 0.60 มม.</v>
      </c>
      <c r="C1035" s="867">
        <f>'Architecture '!DP366</f>
        <v>1</v>
      </c>
      <c r="D1035" s="744" t="s">
        <v>15</v>
      </c>
      <c r="E1035" s="527">
        <f>'Architecture '!DX366</f>
        <v>11502</v>
      </c>
      <c r="F1035" s="668">
        <f t="shared" si="81"/>
        <v>11502</v>
      </c>
      <c r="G1035" s="669">
        <v>0</v>
      </c>
      <c r="H1035" s="668">
        <f t="shared" si="82"/>
        <v>0</v>
      </c>
      <c r="I1035" s="670">
        <f t="shared" si="83"/>
        <v>11502</v>
      </c>
      <c r="J1035" s="489"/>
    </row>
    <row r="1036" spans="1:10">
      <c r="A1036" s="504"/>
      <c r="B1036" s="924" t="str">
        <f>'Architecture '!DV370</f>
        <v xml:space="preserve"> - D.W13 ช่องแสงเกล็ดอลูมิเนียม วงกบ 2"x4" อบสีขาวควันบุหรี่ ขนาด 6.73 x 2.45 มม.</v>
      </c>
      <c r="C1036" s="867">
        <f>'Architecture '!DP370</f>
        <v>5</v>
      </c>
      <c r="D1036" s="744" t="s">
        <v>15</v>
      </c>
      <c r="E1036" s="527">
        <f>'Architecture '!DX370</f>
        <v>60678</v>
      </c>
      <c r="F1036" s="668">
        <f t="shared" si="81"/>
        <v>303390</v>
      </c>
      <c r="G1036" s="669">
        <v>0</v>
      </c>
      <c r="H1036" s="668">
        <f t="shared" si="82"/>
        <v>0</v>
      </c>
      <c r="I1036" s="670">
        <f t="shared" si="83"/>
        <v>303390</v>
      </c>
      <c r="J1036" s="489"/>
    </row>
    <row r="1037" spans="1:10" ht="48">
      <c r="A1037" s="504"/>
      <c r="B1037" s="924" t="str">
        <f>'Architecture '!DV371</f>
        <v xml:space="preserve"> - D.W14 ช่องแสงติดตาย วงกบ 2"x4" อบสีดำ ลูกฟัก กระจกลามิเนตใส 6 มม. ขนาด 5.40 x 0.65 มม.</v>
      </c>
      <c r="C1037" s="867">
        <f>'Architecture '!DP371</f>
        <v>9</v>
      </c>
      <c r="D1037" s="744" t="s">
        <v>15</v>
      </c>
      <c r="E1037" s="527">
        <f>'Architecture '!DX371</f>
        <v>15795</v>
      </c>
      <c r="F1037" s="668">
        <f t="shared" si="81"/>
        <v>142155</v>
      </c>
      <c r="G1037" s="669">
        <v>0</v>
      </c>
      <c r="H1037" s="668">
        <f t="shared" si="82"/>
        <v>0</v>
      </c>
      <c r="I1037" s="670">
        <f t="shared" si="83"/>
        <v>142155</v>
      </c>
      <c r="J1037" s="489"/>
    </row>
    <row r="1038" spans="1:10" ht="48">
      <c r="A1038" s="504"/>
      <c r="B1038" s="924" t="str">
        <f>'Architecture '!DV372</f>
        <v xml:space="preserve"> - D.W15 หน้าต่างช่องแสงติดตาย วงกบ 2"x4"  อบสีดำ ลูกฟัก กระจกลามิเนตเขียวใสตัดแสง 6 มม. ขนาด 7.50 x 2.85 มม.</v>
      </c>
      <c r="C1038" s="867">
        <f>'Architecture '!DP372</f>
        <v>1</v>
      </c>
      <c r="D1038" s="744" t="s">
        <v>15</v>
      </c>
      <c r="E1038" s="527">
        <f>'Architecture '!DX372</f>
        <v>96188</v>
      </c>
      <c r="F1038" s="668">
        <f t="shared" si="81"/>
        <v>96188</v>
      </c>
      <c r="G1038" s="669">
        <v>0</v>
      </c>
      <c r="H1038" s="668">
        <f t="shared" si="82"/>
        <v>0</v>
      </c>
      <c r="I1038" s="670">
        <f t="shared" si="83"/>
        <v>96188</v>
      </c>
      <c r="J1038" s="489"/>
    </row>
    <row r="1039" spans="1:10">
      <c r="A1039" s="504"/>
      <c r="B1039" s="662" t="s">
        <v>1056</v>
      </c>
      <c r="C1039" s="498">
        <v>1</v>
      </c>
      <c r="D1039" s="499" t="s">
        <v>44</v>
      </c>
      <c r="E1039" s="500">
        <f>SUM(F1009:F1038)*20%</f>
        <v>981720.60000000009</v>
      </c>
      <c r="F1039" s="663">
        <f>E1039*C1039</f>
        <v>981720.60000000009</v>
      </c>
      <c r="G1039" s="672">
        <v>0</v>
      </c>
      <c r="H1039" s="660">
        <f t="shared" si="82"/>
        <v>0</v>
      </c>
      <c r="I1039" s="665">
        <f>H1039+F1039</f>
        <v>981720.60000000009</v>
      </c>
      <c r="J1039" s="489"/>
    </row>
    <row r="1040" spans="1:10">
      <c r="A1040" s="533">
        <v>3.12</v>
      </c>
      <c r="B1040" s="493" t="s">
        <v>1197</v>
      </c>
      <c r="C1040" s="506"/>
      <c r="D1040" s="505"/>
      <c r="E1040" s="489"/>
      <c r="F1040" s="489"/>
      <c r="G1040" s="507"/>
      <c r="H1040" s="490"/>
      <c r="I1040" s="490"/>
      <c r="J1040" s="489"/>
    </row>
    <row r="1041" spans="1:10">
      <c r="A1041" s="661" t="s">
        <v>1124</v>
      </c>
      <c r="B1041" s="919" t="s">
        <v>29</v>
      </c>
      <c r="C1041" s="506"/>
      <c r="D1041" s="505"/>
      <c r="E1041" s="489"/>
      <c r="F1041" s="660"/>
      <c r="G1041" s="672"/>
      <c r="H1041" s="665"/>
      <c r="I1041" s="665"/>
      <c r="J1041" s="489"/>
    </row>
    <row r="1042" spans="1:10">
      <c r="A1042" s="661"/>
      <c r="B1042" s="863" t="s">
        <v>430</v>
      </c>
      <c r="C1042" s="506">
        <f>'Architecture '!C412</f>
        <v>190</v>
      </c>
      <c r="D1042" s="505" t="s">
        <v>16</v>
      </c>
      <c r="E1042" s="489">
        <v>95</v>
      </c>
      <c r="F1042" s="660">
        <f>E1042*C1042</f>
        <v>18050</v>
      </c>
      <c r="G1042" s="672">
        <v>82</v>
      </c>
      <c r="H1042" s="665">
        <f>G1042*C1042</f>
        <v>15580</v>
      </c>
      <c r="I1042" s="665">
        <f>H1042+F1042</f>
        <v>33630</v>
      </c>
      <c r="J1042" s="489"/>
    </row>
    <row r="1043" spans="1:10">
      <c r="A1043" s="661"/>
      <c r="B1043" s="863" t="s">
        <v>1786</v>
      </c>
      <c r="C1043" s="506">
        <f>'Architecture '!D412</f>
        <v>1960</v>
      </c>
      <c r="D1043" s="505" t="s">
        <v>16</v>
      </c>
      <c r="E1043" s="489">
        <v>350</v>
      </c>
      <c r="F1043" s="660">
        <f>E1043*C1043</f>
        <v>686000</v>
      </c>
      <c r="G1043" s="672">
        <v>198</v>
      </c>
      <c r="H1043" s="665">
        <f>G1043*C1043</f>
        <v>388080</v>
      </c>
      <c r="I1043" s="665">
        <f>H1043+F1043</f>
        <v>1074080</v>
      </c>
      <c r="J1043" s="489"/>
    </row>
    <row r="1044" spans="1:10">
      <c r="A1044" s="661"/>
      <c r="B1044" s="926" t="s">
        <v>1788</v>
      </c>
      <c r="C1044" s="506">
        <f>'Architecture '!E412</f>
        <v>112</v>
      </c>
      <c r="D1044" s="505" t="s">
        <v>16</v>
      </c>
      <c r="E1044" s="489">
        <v>560</v>
      </c>
      <c r="F1044" s="660">
        <f>E1044*C1044</f>
        <v>62720</v>
      </c>
      <c r="G1044" s="672">
        <v>250</v>
      </c>
      <c r="H1044" s="665">
        <f>G1044*C1044</f>
        <v>28000</v>
      </c>
      <c r="I1044" s="665">
        <f>H1044+F1044</f>
        <v>90720</v>
      </c>
      <c r="J1044" s="489"/>
    </row>
    <row r="1045" spans="1:10">
      <c r="A1045" s="661"/>
      <c r="B1045" s="863" t="s">
        <v>1425</v>
      </c>
      <c r="C1045" s="506">
        <f>'Architecture '!H412</f>
        <v>371</v>
      </c>
      <c r="D1045" s="505" t="s">
        <v>16</v>
      </c>
      <c r="E1045" s="489">
        <v>101</v>
      </c>
      <c r="F1045" s="660">
        <f>E1045*C1045</f>
        <v>37471</v>
      </c>
      <c r="G1045" s="672">
        <v>82</v>
      </c>
      <c r="H1045" s="665">
        <f>G1045*C1045</f>
        <v>30422</v>
      </c>
      <c r="I1045" s="665">
        <f>H1045+F1045</f>
        <v>67893</v>
      </c>
      <c r="J1045" s="489"/>
    </row>
    <row r="1046" spans="1:10">
      <c r="A1046" s="661"/>
      <c r="B1046" s="863" t="s">
        <v>30</v>
      </c>
      <c r="C1046" s="506">
        <f>C1044</f>
        <v>112</v>
      </c>
      <c r="D1046" s="505" t="s">
        <v>16</v>
      </c>
      <c r="E1046" s="489">
        <v>83</v>
      </c>
      <c r="F1046" s="660">
        <f>E1046*C1046</f>
        <v>9296</v>
      </c>
      <c r="G1046" s="672">
        <v>82</v>
      </c>
      <c r="H1046" s="665">
        <f>G1046*C1046</f>
        <v>9184</v>
      </c>
      <c r="I1046" s="665">
        <f>H1046+F1046</f>
        <v>18480</v>
      </c>
      <c r="J1046" s="489"/>
    </row>
    <row r="1047" spans="1:10">
      <c r="A1047" s="661" t="s">
        <v>1125</v>
      </c>
      <c r="B1047" s="919" t="s">
        <v>31</v>
      </c>
      <c r="C1047" s="506"/>
      <c r="D1047" s="874"/>
      <c r="E1047" s="489"/>
      <c r="F1047" s="660"/>
      <c r="G1047" s="672"/>
      <c r="H1047" s="665"/>
      <c r="I1047" s="665"/>
      <c r="J1047" s="489"/>
    </row>
    <row r="1048" spans="1:10">
      <c r="A1048" s="661"/>
      <c r="B1048" s="919" t="s">
        <v>32</v>
      </c>
      <c r="C1048" s="506"/>
      <c r="D1048" s="874"/>
      <c r="E1048" s="489"/>
      <c r="F1048" s="660"/>
      <c r="G1048" s="672"/>
      <c r="H1048" s="665"/>
      <c r="I1048" s="665"/>
      <c r="J1048" s="489"/>
    </row>
    <row r="1049" spans="1:10">
      <c r="A1049" s="661"/>
      <c r="B1049" s="863" t="s">
        <v>433</v>
      </c>
      <c r="C1049" s="498">
        <f>'Architecture '!U412</f>
        <v>2636</v>
      </c>
      <c r="D1049" s="874" t="s">
        <v>16</v>
      </c>
      <c r="E1049" s="489">
        <v>285</v>
      </c>
      <c r="F1049" s="660">
        <f>E1049*C1049</f>
        <v>751260</v>
      </c>
      <c r="G1049" s="672">
        <v>89</v>
      </c>
      <c r="H1049" s="665">
        <f>G1049*C1049</f>
        <v>234604</v>
      </c>
      <c r="I1049" s="665">
        <f>H1049+F1049</f>
        <v>985864</v>
      </c>
      <c r="J1049" s="489"/>
    </row>
    <row r="1050" spans="1:10">
      <c r="A1050" s="661"/>
      <c r="B1050" s="863" t="s">
        <v>1428</v>
      </c>
      <c r="C1050" s="506">
        <f>'Architecture '!V412</f>
        <v>114</v>
      </c>
      <c r="D1050" s="874" t="s">
        <v>16</v>
      </c>
      <c r="E1050" s="489">
        <v>584</v>
      </c>
      <c r="F1050" s="660">
        <f>E1050*C1050</f>
        <v>66576</v>
      </c>
      <c r="G1050" s="672">
        <v>167</v>
      </c>
      <c r="H1050" s="665">
        <f>G1050*C1050</f>
        <v>19038</v>
      </c>
      <c r="I1050" s="665">
        <f>H1050+F1050</f>
        <v>85614</v>
      </c>
      <c r="J1050" s="489"/>
    </row>
    <row r="1051" spans="1:10">
      <c r="A1051" s="661"/>
      <c r="B1051" s="863" t="s">
        <v>33</v>
      </c>
      <c r="C1051" s="498">
        <f>'Architecture '!AQ412+'Architecture '!AR412+'Architecture '!AS412+'Architecture '!AT412</f>
        <v>1085</v>
      </c>
      <c r="D1051" s="874" t="s">
        <v>14</v>
      </c>
      <c r="E1051" s="489">
        <v>70</v>
      </c>
      <c r="F1051" s="660">
        <f>E1051*C1051</f>
        <v>75950</v>
      </c>
      <c r="G1051" s="672">
        <v>44</v>
      </c>
      <c r="H1051" s="665">
        <f>G1051*C1051</f>
        <v>47740</v>
      </c>
      <c r="I1051" s="665">
        <f>H1051+F1051</f>
        <v>123690</v>
      </c>
      <c r="J1051" s="489"/>
    </row>
    <row r="1052" spans="1:10">
      <c r="A1052" s="661"/>
      <c r="B1052" s="785" t="s">
        <v>34</v>
      </c>
      <c r="C1052" s="506"/>
      <c r="D1052" s="505"/>
      <c r="E1052" s="489"/>
      <c r="F1052" s="660"/>
      <c r="G1052" s="672"/>
      <c r="H1052" s="665"/>
      <c r="I1052" s="665"/>
      <c r="J1052" s="489"/>
    </row>
    <row r="1053" spans="1:10">
      <c r="A1053" s="661"/>
      <c r="B1053" s="863" t="s">
        <v>1390</v>
      </c>
      <c r="C1053" s="498">
        <f>'Architecture '!AD412</f>
        <v>3657</v>
      </c>
      <c r="D1053" s="874" t="s">
        <v>16</v>
      </c>
      <c r="E1053" s="489">
        <v>75</v>
      </c>
      <c r="F1053" s="660">
        <f>E1053*C1053</f>
        <v>274275</v>
      </c>
      <c r="G1053" s="672">
        <v>82</v>
      </c>
      <c r="H1053" s="665">
        <f>G1053*C1053</f>
        <v>299874</v>
      </c>
      <c r="I1053" s="665">
        <f>H1053+F1053</f>
        <v>574149</v>
      </c>
      <c r="J1053" s="489"/>
    </row>
    <row r="1054" spans="1:10">
      <c r="A1054" s="661"/>
      <c r="B1054" s="863" t="s">
        <v>1427</v>
      </c>
      <c r="C1054" s="506">
        <f>'Architecture '!AE412</f>
        <v>156</v>
      </c>
      <c r="D1054" s="874" t="s">
        <v>16</v>
      </c>
      <c r="E1054" s="489">
        <v>80</v>
      </c>
      <c r="F1054" s="660">
        <f>E1054*C1054</f>
        <v>12480</v>
      </c>
      <c r="G1054" s="672">
        <v>115</v>
      </c>
      <c r="H1054" s="665">
        <f>G1054*C1054</f>
        <v>17940</v>
      </c>
      <c r="I1054" s="665">
        <f>H1054+F1054</f>
        <v>30420</v>
      </c>
      <c r="J1054" s="489"/>
    </row>
    <row r="1055" spans="1:10">
      <c r="A1055" s="661"/>
      <c r="B1055" s="863" t="s">
        <v>1372</v>
      </c>
      <c r="C1055" s="506">
        <f>'Architecture '!AG412</f>
        <v>351</v>
      </c>
      <c r="D1055" s="874" t="s">
        <v>16</v>
      </c>
      <c r="E1055" s="489">
        <v>750</v>
      </c>
      <c r="F1055" s="660">
        <f>E1055*C1055</f>
        <v>263250</v>
      </c>
      <c r="G1055" s="672">
        <v>250</v>
      </c>
      <c r="H1055" s="665">
        <f>G1055*C1055</f>
        <v>87750</v>
      </c>
      <c r="I1055" s="665">
        <f>H1055+F1055</f>
        <v>351000</v>
      </c>
      <c r="J1055" s="489"/>
    </row>
    <row r="1056" spans="1:10">
      <c r="A1056" s="661" t="s">
        <v>1126</v>
      </c>
      <c r="B1056" s="785" t="s">
        <v>35</v>
      </c>
      <c r="C1056" s="506"/>
      <c r="D1056" s="505"/>
      <c r="E1056" s="489"/>
      <c r="F1056" s="660"/>
      <c r="G1056" s="672"/>
      <c r="H1056" s="665"/>
      <c r="I1056" s="665"/>
      <c r="J1056" s="489"/>
    </row>
    <row r="1057" spans="1:10">
      <c r="A1057" s="518"/>
      <c r="B1057" s="862" t="s">
        <v>1389</v>
      </c>
      <c r="C1057" s="506">
        <f>'Architecture '!AZ412</f>
        <v>3462</v>
      </c>
      <c r="D1057" s="505" t="s">
        <v>16</v>
      </c>
      <c r="E1057" s="489">
        <v>180</v>
      </c>
      <c r="F1057" s="660">
        <f>E1057*C1057</f>
        <v>623160</v>
      </c>
      <c r="G1057" s="672">
        <v>50</v>
      </c>
      <c r="H1057" s="665">
        <f>G1057*C1057</f>
        <v>173100</v>
      </c>
      <c r="I1057" s="665">
        <f>H1057+F1057</f>
        <v>796260</v>
      </c>
      <c r="J1057" s="489"/>
    </row>
    <row r="1058" spans="1:10">
      <c r="A1058" s="661" t="s">
        <v>1127</v>
      </c>
      <c r="B1058" s="919" t="s">
        <v>36</v>
      </c>
      <c r="C1058" s="506"/>
      <c r="D1058" s="874"/>
      <c r="E1058" s="489"/>
      <c r="F1058" s="660"/>
      <c r="G1058" s="672"/>
      <c r="H1058" s="665"/>
      <c r="I1058" s="665"/>
      <c r="J1058" s="489"/>
    </row>
    <row r="1059" spans="1:10">
      <c r="A1059" s="685"/>
      <c r="B1059" s="863" t="s">
        <v>37</v>
      </c>
      <c r="C1059" s="498">
        <f>'Architecture '!AU412</f>
        <v>968</v>
      </c>
      <c r="D1059" s="874" t="s">
        <v>16</v>
      </c>
      <c r="E1059" s="489">
        <v>292</v>
      </c>
      <c r="F1059" s="660">
        <f>E1059*C1059</f>
        <v>282656</v>
      </c>
      <c r="G1059" s="672">
        <v>75</v>
      </c>
      <c r="H1059" s="665">
        <f>G1059*C1059</f>
        <v>72600</v>
      </c>
      <c r="I1059" s="665">
        <f>H1059+F1059</f>
        <v>355256</v>
      </c>
      <c r="J1059" s="489"/>
    </row>
    <row r="1060" spans="1:10">
      <c r="A1060" s="685"/>
      <c r="B1060" s="863" t="s">
        <v>38</v>
      </c>
      <c r="C1060" s="498">
        <f>'Architecture '!AV412</f>
        <v>112</v>
      </c>
      <c r="D1060" s="874" t="s">
        <v>16</v>
      </c>
      <c r="E1060" s="489">
        <v>312</v>
      </c>
      <c r="F1060" s="660">
        <f>E1060*C1060</f>
        <v>34944</v>
      </c>
      <c r="G1060" s="672">
        <v>75</v>
      </c>
      <c r="H1060" s="665">
        <f>G1060*C1060</f>
        <v>8400</v>
      </c>
      <c r="I1060" s="665">
        <f>H1060+F1060</f>
        <v>43344</v>
      </c>
      <c r="J1060" s="489"/>
    </row>
    <row r="1061" spans="1:10">
      <c r="A1061" s="685"/>
      <c r="B1061" s="863" t="s">
        <v>458</v>
      </c>
      <c r="C1061" s="506">
        <f>'Architecture '!AW412</f>
        <v>983</v>
      </c>
      <c r="D1061" s="874" t="s">
        <v>16</v>
      </c>
      <c r="E1061" s="489">
        <v>78</v>
      </c>
      <c r="F1061" s="660">
        <f>E1061*C1061</f>
        <v>76674</v>
      </c>
      <c r="G1061" s="672">
        <v>82</v>
      </c>
      <c r="H1061" s="665">
        <f>G1061*C1061</f>
        <v>80606</v>
      </c>
      <c r="I1061" s="665">
        <f>H1061+F1061</f>
        <v>157280</v>
      </c>
      <c r="J1061" s="489"/>
    </row>
    <row r="1062" spans="1:10">
      <c r="A1062" s="685"/>
      <c r="B1062" s="862" t="s">
        <v>39</v>
      </c>
      <c r="C1062" s="506">
        <f>'Architecture '!BC412</f>
        <v>2063</v>
      </c>
      <c r="D1062" s="874" t="s">
        <v>16</v>
      </c>
      <c r="E1062" s="489">
        <v>33</v>
      </c>
      <c r="F1062" s="660">
        <f>E1062*C1062</f>
        <v>68079</v>
      </c>
      <c r="G1062" s="672">
        <v>31</v>
      </c>
      <c r="H1062" s="665">
        <f>G1062*C1062</f>
        <v>63953</v>
      </c>
      <c r="I1062" s="665">
        <f>H1062+F1062</f>
        <v>132032</v>
      </c>
      <c r="J1062" s="489"/>
    </row>
    <row r="1063" spans="1:10">
      <c r="A1063" s="661" t="s">
        <v>1128</v>
      </c>
      <c r="B1063" s="785" t="s">
        <v>1410</v>
      </c>
      <c r="C1063" s="506"/>
      <c r="D1063" s="505"/>
      <c r="E1063" s="489"/>
      <c r="F1063" s="660"/>
      <c r="G1063" s="672"/>
      <c r="H1063" s="665"/>
      <c r="I1063" s="665"/>
      <c r="J1063" s="660"/>
    </row>
    <row r="1064" spans="1:10">
      <c r="A1064" s="661" t="s">
        <v>1725</v>
      </c>
      <c r="B1064" s="785" t="s">
        <v>1411</v>
      </c>
      <c r="C1064" s="506"/>
      <c r="D1064" s="505"/>
      <c r="E1064" s="489"/>
      <c r="F1064" s="660"/>
      <c r="G1064" s="672"/>
      <c r="H1064" s="665"/>
      <c r="I1064" s="665"/>
      <c r="J1064" s="660"/>
    </row>
    <row r="1065" spans="1:10">
      <c r="A1065" s="661"/>
      <c r="B1065" s="862" t="s">
        <v>1397</v>
      </c>
      <c r="C1065" s="506">
        <f>ROUNDUP((((0.44+4.75+1.75+4.35)*2)*2)*7.01,0)</f>
        <v>317</v>
      </c>
      <c r="D1065" s="505" t="s">
        <v>19</v>
      </c>
      <c r="E1065" s="489">
        <v>28</v>
      </c>
      <c r="F1065" s="660">
        <f>E1065*C1065</f>
        <v>8876</v>
      </c>
      <c r="G1065" s="672">
        <v>12</v>
      </c>
      <c r="H1065" s="665">
        <f>G1065*C1065</f>
        <v>3804</v>
      </c>
      <c r="I1065" s="665">
        <f>H1065+F1065</f>
        <v>12680</v>
      </c>
      <c r="J1065" s="660"/>
    </row>
    <row r="1066" spans="1:10">
      <c r="A1066" s="661"/>
      <c r="B1066" s="862" t="s">
        <v>1398</v>
      </c>
      <c r="C1066" s="506">
        <f>ROUNDUP((((((0.85*2)*19)+((0.44+4.75+1.75+4.35)*2))*2)*2)*2.36,0)</f>
        <v>519</v>
      </c>
      <c r="D1066" s="505" t="s">
        <v>19</v>
      </c>
      <c r="E1066" s="489">
        <v>28</v>
      </c>
      <c r="F1066" s="660">
        <f>E1066*C1066</f>
        <v>14532</v>
      </c>
      <c r="G1066" s="672">
        <v>12</v>
      </c>
      <c r="H1066" s="665">
        <f>G1066*C1066</f>
        <v>6228</v>
      </c>
      <c r="I1066" s="665">
        <f>H1066+F1066</f>
        <v>20760</v>
      </c>
      <c r="J1066" s="660"/>
    </row>
    <row r="1067" spans="1:10">
      <c r="A1067" s="661"/>
      <c r="B1067" s="862" t="s">
        <v>1756</v>
      </c>
      <c r="C1067" s="506">
        <f>ROUNDUP(((0.1+0.05+0.1+0.05)*(((0.44+4.75+1.75+4.35)*2)*2))+((0.05+0.05+0.006+0.006)*(((((0.85*2)*19)+((0.44+4.75+1.75+4.35)*2))*2)*2)),0)</f>
        <v>39</v>
      </c>
      <c r="D1067" s="505" t="s">
        <v>16</v>
      </c>
      <c r="E1067" s="489">
        <v>58</v>
      </c>
      <c r="F1067" s="660">
        <f>E1067*C1067</f>
        <v>2262</v>
      </c>
      <c r="G1067" s="672">
        <v>35</v>
      </c>
      <c r="H1067" s="665">
        <f>G1067*C1067</f>
        <v>1365</v>
      </c>
      <c r="I1067" s="665">
        <f>H1067+F1067</f>
        <v>3627</v>
      </c>
      <c r="J1067" s="660"/>
    </row>
    <row r="1068" spans="1:10">
      <c r="A1068" s="661"/>
      <c r="B1068" s="662" t="s">
        <v>450</v>
      </c>
      <c r="C1068" s="498">
        <v>1</v>
      </c>
      <c r="D1068" s="499" t="s">
        <v>44</v>
      </c>
      <c r="E1068" s="500">
        <f>SUM(F1065:F1067)*20%</f>
        <v>5134</v>
      </c>
      <c r="F1068" s="663">
        <f>E1068*C1068</f>
        <v>5134</v>
      </c>
      <c r="G1068" s="664">
        <v>0</v>
      </c>
      <c r="H1068" s="665">
        <f>G1068*C1068</f>
        <v>0</v>
      </c>
      <c r="I1068" s="665">
        <f>H1068+F1068</f>
        <v>5134</v>
      </c>
      <c r="J1068" s="660"/>
    </row>
    <row r="1069" spans="1:10">
      <c r="A1069" s="661" t="s">
        <v>1726</v>
      </c>
      <c r="B1069" s="785" t="s">
        <v>1624</v>
      </c>
      <c r="C1069" s="498"/>
      <c r="D1069" s="499"/>
      <c r="E1069" s="500"/>
      <c r="F1069" s="663"/>
      <c r="G1069" s="664"/>
      <c r="H1069" s="665"/>
      <c r="I1069" s="665"/>
      <c r="J1069" s="660"/>
    </row>
    <row r="1070" spans="1:10">
      <c r="A1070" s="661"/>
      <c r="B1070" s="862" t="s">
        <v>1786</v>
      </c>
      <c r="C1070" s="506">
        <f>'Architecture '!D398</f>
        <v>21</v>
      </c>
      <c r="D1070" s="505" t="s">
        <v>16</v>
      </c>
      <c r="E1070" s="489">
        <v>350</v>
      </c>
      <c r="F1070" s="660">
        <f>E1070*C1070</f>
        <v>7350</v>
      </c>
      <c r="G1070" s="672">
        <v>198</v>
      </c>
      <c r="H1070" s="665">
        <f>G1070*C1070</f>
        <v>4158</v>
      </c>
      <c r="I1070" s="665">
        <f>H1070+F1070</f>
        <v>11508</v>
      </c>
      <c r="J1070" s="660"/>
    </row>
    <row r="1071" spans="1:10">
      <c r="A1071" s="661" t="s">
        <v>1727</v>
      </c>
      <c r="B1071" s="785" t="s">
        <v>1625</v>
      </c>
      <c r="C1071" s="506"/>
      <c r="D1071" s="505"/>
      <c r="E1071" s="489"/>
      <c r="F1071" s="660"/>
      <c r="G1071" s="672"/>
      <c r="H1071" s="665"/>
      <c r="I1071" s="665"/>
      <c r="J1071" s="660"/>
    </row>
    <row r="1072" spans="1:10">
      <c r="A1072" s="661"/>
      <c r="B1072" s="662" t="s">
        <v>1463</v>
      </c>
      <c r="C1072" s="506">
        <f>ROUNDUP(3.16+1.25+3.34,0)</f>
        <v>8</v>
      </c>
      <c r="D1072" s="499" t="s">
        <v>73</v>
      </c>
      <c r="E1072" s="524">
        <f>ROUNDUP(3200/6,0)</f>
        <v>534</v>
      </c>
      <c r="F1072" s="663">
        <f>E1072*C1072</f>
        <v>4272</v>
      </c>
      <c r="G1072" s="524">
        <f>ROUNDUP(900/6,0)</f>
        <v>150</v>
      </c>
      <c r="H1072" s="665">
        <f>G1072*C1072</f>
        <v>1200</v>
      </c>
      <c r="I1072" s="665">
        <f>H1072+F1072</f>
        <v>5472</v>
      </c>
      <c r="J1072" s="660"/>
    </row>
    <row r="1073" spans="1:10">
      <c r="A1073" s="661"/>
      <c r="B1073" s="662" t="s">
        <v>1613</v>
      </c>
      <c r="C1073" s="506">
        <f>ROUNDUP(0.15*12,0)</f>
        <v>2</v>
      </c>
      <c r="D1073" s="499" t="s">
        <v>73</v>
      </c>
      <c r="E1073" s="524">
        <f>ROUNDUP(2500/6,0)</f>
        <v>417</v>
      </c>
      <c r="F1073" s="663">
        <f>E1073*C1073</f>
        <v>834</v>
      </c>
      <c r="G1073" s="524">
        <f>ROUNDUP(450/6,0)</f>
        <v>75</v>
      </c>
      <c r="H1073" s="665">
        <f>G1073*C1073</f>
        <v>150</v>
      </c>
      <c r="I1073" s="665">
        <f>H1073+F1073</f>
        <v>984</v>
      </c>
      <c r="J1073" s="660"/>
    </row>
    <row r="1074" spans="1:10">
      <c r="A1074" s="661"/>
      <c r="B1074" s="662" t="s">
        <v>448</v>
      </c>
      <c r="C1074" s="498">
        <v>12</v>
      </c>
      <c r="D1074" s="499" t="s">
        <v>449</v>
      </c>
      <c r="E1074" s="501">
        <v>350</v>
      </c>
      <c r="F1074" s="897">
        <f>E1074*C1074</f>
        <v>4200</v>
      </c>
      <c r="G1074" s="523">
        <v>0</v>
      </c>
      <c r="H1074" s="898">
        <f>G1074*C1074</f>
        <v>0</v>
      </c>
      <c r="I1074" s="898">
        <f>H1074+F1074</f>
        <v>4200</v>
      </c>
      <c r="J1074" s="660"/>
    </row>
    <row r="1075" spans="1:10">
      <c r="A1075" s="661"/>
      <c r="B1075" s="662" t="s">
        <v>450</v>
      </c>
      <c r="C1075" s="498">
        <v>1</v>
      </c>
      <c r="D1075" s="499" t="s">
        <v>451</v>
      </c>
      <c r="E1075" s="500">
        <f>SUM(F1072:F1074)*30%</f>
        <v>2791.7999999999997</v>
      </c>
      <c r="F1075" s="663">
        <f>E1075*C1075</f>
        <v>2791.7999999999997</v>
      </c>
      <c r="G1075" s="672">
        <v>0</v>
      </c>
      <c r="H1075" s="660">
        <f>G1075*C1075</f>
        <v>0</v>
      </c>
      <c r="I1075" s="665">
        <f>H1075+F1075</f>
        <v>2791.7999999999997</v>
      </c>
      <c r="J1075" s="660"/>
    </row>
    <row r="1076" spans="1:10">
      <c r="A1076" s="661" t="s">
        <v>1728</v>
      </c>
      <c r="B1076" s="785" t="s">
        <v>1626</v>
      </c>
      <c r="C1076" s="498"/>
      <c r="D1076" s="499"/>
      <c r="E1076" s="500"/>
      <c r="F1076" s="663"/>
      <c r="G1076" s="672"/>
      <c r="H1076" s="665"/>
      <c r="I1076" s="665"/>
      <c r="J1076" s="489"/>
    </row>
    <row r="1077" spans="1:10">
      <c r="A1077" s="661"/>
      <c r="B1077" s="862" t="s">
        <v>1616</v>
      </c>
      <c r="C1077" s="506">
        <f>'Architecture '!C399</f>
        <v>30</v>
      </c>
      <c r="D1077" s="505" t="s">
        <v>16</v>
      </c>
      <c r="E1077" s="489">
        <v>95</v>
      </c>
      <c r="F1077" s="660">
        <f>E1077*C1077</f>
        <v>2850</v>
      </c>
      <c r="G1077" s="672">
        <v>82</v>
      </c>
      <c r="H1077" s="665">
        <f>G1077*C1077</f>
        <v>2460</v>
      </c>
      <c r="I1077" s="665">
        <f>H1077+F1077</f>
        <v>5310</v>
      </c>
      <c r="J1077" s="489"/>
    </row>
    <row r="1078" spans="1:10">
      <c r="A1078" s="661"/>
      <c r="B1078" s="862" t="s">
        <v>1615</v>
      </c>
      <c r="C1078" s="506">
        <f>ROUNDUP(22*1.5,0)</f>
        <v>33</v>
      </c>
      <c r="D1078" s="505" t="s">
        <v>14</v>
      </c>
      <c r="E1078" s="489">
        <v>350</v>
      </c>
      <c r="F1078" s="660">
        <f>E1078*C1078</f>
        <v>11550</v>
      </c>
      <c r="G1078" s="672">
        <v>50</v>
      </c>
      <c r="H1078" s="665">
        <f>G1078*C1078</f>
        <v>1650</v>
      </c>
      <c r="I1078" s="665">
        <f>H1078+F1078</f>
        <v>13200</v>
      </c>
      <c r="J1078" s="489"/>
    </row>
    <row r="1079" spans="1:10">
      <c r="A1079" s="661" t="s">
        <v>1729</v>
      </c>
      <c r="B1079" s="785" t="s">
        <v>1627</v>
      </c>
      <c r="C1079" s="506"/>
      <c r="D1079" s="505"/>
      <c r="E1079" s="489"/>
      <c r="F1079" s="660"/>
      <c r="G1079" s="672"/>
      <c r="H1079" s="665"/>
      <c r="I1079" s="665"/>
      <c r="J1079" s="489"/>
    </row>
    <row r="1080" spans="1:10">
      <c r="A1080" s="661"/>
      <c r="B1080" s="862" t="s">
        <v>1397</v>
      </c>
      <c r="C1080" s="506">
        <f>ROUNDUP((0.4+1.35+3.34+0.5+3.34)*7.01,0)</f>
        <v>63</v>
      </c>
      <c r="D1080" s="505" t="s">
        <v>19</v>
      </c>
      <c r="E1080" s="489">
        <v>28</v>
      </c>
      <c r="F1080" s="660">
        <f>E1080*C1080</f>
        <v>1764</v>
      </c>
      <c r="G1080" s="672">
        <v>12</v>
      </c>
      <c r="H1080" s="665">
        <f>G1080*C1080</f>
        <v>756</v>
      </c>
      <c r="I1080" s="665">
        <f>H1080+F1080</f>
        <v>2520</v>
      </c>
      <c r="J1080" s="489"/>
    </row>
    <row r="1081" spans="1:10">
      <c r="A1081" s="661"/>
      <c r="B1081" s="862" t="s">
        <v>1398</v>
      </c>
      <c r="C1081" s="506">
        <f>ROUNDUP((((0.85*2)*14)+((0.4+1.35+3.34+0.5+3.34)*2))*2.36,0)</f>
        <v>99</v>
      </c>
      <c r="D1081" s="505" t="s">
        <v>19</v>
      </c>
      <c r="E1081" s="489">
        <v>28</v>
      </c>
      <c r="F1081" s="660">
        <f>E1081*C1081</f>
        <v>2772</v>
      </c>
      <c r="G1081" s="672">
        <v>12</v>
      </c>
      <c r="H1081" s="665">
        <f>G1081*C1081</f>
        <v>1188</v>
      </c>
      <c r="I1081" s="665">
        <f>H1081+F1081</f>
        <v>3960</v>
      </c>
      <c r="J1081" s="489"/>
    </row>
    <row r="1082" spans="1:10">
      <c r="A1082" s="661"/>
      <c r="B1082" s="862" t="s">
        <v>1756</v>
      </c>
      <c r="C1082" s="506">
        <f>ROUNDUP(((0.1+0.05+0.1+0.05)*(0.4+1.35+3.34+0.5+3.34))+((0.05+0.05+0.006+0.006)*(((0.85*2)*14)+((0.4+1.35+3.34+0.5+3.34))*2)),0)</f>
        <v>8</v>
      </c>
      <c r="D1082" s="505" t="s">
        <v>16</v>
      </c>
      <c r="E1082" s="489">
        <v>58</v>
      </c>
      <c r="F1082" s="660">
        <f>E1082*C1082</f>
        <v>464</v>
      </c>
      <c r="G1082" s="672">
        <v>35</v>
      </c>
      <c r="H1082" s="665">
        <f>G1082*C1082</f>
        <v>280</v>
      </c>
      <c r="I1082" s="665">
        <f>H1082+F1082</f>
        <v>744</v>
      </c>
      <c r="J1082" s="489"/>
    </row>
    <row r="1083" spans="1:10">
      <c r="A1083" s="661"/>
      <c r="B1083" s="662" t="s">
        <v>450</v>
      </c>
      <c r="C1083" s="498">
        <v>1</v>
      </c>
      <c r="D1083" s="499" t="s">
        <v>44</v>
      </c>
      <c r="E1083" s="500">
        <f>SUM(F1080:F1082)*20%</f>
        <v>1000</v>
      </c>
      <c r="F1083" s="663">
        <f>E1083*C1083</f>
        <v>1000</v>
      </c>
      <c r="G1083" s="664">
        <v>0</v>
      </c>
      <c r="H1083" s="665">
        <f>G1083*C1083</f>
        <v>0</v>
      </c>
      <c r="I1083" s="665">
        <f>H1083+F1083</f>
        <v>1000</v>
      </c>
      <c r="J1083" s="489"/>
    </row>
    <row r="1084" spans="1:10">
      <c r="A1084" s="661" t="s">
        <v>1730</v>
      </c>
      <c r="B1084" s="785" t="s">
        <v>1628</v>
      </c>
      <c r="C1084" s="498"/>
      <c r="D1084" s="499"/>
      <c r="E1084" s="500"/>
      <c r="F1084" s="663"/>
      <c r="G1084" s="672"/>
      <c r="H1084" s="665"/>
      <c r="I1084" s="665"/>
      <c r="J1084" s="489"/>
    </row>
    <row r="1085" spans="1:10">
      <c r="A1085" s="661"/>
      <c r="B1085" s="862" t="s">
        <v>1790</v>
      </c>
      <c r="C1085" s="506">
        <f>'Architecture '!D401</f>
        <v>42</v>
      </c>
      <c r="D1085" s="505" t="s">
        <v>16</v>
      </c>
      <c r="E1085" s="489">
        <v>350</v>
      </c>
      <c r="F1085" s="660">
        <f>E1085*C1085</f>
        <v>14700</v>
      </c>
      <c r="G1085" s="672">
        <v>198</v>
      </c>
      <c r="H1085" s="665">
        <f>G1085*C1085</f>
        <v>8316</v>
      </c>
      <c r="I1085" s="665">
        <f>H1085+F1085</f>
        <v>23016</v>
      </c>
      <c r="J1085" s="489"/>
    </row>
    <row r="1086" spans="1:10">
      <c r="A1086" s="661" t="s">
        <v>1731</v>
      </c>
      <c r="B1086" s="785" t="s">
        <v>1629</v>
      </c>
      <c r="C1086" s="506"/>
      <c r="D1086" s="505"/>
      <c r="E1086" s="489"/>
      <c r="F1086" s="660"/>
      <c r="G1086" s="672"/>
      <c r="H1086" s="665"/>
      <c r="I1086" s="665"/>
      <c r="J1086" s="489"/>
    </row>
    <row r="1087" spans="1:10">
      <c r="A1087" s="661"/>
      <c r="B1087" s="862" t="s">
        <v>1397</v>
      </c>
      <c r="C1087" s="506">
        <f>ROUNDUP((0.85+3.34+0.6+3.35+0.1)*7.01,0)</f>
        <v>58</v>
      </c>
      <c r="D1087" s="505" t="s">
        <v>19</v>
      </c>
      <c r="E1087" s="489">
        <v>28</v>
      </c>
      <c r="F1087" s="660">
        <f>E1087*C1087</f>
        <v>1624</v>
      </c>
      <c r="G1087" s="672">
        <v>12</v>
      </c>
      <c r="H1087" s="665">
        <f>G1087*C1087</f>
        <v>696</v>
      </c>
      <c r="I1087" s="665">
        <f>H1087+F1087</f>
        <v>2320</v>
      </c>
      <c r="J1087" s="489"/>
    </row>
    <row r="1088" spans="1:10">
      <c r="A1088" s="661"/>
      <c r="B1088" s="862" t="s">
        <v>1398</v>
      </c>
      <c r="C1088" s="506">
        <f>ROUNDUP((((0.85*2)*15)+((0.85+3.34+0.6+3.35+0.1)*2))*2.36,0)</f>
        <v>100</v>
      </c>
      <c r="D1088" s="505" t="s">
        <v>19</v>
      </c>
      <c r="E1088" s="489">
        <v>28</v>
      </c>
      <c r="F1088" s="660">
        <f>E1088*C1088</f>
        <v>2800</v>
      </c>
      <c r="G1088" s="672">
        <v>12</v>
      </c>
      <c r="H1088" s="665">
        <f>G1088*C1088</f>
        <v>1200</v>
      </c>
      <c r="I1088" s="665">
        <f>H1088+F1088</f>
        <v>4000</v>
      </c>
      <c r="J1088" s="489"/>
    </row>
    <row r="1089" spans="1:10">
      <c r="A1089" s="661"/>
      <c r="B1089" s="862" t="s">
        <v>1756</v>
      </c>
      <c r="C1089" s="506">
        <f>ROUNDUP(((0.1+0.05+0.1+0.05)*(0.85+3.34+0.6+3.35+0.1))+((0.05+0.05+0.006+0.006)*(((0.85*2)*15)+((0.85+3.34+0.6+3.35+0.1))*2)),0)</f>
        <v>8</v>
      </c>
      <c r="D1089" s="505" t="s">
        <v>16</v>
      </c>
      <c r="E1089" s="489">
        <v>58</v>
      </c>
      <c r="F1089" s="660">
        <f>E1089*C1089</f>
        <v>464</v>
      </c>
      <c r="G1089" s="672">
        <v>35</v>
      </c>
      <c r="H1089" s="665">
        <f>G1089*C1089</f>
        <v>280</v>
      </c>
      <c r="I1089" s="665">
        <f>H1089+F1089</f>
        <v>744</v>
      </c>
      <c r="J1089" s="489"/>
    </row>
    <row r="1090" spans="1:10">
      <c r="A1090" s="661"/>
      <c r="B1090" s="662" t="s">
        <v>450</v>
      </c>
      <c r="C1090" s="498">
        <v>1</v>
      </c>
      <c r="D1090" s="499" t="s">
        <v>44</v>
      </c>
      <c r="E1090" s="500">
        <f>SUM(F1087:F1089)*20%</f>
        <v>977.6</v>
      </c>
      <c r="F1090" s="663">
        <f>E1090*C1090</f>
        <v>977.6</v>
      </c>
      <c r="G1090" s="664">
        <v>0</v>
      </c>
      <c r="H1090" s="665">
        <f>G1090*C1090</f>
        <v>0</v>
      </c>
      <c r="I1090" s="665">
        <f>H1090+F1090</f>
        <v>977.6</v>
      </c>
      <c r="J1090" s="489"/>
    </row>
    <row r="1091" spans="1:10">
      <c r="A1091" s="661" t="s">
        <v>1732</v>
      </c>
      <c r="B1091" s="785" t="s">
        <v>1537</v>
      </c>
      <c r="C1091" s="506"/>
      <c r="D1091" s="505"/>
      <c r="E1091" s="489"/>
      <c r="F1091" s="660"/>
      <c r="G1091" s="672"/>
      <c r="H1091" s="665"/>
      <c r="I1091" s="665"/>
      <c r="J1091" s="489"/>
    </row>
    <row r="1092" spans="1:10">
      <c r="A1092" s="661"/>
      <c r="B1092" s="919" t="s">
        <v>40</v>
      </c>
      <c r="C1092" s="506"/>
      <c r="D1092" s="874"/>
      <c r="E1092" s="489"/>
      <c r="F1092" s="660"/>
      <c r="G1092" s="672"/>
      <c r="H1092" s="665"/>
      <c r="I1092" s="665"/>
      <c r="J1092" s="489"/>
    </row>
    <row r="1093" spans="1:10">
      <c r="A1093" s="685">
        <f>'Sannitary ware'!R43</f>
        <v>1</v>
      </c>
      <c r="B1093" s="863" t="str">
        <f>'Sannitary ware'!S43</f>
        <v xml:space="preserve"> - โถสุขภัณฑ์สองชิ้น</v>
      </c>
      <c r="C1093" s="506">
        <f>'Sannitary ware'!AA43</f>
        <v>20</v>
      </c>
      <c r="D1093" s="874" t="s">
        <v>15</v>
      </c>
      <c r="E1093" s="920">
        <f>'Sannitary ware'!AN7</f>
        <v>4850</v>
      </c>
      <c r="F1093" s="660">
        <f t="shared" ref="F1093:F1129" si="84">E1093*C1093</f>
        <v>97000</v>
      </c>
      <c r="G1093" s="921">
        <f>'Sannitary ware'!AP7</f>
        <v>450</v>
      </c>
      <c r="H1093" s="665">
        <f t="shared" ref="H1093:H1099" si="85">G1093*C1093</f>
        <v>9000</v>
      </c>
      <c r="I1093" s="665">
        <f t="shared" ref="I1093:I1129" si="86">H1093+F1093</f>
        <v>106000</v>
      </c>
      <c r="J1093" s="660"/>
    </row>
    <row r="1094" spans="1:10">
      <c r="A1094" s="685">
        <f>'Sannitary ware'!R44</f>
        <v>1</v>
      </c>
      <c r="B1094" s="863" t="str">
        <f>'Sannitary ware'!S44</f>
        <v xml:space="preserve">     • STOP VALVE 1/2" </v>
      </c>
      <c r="C1094" s="506">
        <f>'Sannitary ware'!AA44</f>
        <v>20</v>
      </c>
      <c r="D1094" s="874" t="s">
        <v>27</v>
      </c>
      <c r="E1094" s="920">
        <f>'Sannitary ware'!AN8</f>
        <v>80</v>
      </c>
      <c r="F1094" s="660">
        <f t="shared" si="84"/>
        <v>1600</v>
      </c>
      <c r="G1094" s="921">
        <f>'Sannitary ware'!AP8</f>
        <v>35</v>
      </c>
      <c r="H1094" s="665">
        <f t="shared" si="85"/>
        <v>700</v>
      </c>
      <c r="I1094" s="665">
        <f t="shared" si="86"/>
        <v>2300</v>
      </c>
      <c r="J1094" s="660"/>
    </row>
    <row r="1095" spans="1:10">
      <c r="A1095" s="685" t="str">
        <f>'Sannitary ware'!R45</f>
        <v>1'</v>
      </c>
      <c r="B1095" s="863" t="str">
        <f>'Sannitary ware'!S45</f>
        <v xml:space="preserve"> - โถสุขภัณฑ์สองชิ้น  (ห้องน้ำผู้พิการ)</v>
      </c>
      <c r="C1095" s="506">
        <f>'Sannitary ware'!AA45</f>
        <v>1</v>
      </c>
      <c r="D1095" s="874" t="s">
        <v>15</v>
      </c>
      <c r="E1095" s="920">
        <f>'Sannitary ware'!AN9</f>
        <v>4850</v>
      </c>
      <c r="F1095" s="660">
        <f t="shared" si="84"/>
        <v>4850</v>
      </c>
      <c r="G1095" s="921">
        <f>'Sannitary ware'!AP9</f>
        <v>450</v>
      </c>
      <c r="H1095" s="665">
        <f t="shared" si="85"/>
        <v>450</v>
      </c>
      <c r="I1095" s="665">
        <f t="shared" si="86"/>
        <v>5300</v>
      </c>
      <c r="J1095" s="489"/>
    </row>
    <row r="1096" spans="1:10">
      <c r="A1096" s="685" t="str">
        <f>'Sannitary ware'!R46</f>
        <v>1'</v>
      </c>
      <c r="B1096" s="863" t="str">
        <f>'Sannitary ware'!S46</f>
        <v xml:space="preserve">     • STOP VALVE 1/2" </v>
      </c>
      <c r="C1096" s="506">
        <f>'Sannitary ware'!AA46</f>
        <v>1</v>
      </c>
      <c r="D1096" s="874" t="s">
        <v>27</v>
      </c>
      <c r="E1096" s="920">
        <f>'Sannitary ware'!AN10</f>
        <v>80</v>
      </c>
      <c r="F1096" s="660">
        <f t="shared" si="84"/>
        <v>80</v>
      </c>
      <c r="G1096" s="921">
        <f>'Sannitary ware'!AP10</f>
        <v>35</v>
      </c>
      <c r="H1096" s="665">
        <f t="shared" si="85"/>
        <v>35</v>
      </c>
      <c r="I1096" s="665">
        <f t="shared" si="86"/>
        <v>115</v>
      </c>
      <c r="J1096" s="660"/>
    </row>
    <row r="1097" spans="1:10">
      <c r="A1097" s="685">
        <f>'Sannitary ware'!R47</f>
        <v>2</v>
      </c>
      <c r="B1097" s="863" t="str">
        <f>'Sannitary ware'!S47</f>
        <v xml:space="preserve"> - สายชำระพร้อมสต๊อปวาล์ว</v>
      </c>
      <c r="C1097" s="506">
        <f>'Sannitary ware'!AA47</f>
        <v>20</v>
      </c>
      <c r="D1097" s="874" t="s">
        <v>15</v>
      </c>
      <c r="E1097" s="920">
        <f>'Sannitary ware'!AN11</f>
        <v>1180</v>
      </c>
      <c r="F1097" s="660">
        <f t="shared" si="84"/>
        <v>23600</v>
      </c>
      <c r="G1097" s="921">
        <f>'Sannitary ware'!AP11</f>
        <v>105</v>
      </c>
      <c r="H1097" s="534">
        <f t="shared" si="85"/>
        <v>2100</v>
      </c>
      <c r="I1097" s="534">
        <f t="shared" si="86"/>
        <v>25700</v>
      </c>
      <c r="J1097" s="660"/>
    </row>
    <row r="1098" spans="1:10">
      <c r="A1098" s="685">
        <f>'Sannitary ware'!R48</f>
        <v>3</v>
      </c>
      <c r="B1098" s="863" t="str">
        <f>'Sannitary ware'!S48</f>
        <v xml:space="preserve"> - โถปัสสาวะชายพร้อมฟลัชวาล์ว</v>
      </c>
      <c r="C1098" s="506">
        <f>'Sannitary ware'!AA48</f>
        <v>8</v>
      </c>
      <c r="D1098" s="874" t="s">
        <v>15</v>
      </c>
      <c r="E1098" s="920">
        <f>'Sannitary ware'!AN12</f>
        <v>5500</v>
      </c>
      <c r="F1098" s="660">
        <f t="shared" si="84"/>
        <v>44000</v>
      </c>
      <c r="G1098" s="921">
        <f>'Sannitary ware'!AP12</f>
        <v>450</v>
      </c>
      <c r="H1098" s="534">
        <f t="shared" si="85"/>
        <v>3600</v>
      </c>
      <c r="I1098" s="534">
        <f t="shared" si="86"/>
        <v>47600</v>
      </c>
      <c r="J1098" s="660"/>
    </row>
    <row r="1099" spans="1:10">
      <c r="A1099" s="685">
        <f>'Sannitary ware'!R49</f>
        <v>4</v>
      </c>
      <c r="B1099" s="863" t="str">
        <f>'Sannitary ware'!S49</f>
        <v xml:space="preserve"> - อ่างล้างหน้าแบบฝังเคาน์เตอร์ </v>
      </c>
      <c r="C1099" s="506">
        <f>'Sannitary ware'!AA49</f>
        <v>17</v>
      </c>
      <c r="D1099" s="874" t="s">
        <v>15</v>
      </c>
      <c r="E1099" s="920">
        <f>'Sannitary ware'!AN13</f>
        <v>3500</v>
      </c>
      <c r="F1099" s="660">
        <f t="shared" si="84"/>
        <v>59500</v>
      </c>
      <c r="G1099" s="1680">
        <f>'Sannitary ware'!AP13</f>
        <v>450</v>
      </c>
      <c r="H1099" s="1683">
        <f t="shared" si="85"/>
        <v>7650</v>
      </c>
      <c r="I1099" s="534">
        <f t="shared" si="86"/>
        <v>67150</v>
      </c>
      <c r="J1099" s="660"/>
    </row>
    <row r="1100" spans="1:10">
      <c r="A1100" s="685">
        <f>'Sannitary ware'!R50</f>
        <v>4</v>
      </c>
      <c r="B1100" s="863" t="str">
        <f>'Sannitary ware'!S50</f>
        <v xml:space="preserve">     • ก๊อกน้ำเดี่ยวอ่างล้างหน้า </v>
      </c>
      <c r="C1100" s="506">
        <f>'Sannitary ware'!AA50</f>
        <v>17</v>
      </c>
      <c r="D1100" s="874" t="s">
        <v>15</v>
      </c>
      <c r="E1100" s="920">
        <f>'Sannitary ware'!AN14</f>
        <v>0</v>
      </c>
      <c r="F1100" s="660">
        <f t="shared" si="84"/>
        <v>0</v>
      </c>
      <c r="G1100" s="1681"/>
      <c r="H1100" s="1684"/>
      <c r="I1100" s="534">
        <f t="shared" si="86"/>
        <v>0</v>
      </c>
      <c r="J1100" s="660"/>
    </row>
    <row r="1101" spans="1:10">
      <c r="A1101" s="685">
        <f>'Sannitary ware'!R51</f>
        <v>4</v>
      </c>
      <c r="B1101" s="863" t="str">
        <f>'Sannitary ware'!S51</f>
        <v xml:space="preserve">     • ท่อน้ำทิ้งอ่างล้างหน้า </v>
      </c>
      <c r="C1101" s="506">
        <f>'Sannitary ware'!AA51</f>
        <v>17</v>
      </c>
      <c r="D1101" s="874" t="s">
        <v>15</v>
      </c>
      <c r="E1101" s="920">
        <f>'Sannitary ware'!AN15</f>
        <v>0</v>
      </c>
      <c r="F1101" s="660">
        <f t="shared" si="84"/>
        <v>0</v>
      </c>
      <c r="G1101" s="1681"/>
      <c r="H1101" s="1684"/>
      <c r="I1101" s="534">
        <f t="shared" si="86"/>
        <v>0</v>
      </c>
      <c r="J1101" s="660"/>
    </row>
    <row r="1102" spans="1:10">
      <c r="A1102" s="685">
        <f>'Sannitary ware'!R52</f>
        <v>4</v>
      </c>
      <c r="B1102" s="863" t="str">
        <f>'Sannitary ware'!S52</f>
        <v xml:space="preserve">     • สะดืออ่างล้างหน้าแบบกด </v>
      </c>
      <c r="C1102" s="506">
        <f>'Sannitary ware'!AA52</f>
        <v>17</v>
      </c>
      <c r="D1102" s="874" t="s">
        <v>15</v>
      </c>
      <c r="E1102" s="920">
        <f>'Sannitary ware'!AN16</f>
        <v>0</v>
      </c>
      <c r="F1102" s="660">
        <f t="shared" si="84"/>
        <v>0</v>
      </c>
      <c r="G1102" s="1681"/>
      <c r="H1102" s="1684"/>
      <c r="I1102" s="534">
        <f t="shared" si="86"/>
        <v>0</v>
      </c>
      <c r="J1102" s="660"/>
    </row>
    <row r="1103" spans="1:10">
      <c r="A1103" s="685">
        <f>'Sannitary ware'!R53</f>
        <v>4</v>
      </c>
      <c r="B1103" s="863" t="str">
        <f>'Sannitary ware'!S53</f>
        <v xml:space="preserve">     • สายน้ำดีอ่างล้างหน้าสแตนเลสถักยาว 16" </v>
      </c>
      <c r="C1103" s="506">
        <f>'Sannitary ware'!AA53</f>
        <v>17</v>
      </c>
      <c r="D1103" s="874" t="s">
        <v>15</v>
      </c>
      <c r="E1103" s="920">
        <f>'Sannitary ware'!AN17</f>
        <v>0</v>
      </c>
      <c r="F1103" s="660">
        <f t="shared" si="84"/>
        <v>0</v>
      </c>
      <c r="G1103" s="1681"/>
      <c r="H1103" s="1684"/>
      <c r="I1103" s="534">
        <f t="shared" si="86"/>
        <v>0</v>
      </c>
      <c r="J1103" s="922"/>
    </row>
    <row r="1104" spans="1:10">
      <c r="A1104" s="685">
        <f>'Sannitary ware'!R54</f>
        <v>4</v>
      </c>
      <c r="B1104" s="863" t="str">
        <f>'Sannitary ware'!S54</f>
        <v xml:space="preserve">     • STOP VALVE 1/2" </v>
      </c>
      <c r="C1104" s="506">
        <f>'Sannitary ware'!AA54</f>
        <v>17</v>
      </c>
      <c r="D1104" s="874" t="s">
        <v>27</v>
      </c>
      <c r="E1104" s="920">
        <f>'Sannitary ware'!AN18</f>
        <v>0</v>
      </c>
      <c r="F1104" s="660">
        <f t="shared" si="84"/>
        <v>0</v>
      </c>
      <c r="G1104" s="1682"/>
      <c r="H1104" s="1685"/>
      <c r="I1104" s="665">
        <f t="shared" si="86"/>
        <v>0</v>
      </c>
      <c r="J1104" s="489"/>
    </row>
    <row r="1105" spans="1:10">
      <c r="A1105" s="685" t="str">
        <f>'Sannitary ware'!R55</f>
        <v>4'</v>
      </c>
      <c r="B1105" s="863" t="str">
        <f>'Sannitary ware'!S55</f>
        <v xml:space="preserve"> - อ่างล้างหน้าแบบแขวนผนัง (ห้องน้ำผู้พิการ)</v>
      </c>
      <c r="C1105" s="506">
        <f>'Sannitary ware'!AA55</f>
        <v>1</v>
      </c>
      <c r="D1105" s="874" t="s">
        <v>15</v>
      </c>
      <c r="E1105" s="920">
        <f>'Sannitary ware'!AN19</f>
        <v>2300</v>
      </c>
      <c r="F1105" s="660">
        <f t="shared" si="84"/>
        <v>2300</v>
      </c>
      <c r="G1105" s="1680">
        <f>'Sannitary ware'!AP19</f>
        <v>450</v>
      </c>
      <c r="H1105" s="1683">
        <f t="shared" ref="H1105:H1129" si="87">G1105*C1105</f>
        <v>450</v>
      </c>
      <c r="I1105" s="665">
        <f t="shared" si="86"/>
        <v>2750</v>
      </c>
      <c r="J1105" s="489"/>
    </row>
    <row r="1106" spans="1:10">
      <c r="A1106" s="685" t="str">
        <f>'Sannitary ware'!R56</f>
        <v>4'</v>
      </c>
      <c r="B1106" s="863" t="str">
        <f>'Sannitary ware'!S56</f>
        <v xml:space="preserve">     • ก๊อกน้ำเดี่ยวอ่างล้างหน้า </v>
      </c>
      <c r="C1106" s="506">
        <f>'Sannitary ware'!AA56</f>
        <v>1</v>
      </c>
      <c r="D1106" s="874" t="s">
        <v>15</v>
      </c>
      <c r="E1106" s="920">
        <f>'Sannitary ware'!AN20</f>
        <v>0</v>
      </c>
      <c r="F1106" s="660">
        <f t="shared" si="84"/>
        <v>0</v>
      </c>
      <c r="G1106" s="1681"/>
      <c r="H1106" s="1684"/>
      <c r="I1106" s="665">
        <f t="shared" si="86"/>
        <v>0</v>
      </c>
      <c r="J1106" s="489"/>
    </row>
    <row r="1107" spans="1:10">
      <c r="A1107" s="685" t="str">
        <f>'Sannitary ware'!R57</f>
        <v>4'</v>
      </c>
      <c r="B1107" s="863" t="str">
        <f>'Sannitary ware'!S57</f>
        <v xml:space="preserve">     • ท่อน้ำทิ้งอ่างล้างหน้า </v>
      </c>
      <c r="C1107" s="506">
        <f>'Sannitary ware'!AA57</f>
        <v>1</v>
      </c>
      <c r="D1107" s="874" t="s">
        <v>15</v>
      </c>
      <c r="E1107" s="920">
        <f>'Sannitary ware'!AN21</f>
        <v>0</v>
      </c>
      <c r="F1107" s="660">
        <f t="shared" si="84"/>
        <v>0</v>
      </c>
      <c r="G1107" s="1681"/>
      <c r="H1107" s="1684"/>
      <c r="I1107" s="665">
        <f t="shared" si="86"/>
        <v>0</v>
      </c>
      <c r="J1107" s="489"/>
    </row>
    <row r="1108" spans="1:10">
      <c r="A1108" s="685" t="str">
        <f>'Sannitary ware'!R58</f>
        <v>4'</v>
      </c>
      <c r="B1108" s="863" t="str">
        <f>'Sannitary ware'!S58</f>
        <v xml:space="preserve">     • สะดืออ่างล้างหน้าแบบกด </v>
      </c>
      <c r="C1108" s="506">
        <f>'Sannitary ware'!AA58</f>
        <v>1</v>
      </c>
      <c r="D1108" s="874" t="s">
        <v>15</v>
      </c>
      <c r="E1108" s="920">
        <f>'Sannitary ware'!AN22</f>
        <v>0</v>
      </c>
      <c r="F1108" s="660">
        <f t="shared" si="84"/>
        <v>0</v>
      </c>
      <c r="G1108" s="1681"/>
      <c r="H1108" s="1684"/>
      <c r="I1108" s="665">
        <f t="shared" si="86"/>
        <v>0</v>
      </c>
      <c r="J1108" s="660"/>
    </row>
    <row r="1109" spans="1:10">
      <c r="A1109" s="685" t="str">
        <f>'Sannitary ware'!R59</f>
        <v>4'</v>
      </c>
      <c r="B1109" s="863" t="str">
        <f>'Sannitary ware'!S59</f>
        <v xml:space="preserve">     • สายน้ำดีอ่างล้างหน้าสแตนเลสถักยาว 16" </v>
      </c>
      <c r="C1109" s="506">
        <f>'Sannitary ware'!AA59</f>
        <v>1</v>
      </c>
      <c r="D1109" s="874" t="s">
        <v>15</v>
      </c>
      <c r="E1109" s="920">
        <f>'Sannitary ware'!AN23</f>
        <v>0</v>
      </c>
      <c r="F1109" s="660">
        <f t="shared" si="84"/>
        <v>0</v>
      </c>
      <c r="G1109" s="1681"/>
      <c r="H1109" s="1684"/>
      <c r="I1109" s="665">
        <f t="shared" si="86"/>
        <v>0</v>
      </c>
      <c r="J1109" s="660"/>
    </row>
    <row r="1110" spans="1:10">
      <c r="A1110" s="685" t="str">
        <f>'Sannitary ware'!R60</f>
        <v>4'</v>
      </c>
      <c r="B1110" s="863" t="str">
        <f>'Sannitary ware'!S60</f>
        <v xml:space="preserve">     • STOP VALVE 1/2" </v>
      </c>
      <c r="C1110" s="506">
        <f>'Sannitary ware'!AA60</f>
        <v>1</v>
      </c>
      <c r="D1110" s="874" t="s">
        <v>27</v>
      </c>
      <c r="E1110" s="920">
        <f>'Sannitary ware'!AN24</f>
        <v>0</v>
      </c>
      <c r="F1110" s="660">
        <f t="shared" si="84"/>
        <v>0</v>
      </c>
      <c r="G1110" s="1682"/>
      <c r="H1110" s="1685"/>
      <c r="I1110" s="665">
        <f t="shared" si="86"/>
        <v>0</v>
      </c>
      <c r="J1110" s="660"/>
    </row>
    <row r="1111" spans="1:10">
      <c r="A1111" s="685">
        <f>'Sannitary ware'!R61</f>
        <v>5</v>
      </c>
      <c r="B1111" s="863" t="str">
        <f>'Sannitary ware'!S61</f>
        <v xml:space="preserve"> - บานกระจกเงาหนา 6 มม. ขนาด 1.00  x 1.00 ม.(ห้องน้ำผู้พิการ)</v>
      </c>
      <c r="C1111" s="506">
        <f>'Sannitary ware'!AA61</f>
        <v>1</v>
      </c>
      <c r="D1111" s="874" t="s">
        <v>15</v>
      </c>
      <c r="E1111" s="920">
        <f>'Sannitary ware'!AN25</f>
        <v>2153</v>
      </c>
      <c r="F1111" s="660">
        <f t="shared" si="84"/>
        <v>2153</v>
      </c>
      <c r="G1111" s="921">
        <f>'Sannitary ware'!AP25</f>
        <v>120</v>
      </c>
      <c r="H1111" s="665">
        <f t="shared" si="87"/>
        <v>120</v>
      </c>
      <c r="I1111" s="665">
        <f t="shared" si="86"/>
        <v>2273</v>
      </c>
      <c r="J1111" s="660"/>
    </row>
    <row r="1112" spans="1:10">
      <c r="A1112" s="685">
        <f>'Sannitary ware'!R62</f>
        <v>5</v>
      </c>
      <c r="B1112" s="863" t="str">
        <f>'Sannitary ware'!S62</f>
        <v xml:space="preserve"> - บานกระจกเงาหนา 6 มม. ขนาด 2.80  x 1.00 ม.</v>
      </c>
      <c r="C1112" s="506">
        <f>'Sannitary ware'!AA62</f>
        <v>1</v>
      </c>
      <c r="D1112" s="874" t="s">
        <v>15</v>
      </c>
      <c r="E1112" s="920">
        <f>'Sannitary ware'!AN26</f>
        <v>6028</v>
      </c>
      <c r="F1112" s="660">
        <f t="shared" si="84"/>
        <v>6028</v>
      </c>
      <c r="G1112" s="921">
        <f>'Sannitary ware'!AP26</f>
        <v>120</v>
      </c>
      <c r="H1112" s="665">
        <f t="shared" si="87"/>
        <v>120</v>
      </c>
      <c r="I1112" s="665">
        <f t="shared" si="86"/>
        <v>6148</v>
      </c>
      <c r="J1112" s="660"/>
    </row>
    <row r="1113" spans="1:10">
      <c r="A1113" s="685">
        <f>'Sannitary ware'!R63</f>
        <v>5</v>
      </c>
      <c r="B1113" s="863" t="str">
        <f>'Sannitary ware'!S63</f>
        <v xml:space="preserve"> - บานกระจกเงาหนา 6 มม. ขนาด 3.00  x 1.00 ม.</v>
      </c>
      <c r="C1113" s="506">
        <f>'Sannitary ware'!AA63</f>
        <v>1</v>
      </c>
      <c r="D1113" s="874" t="s">
        <v>15</v>
      </c>
      <c r="E1113" s="920">
        <f>'Sannitary ware'!AN27</f>
        <v>6459</v>
      </c>
      <c r="F1113" s="660">
        <f t="shared" si="84"/>
        <v>6459</v>
      </c>
      <c r="G1113" s="921">
        <f>'Sannitary ware'!AP27</f>
        <v>120</v>
      </c>
      <c r="H1113" s="665">
        <f t="shared" si="87"/>
        <v>120</v>
      </c>
      <c r="I1113" s="665">
        <f t="shared" si="86"/>
        <v>6579</v>
      </c>
      <c r="J1113" s="660"/>
    </row>
    <row r="1114" spans="1:10">
      <c r="A1114" s="685">
        <f>'Sannitary ware'!R64</f>
        <v>5</v>
      </c>
      <c r="B1114" s="863" t="str">
        <f>'Sannitary ware'!S64</f>
        <v xml:space="preserve"> - บานกระจกเงาหนา 6 มม. ขนาด 3.70  x 1.00 ม.</v>
      </c>
      <c r="C1114" s="506">
        <f>'Sannitary ware'!AA64</f>
        <v>1</v>
      </c>
      <c r="D1114" s="874" t="s">
        <v>15</v>
      </c>
      <c r="E1114" s="920">
        <f>'Sannitary ware'!AN28</f>
        <v>7966</v>
      </c>
      <c r="F1114" s="660">
        <f t="shared" si="84"/>
        <v>7966</v>
      </c>
      <c r="G1114" s="921">
        <f>'Sannitary ware'!AP28</f>
        <v>120</v>
      </c>
      <c r="H1114" s="665">
        <f t="shared" si="87"/>
        <v>120</v>
      </c>
      <c r="I1114" s="665">
        <f t="shared" si="86"/>
        <v>8086</v>
      </c>
      <c r="J1114" s="660"/>
    </row>
    <row r="1115" spans="1:10">
      <c r="A1115" s="685">
        <f>'Sannitary ware'!R65</f>
        <v>5</v>
      </c>
      <c r="B1115" s="863" t="str">
        <f>'Sannitary ware'!S65</f>
        <v xml:space="preserve"> - บานกระจกเงาหนา 6 มม. ขนาด 5.60  x 1.00 ม. </v>
      </c>
      <c r="C1115" s="506">
        <f>'Sannitary ware'!AA65</f>
        <v>1</v>
      </c>
      <c r="D1115" s="874" t="s">
        <v>15</v>
      </c>
      <c r="E1115" s="920">
        <f>'Sannitary ware'!AN29</f>
        <v>12056</v>
      </c>
      <c r="F1115" s="660">
        <f t="shared" si="84"/>
        <v>12056</v>
      </c>
      <c r="G1115" s="921">
        <f>'Sannitary ware'!AP29</f>
        <v>120</v>
      </c>
      <c r="H1115" s="665">
        <f t="shared" si="87"/>
        <v>120</v>
      </c>
      <c r="I1115" s="665">
        <f t="shared" si="86"/>
        <v>12176</v>
      </c>
      <c r="J1115" s="660"/>
    </row>
    <row r="1116" spans="1:10">
      <c r="A1116" s="685">
        <f>'Sannitary ware'!R66</f>
        <v>6</v>
      </c>
      <c r="B1116" s="863" t="str">
        <f>'Sannitary ware'!S66</f>
        <v xml:space="preserve"> - ราวจับตัวแอล</v>
      </c>
      <c r="C1116" s="506">
        <f>'Sannitary ware'!AA66</f>
        <v>2</v>
      </c>
      <c r="D1116" s="874" t="s">
        <v>15</v>
      </c>
      <c r="E1116" s="920">
        <f>'Sannitary ware'!AN30</f>
        <v>3600</v>
      </c>
      <c r="F1116" s="660">
        <f t="shared" si="84"/>
        <v>7200</v>
      </c>
      <c r="G1116" s="921">
        <f>'Sannitary ware'!AP30</f>
        <v>105</v>
      </c>
      <c r="H1116" s="665">
        <f t="shared" si="87"/>
        <v>210</v>
      </c>
      <c r="I1116" s="665">
        <f t="shared" si="86"/>
        <v>7410</v>
      </c>
      <c r="J1116" s="660"/>
    </row>
    <row r="1117" spans="1:10">
      <c r="A1117" s="685" t="str">
        <f>'Sannitary ware'!R67</f>
        <v>6'</v>
      </c>
      <c r="B1117" s="863" t="str">
        <f>'Sannitary ware'!S67</f>
        <v xml:space="preserve"> - ราวจับตัวที</v>
      </c>
      <c r="C1117" s="506">
        <f>'Sannitary ware'!AA67</f>
        <v>1</v>
      </c>
      <c r="D1117" s="874" t="s">
        <v>15</v>
      </c>
      <c r="E1117" s="920">
        <f>'Sannitary ware'!AN31</f>
        <v>2590</v>
      </c>
      <c r="F1117" s="660">
        <f t="shared" si="84"/>
        <v>2590</v>
      </c>
      <c r="G1117" s="921">
        <f>'Sannitary ware'!AP31</f>
        <v>105</v>
      </c>
      <c r="H1117" s="665">
        <f t="shared" si="87"/>
        <v>105</v>
      </c>
      <c r="I1117" s="665">
        <f t="shared" si="86"/>
        <v>2695</v>
      </c>
      <c r="J1117" s="660"/>
    </row>
    <row r="1118" spans="1:10">
      <c r="A1118" s="685">
        <f>'Sannitary ware'!R68</f>
        <v>7</v>
      </c>
      <c r="B1118" s="863" t="str">
        <f>'Sannitary ware'!S68</f>
        <v xml:space="preserve"> - ที่ใส่กระดาษชำระ (ห้องผู้พิการ,ห้อง VIP)</v>
      </c>
      <c r="C1118" s="506">
        <f>'Sannitary ware'!AA68</f>
        <v>1</v>
      </c>
      <c r="D1118" s="874" t="s">
        <v>15</v>
      </c>
      <c r="E1118" s="920">
        <f>'Sannitary ware'!AN32</f>
        <v>390</v>
      </c>
      <c r="F1118" s="660">
        <f t="shared" si="84"/>
        <v>390</v>
      </c>
      <c r="G1118" s="921">
        <f>'Sannitary ware'!AP32</f>
        <v>120</v>
      </c>
      <c r="H1118" s="665">
        <f t="shared" si="87"/>
        <v>120</v>
      </c>
      <c r="I1118" s="665">
        <f t="shared" si="86"/>
        <v>510</v>
      </c>
      <c r="J1118" s="660"/>
    </row>
    <row r="1119" spans="1:10">
      <c r="A1119" s="685">
        <f>'Sannitary ware'!R69</f>
        <v>8</v>
      </c>
      <c r="B1119" s="863" t="str">
        <f>'Sannitary ware'!S69</f>
        <v xml:space="preserve"> - ก๊อกล้างพื้น </v>
      </c>
      <c r="C1119" s="506">
        <f>'Sannitary ware'!AA69</f>
        <v>5</v>
      </c>
      <c r="D1119" s="874" t="s">
        <v>15</v>
      </c>
      <c r="E1119" s="920">
        <f>'Sannitary ware'!AN33</f>
        <v>125</v>
      </c>
      <c r="F1119" s="660">
        <f t="shared" si="84"/>
        <v>625</v>
      </c>
      <c r="G1119" s="921">
        <f>'Sannitary ware'!AP33</f>
        <v>25</v>
      </c>
      <c r="H1119" s="665">
        <f t="shared" si="87"/>
        <v>125</v>
      </c>
      <c r="I1119" s="665">
        <f t="shared" si="86"/>
        <v>750</v>
      </c>
      <c r="J1119" s="660"/>
    </row>
    <row r="1120" spans="1:10">
      <c r="A1120" s="685"/>
      <c r="B1120" s="863" t="str">
        <f>'Sannitary ware'!S72</f>
        <v xml:space="preserve"> - ตะแกรงระบายน้ำที่พื้น </v>
      </c>
      <c r="C1120" s="506">
        <f>'Sannitary ware'!AA72</f>
        <v>10</v>
      </c>
      <c r="D1120" s="874" t="s">
        <v>15</v>
      </c>
      <c r="E1120" s="920">
        <f>'Sannitary ware'!AN36</f>
        <v>350</v>
      </c>
      <c r="F1120" s="660">
        <f t="shared" si="84"/>
        <v>3500</v>
      </c>
      <c r="G1120" s="921">
        <f>'Sannitary ware'!AP36</f>
        <v>75</v>
      </c>
      <c r="H1120" s="665">
        <f t="shared" si="87"/>
        <v>750</v>
      </c>
      <c r="I1120" s="665">
        <f t="shared" si="86"/>
        <v>4250</v>
      </c>
      <c r="J1120" s="660"/>
    </row>
    <row r="1121" spans="1:10">
      <c r="A1121" s="685" t="str">
        <f>'Sannitary ware'!R73</f>
        <v>P</v>
      </c>
      <c r="B1121" s="863" t="str">
        <f>'Sannitary ware'!S73</f>
        <v xml:space="preserve"> - ชุดผนังห้องน้ำสำเร็จรูป </v>
      </c>
      <c r="C1121" s="506">
        <f>'Sannitary ware'!AA73</f>
        <v>20</v>
      </c>
      <c r="D1121" s="874" t="s">
        <v>15</v>
      </c>
      <c r="E1121" s="920">
        <f>'Sannitary ware'!AN37</f>
        <v>12600</v>
      </c>
      <c r="F1121" s="660">
        <f t="shared" si="84"/>
        <v>252000</v>
      </c>
      <c r="G1121" s="921">
        <f>'Sannitary ware'!AP37</f>
        <v>1250</v>
      </c>
      <c r="H1121" s="665">
        <f t="shared" si="87"/>
        <v>25000</v>
      </c>
      <c r="I1121" s="665">
        <f t="shared" si="86"/>
        <v>277000</v>
      </c>
      <c r="J1121" s="660"/>
    </row>
    <row r="1122" spans="1:10">
      <c r="A1122" s="685"/>
      <c r="B1122" s="863" t="str">
        <f>'Sannitary ware'!S75</f>
        <v xml:space="preserve"> - TOP หินแกรนิตสีดำจีน หนา 25 มม.</v>
      </c>
      <c r="C1122" s="506">
        <f>'Sannitary ware'!AA75</f>
        <v>19</v>
      </c>
      <c r="D1122" s="505" t="s">
        <v>16</v>
      </c>
      <c r="E1122" s="920">
        <f>'Sannitary ware'!AN39</f>
        <v>2500</v>
      </c>
      <c r="F1122" s="660">
        <f t="shared" si="84"/>
        <v>47500</v>
      </c>
      <c r="G1122" s="921">
        <f>'Sannitary ware'!AP39</f>
        <v>250</v>
      </c>
      <c r="H1122" s="665">
        <f t="shared" si="87"/>
        <v>4750</v>
      </c>
      <c r="I1122" s="665">
        <f t="shared" si="86"/>
        <v>52250</v>
      </c>
      <c r="J1122" s="660"/>
    </row>
    <row r="1123" spans="1:10">
      <c r="A1123" s="685"/>
      <c r="B1123" s="863" t="str">
        <f>'Sannitary ware'!S76</f>
        <v xml:space="preserve"> - งานหล่อเคาน์เตอร์</v>
      </c>
      <c r="C1123" s="506">
        <f>'Sannitary ware'!AA76</f>
        <v>16</v>
      </c>
      <c r="D1123" s="874" t="s">
        <v>14</v>
      </c>
      <c r="E1123" s="920">
        <f>'Sannitary ware'!AN40</f>
        <v>0</v>
      </c>
      <c r="F1123" s="660">
        <f t="shared" si="84"/>
        <v>0</v>
      </c>
      <c r="G1123" s="921">
        <v>160</v>
      </c>
      <c r="H1123" s="665">
        <f t="shared" si="87"/>
        <v>2560</v>
      </c>
      <c r="I1123" s="665">
        <f t="shared" si="86"/>
        <v>2560</v>
      </c>
      <c r="J1123" s="660"/>
    </row>
    <row r="1124" spans="1:10">
      <c r="A1124" s="661"/>
      <c r="B1124" s="863" t="s">
        <v>453</v>
      </c>
      <c r="C1124" s="923">
        <f>ROUNDUP((((0.6*C1123*0.15)*2400)/393),0)</f>
        <v>9</v>
      </c>
      <c r="D1124" s="505" t="s">
        <v>42</v>
      </c>
      <c r="E1124" s="489">
        <v>135</v>
      </c>
      <c r="F1124" s="660">
        <f t="shared" si="84"/>
        <v>1215</v>
      </c>
      <c r="G1124" s="672">
        <v>0</v>
      </c>
      <c r="H1124" s="665">
        <f t="shared" si="87"/>
        <v>0</v>
      </c>
      <c r="I1124" s="665">
        <f t="shared" si="86"/>
        <v>1215</v>
      </c>
      <c r="J1124" s="660"/>
    </row>
    <row r="1125" spans="1:10">
      <c r="A1125" s="661"/>
      <c r="B1125" s="863" t="s">
        <v>454</v>
      </c>
      <c r="C1125" s="923">
        <f>ROUNDUP((((0.6*C1124*0.12)*1450)/653),0)</f>
        <v>2</v>
      </c>
      <c r="D1125" s="505" t="s">
        <v>43</v>
      </c>
      <c r="E1125" s="489">
        <v>450</v>
      </c>
      <c r="F1125" s="660">
        <f t="shared" si="84"/>
        <v>900</v>
      </c>
      <c r="G1125" s="672">
        <v>0</v>
      </c>
      <c r="H1125" s="665">
        <f t="shared" si="87"/>
        <v>0</v>
      </c>
      <c r="I1125" s="665">
        <f t="shared" si="86"/>
        <v>900</v>
      </c>
      <c r="J1125" s="660"/>
    </row>
    <row r="1126" spans="1:10">
      <c r="A1126" s="661"/>
      <c r="B1126" s="863" t="s">
        <v>455</v>
      </c>
      <c r="C1126" s="521">
        <f>C1125</f>
        <v>2</v>
      </c>
      <c r="D1126" s="505" t="s">
        <v>43</v>
      </c>
      <c r="E1126" s="489">
        <v>460</v>
      </c>
      <c r="F1126" s="660">
        <f t="shared" si="84"/>
        <v>920</v>
      </c>
      <c r="G1126" s="672">
        <v>0</v>
      </c>
      <c r="H1126" s="665">
        <f t="shared" si="87"/>
        <v>0</v>
      </c>
      <c r="I1126" s="665">
        <f t="shared" si="86"/>
        <v>920</v>
      </c>
      <c r="J1126" s="489"/>
    </row>
    <row r="1127" spans="1:10">
      <c r="A1127" s="661"/>
      <c r="B1127" s="863" t="s">
        <v>456</v>
      </c>
      <c r="C1127" s="920">
        <f>ROUNDUP((((0.6*(C1123/0.15))*2)+((C1123*(0.6/0.15)*2))*0.499),0)</f>
        <v>192</v>
      </c>
      <c r="D1127" s="505" t="s">
        <v>19</v>
      </c>
      <c r="E1127" s="489">
        <v>21.38</v>
      </c>
      <c r="F1127" s="660">
        <f t="shared" si="84"/>
        <v>4104.96</v>
      </c>
      <c r="G1127" s="672">
        <v>0</v>
      </c>
      <c r="H1127" s="665">
        <f t="shared" si="87"/>
        <v>0</v>
      </c>
      <c r="I1127" s="665">
        <f t="shared" si="86"/>
        <v>4104.96</v>
      </c>
      <c r="J1127" s="660"/>
    </row>
    <row r="1128" spans="1:10">
      <c r="A1128" s="661"/>
      <c r="B1128" s="863" t="s">
        <v>457</v>
      </c>
      <c r="C1128" s="521">
        <f>(0.6*C1123*0.2)</f>
        <v>1.92</v>
      </c>
      <c r="D1128" s="874" t="s">
        <v>16</v>
      </c>
      <c r="E1128" s="489">
        <v>400</v>
      </c>
      <c r="F1128" s="660">
        <f t="shared" si="84"/>
        <v>768</v>
      </c>
      <c r="G1128" s="672">
        <v>0</v>
      </c>
      <c r="H1128" s="665">
        <f t="shared" si="87"/>
        <v>0</v>
      </c>
      <c r="I1128" s="665">
        <f t="shared" si="86"/>
        <v>768</v>
      </c>
      <c r="J1128" s="660"/>
    </row>
    <row r="1129" spans="1:10">
      <c r="A1129" s="661"/>
      <c r="B1129" s="662" t="s">
        <v>1056</v>
      </c>
      <c r="C1129" s="506">
        <v>1</v>
      </c>
      <c r="D1129" s="505" t="s">
        <v>44</v>
      </c>
      <c r="E1129" s="489">
        <f>SUM(F1092:F1128)*20%</f>
        <v>117860.992</v>
      </c>
      <c r="F1129" s="660">
        <f t="shared" si="84"/>
        <v>117860.992</v>
      </c>
      <c r="G1129" s="672">
        <v>0</v>
      </c>
      <c r="H1129" s="665">
        <f t="shared" si="87"/>
        <v>0</v>
      </c>
      <c r="I1129" s="665">
        <f t="shared" si="86"/>
        <v>117860.992</v>
      </c>
      <c r="J1129" s="489"/>
    </row>
    <row r="1130" spans="1:10">
      <c r="A1130" s="661" t="s">
        <v>1733</v>
      </c>
      <c r="B1130" s="785" t="s">
        <v>47</v>
      </c>
      <c r="C1130" s="506"/>
      <c r="D1130" s="505"/>
      <c r="E1130" s="489"/>
      <c r="F1130" s="660"/>
      <c r="G1130" s="672"/>
      <c r="H1130" s="665"/>
      <c r="I1130" s="665"/>
      <c r="J1130" s="660"/>
    </row>
    <row r="1131" spans="1:10">
      <c r="A1131" s="661"/>
      <c r="B1131" s="785" t="s">
        <v>48</v>
      </c>
      <c r="C1131" s="506"/>
      <c r="D1131" s="505"/>
      <c r="E1131" s="489"/>
      <c r="F1131" s="660"/>
      <c r="G1131" s="672"/>
      <c r="H1131" s="665"/>
      <c r="I1131" s="665"/>
      <c r="J1131" s="660"/>
    </row>
    <row r="1132" spans="1:10" ht="48">
      <c r="A1132" s="661"/>
      <c r="B1132" s="924" t="str">
        <f>'Architecture '!DV311</f>
        <v xml:space="preserve"> - D.D3.2 ประตูบานเปิดคู่พร้อมช่องแสงติดตาย วงกบ 2"x4" ทำสีตามตัวอย่าง ลูกฟัก กระจกลามิเนตใส 6 มม. ขนาด 1.90 x 2.85 มม.</v>
      </c>
      <c r="C1132" s="867">
        <f>'Architecture '!DQ311</f>
        <v>2</v>
      </c>
      <c r="D1132" s="744" t="s">
        <v>15</v>
      </c>
      <c r="E1132" s="527">
        <f>'Architecture '!DX311</f>
        <v>24368</v>
      </c>
      <c r="F1132" s="668">
        <f t="shared" ref="F1132:F1143" si="88">E1132*C1132</f>
        <v>48736</v>
      </c>
      <c r="G1132" s="669">
        <v>0</v>
      </c>
      <c r="H1132" s="670">
        <f t="shared" ref="H1132:H1143" si="89">G1132*C1132</f>
        <v>0</v>
      </c>
      <c r="I1132" s="670">
        <f t="shared" ref="I1132:I1143" si="90">H1132+F1132</f>
        <v>48736</v>
      </c>
      <c r="J1132" s="660"/>
    </row>
    <row r="1133" spans="1:10" ht="48">
      <c r="A1133" s="661"/>
      <c r="B1133" s="924" t="str">
        <f>'Architecture '!DV319</f>
        <v xml:space="preserve"> - D.D9.1 ประตูบานเปิดสวิงคู่พร้อมช่องแสงติดตาย วงกบ 2"x4" อบสีดำ ลูกฟัก กระจกลามิเนตใส 6 มม. ขนาด 2.10 x 2.50 มม.</v>
      </c>
      <c r="C1133" s="867">
        <f>'Architecture '!DQ319</f>
        <v>1</v>
      </c>
      <c r="D1133" s="744" t="s">
        <v>15</v>
      </c>
      <c r="E1133" s="527">
        <f>'Architecture '!DX319</f>
        <v>23625</v>
      </c>
      <c r="F1133" s="668">
        <f t="shared" si="88"/>
        <v>23625</v>
      </c>
      <c r="G1133" s="669">
        <v>0</v>
      </c>
      <c r="H1133" s="670">
        <f t="shared" si="89"/>
        <v>0</v>
      </c>
      <c r="I1133" s="670">
        <f t="shared" si="90"/>
        <v>23625</v>
      </c>
      <c r="J1133" s="660"/>
    </row>
    <row r="1134" spans="1:10" ht="48">
      <c r="A1134" s="661"/>
      <c r="B1134" s="924" t="str">
        <f>'Architecture '!DV321</f>
        <v xml:space="preserve"> - D.D11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1134" s="867">
        <f>'Architecture '!DQ321</f>
        <v>4</v>
      </c>
      <c r="D1134" s="744" t="s">
        <v>15</v>
      </c>
      <c r="E1134" s="527">
        <f>'Architecture '!DX321</f>
        <v>12375</v>
      </c>
      <c r="F1134" s="668">
        <f t="shared" si="88"/>
        <v>49500</v>
      </c>
      <c r="G1134" s="669">
        <v>0</v>
      </c>
      <c r="H1134" s="670">
        <f t="shared" si="89"/>
        <v>0</v>
      </c>
      <c r="I1134" s="670">
        <f t="shared" si="90"/>
        <v>49500</v>
      </c>
      <c r="J1134" s="660"/>
    </row>
    <row r="1135" spans="1:10" ht="48">
      <c r="A1135" s="661"/>
      <c r="B1135" s="924" t="str">
        <f>'Architecture '!DV322</f>
        <v xml:space="preserve"> - D.D12 ประตูบานเลื่อนพร้อมเกล็ดระบายอากาศด้านล่าง วงกบ ขนาด 2"x5" ทำสีตามตัวอย่าง ขนาด 1.10 x 2.50 มม.</v>
      </c>
      <c r="C1135" s="867">
        <f>'Architecture '!DQ322</f>
        <v>1</v>
      </c>
      <c r="D1135" s="744" t="s">
        <v>15</v>
      </c>
      <c r="E1135" s="527">
        <f>'Architecture '!DX322</f>
        <v>12375</v>
      </c>
      <c r="F1135" s="668">
        <f t="shared" si="88"/>
        <v>12375</v>
      </c>
      <c r="G1135" s="669">
        <v>0</v>
      </c>
      <c r="H1135" s="670">
        <f t="shared" si="89"/>
        <v>0</v>
      </c>
      <c r="I1135" s="670">
        <f t="shared" si="90"/>
        <v>12375</v>
      </c>
      <c r="J1135" s="660"/>
    </row>
    <row r="1136" spans="1:10" ht="48">
      <c r="A1136" s="661"/>
      <c r="B1136" s="924" t="str">
        <f>'Architecture '!DV323</f>
        <v xml:space="preserve"> - D.D13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1136" s="867">
        <f>'Architecture '!DQ323</f>
        <v>2</v>
      </c>
      <c r="D1136" s="744" t="s">
        <v>15</v>
      </c>
      <c r="E1136" s="527">
        <f>'Architecture '!DX323</f>
        <v>10148</v>
      </c>
      <c r="F1136" s="668">
        <f t="shared" si="88"/>
        <v>20296</v>
      </c>
      <c r="G1136" s="669">
        <v>0</v>
      </c>
      <c r="H1136" s="670">
        <f t="shared" si="89"/>
        <v>0</v>
      </c>
      <c r="I1136" s="670">
        <f t="shared" si="90"/>
        <v>20296</v>
      </c>
      <c r="J1136" s="660"/>
    </row>
    <row r="1137" spans="1:10" ht="48">
      <c r="A1137" s="661"/>
      <c r="B1137" s="924" t="str">
        <f>'Architecture '!DV324</f>
        <v xml:space="preserve"> - D.D14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1137" s="867">
        <f>'Architecture '!DQ324</f>
        <v>1</v>
      </c>
      <c r="D1137" s="744" t="s">
        <v>15</v>
      </c>
      <c r="E1137" s="527">
        <f>'Architecture '!DX324</f>
        <v>43515</v>
      </c>
      <c r="F1137" s="668">
        <f t="shared" si="88"/>
        <v>43515</v>
      </c>
      <c r="G1137" s="669">
        <v>0</v>
      </c>
      <c r="H1137" s="670">
        <f t="shared" si="89"/>
        <v>0</v>
      </c>
      <c r="I1137" s="670">
        <f t="shared" si="90"/>
        <v>43515</v>
      </c>
      <c r="J1137" s="660"/>
    </row>
    <row r="1138" spans="1:10" ht="48">
      <c r="A1138" s="661"/>
      <c r="B1138" s="924" t="str">
        <f>'Architecture '!DV325</f>
        <v xml:space="preserve"> - D.D15 ประตูบานเปิดสวิงคู่พร้อมช่องแสงติดตาย วงกบ 2"x4" อบสีดำ ลูกฟัก กระจกลามิเนตใส 6 มม. ขนาด 5.40 x 2.50 มม.</v>
      </c>
      <c r="C1138" s="867">
        <f>'Architecture '!DQ325</f>
        <v>2</v>
      </c>
      <c r="D1138" s="744" t="s">
        <v>15</v>
      </c>
      <c r="E1138" s="527">
        <f>'Architecture '!DX325</f>
        <v>60750</v>
      </c>
      <c r="F1138" s="668">
        <f t="shared" si="88"/>
        <v>121500</v>
      </c>
      <c r="G1138" s="669">
        <v>0</v>
      </c>
      <c r="H1138" s="670">
        <f t="shared" si="89"/>
        <v>0</v>
      </c>
      <c r="I1138" s="670">
        <f t="shared" si="90"/>
        <v>121500</v>
      </c>
      <c r="J1138" s="660"/>
    </row>
    <row r="1139" spans="1:10" ht="48">
      <c r="A1139" s="661"/>
      <c r="B1139" s="924" t="str">
        <f>'Architecture '!DV326</f>
        <v xml:space="preserve"> - D.D16 ประตูบานเปิดเดี่ยวพร้อมช่องแสงติดตาย วงกบ 2"x4" ทำสีตามตัวอย่าง ลูกฟัก กระจกลามิเนตใส 6 มม. ขนาด 4.90 x 2.50 มม.</v>
      </c>
      <c r="C1139" s="867">
        <f>'Architecture '!DQ326</f>
        <v>4</v>
      </c>
      <c r="D1139" s="744" t="s">
        <v>15</v>
      </c>
      <c r="E1139" s="527">
        <f>'Architecture '!DX326</f>
        <v>40545</v>
      </c>
      <c r="F1139" s="668">
        <f t="shared" si="88"/>
        <v>162180</v>
      </c>
      <c r="G1139" s="669">
        <v>0</v>
      </c>
      <c r="H1139" s="670">
        <f t="shared" si="89"/>
        <v>0</v>
      </c>
      <c r="I1139" s="670">
        <f t="shared" si="90"/>
        <v>162180</v>
      </c>
      <c r="J1139" s="660"/>
    </row>
    <row r="1140" spans="1:10" ht="48">
      <c r="A1140" s="661"/>
      <c r="B1140" s="924" t="str">
        <f>'Architecture '!DV327</f>
        <v xml:space="preserve"> - D.D17 ประตูบานเปิดเดี่ยวพร้อมช่องแสงติดตาย วงกบ 2"x4" ทำสีตามตัวอย่าง ลูกฟัก กระจกลามิเนตใส 6 มม. ขนาด 5.30 x 2.50 มม.</v>
      </c>
      <c r="C1140" s="867">
        <f>'Architecture '!DQ327</f>
        <v>6</v>
      </c>
      <c r="D1140" s="744" t="s">
        <v>15</v>
      </c>
      <c r="E1140" s="527">
        <f>'Architecture '!DX327</f>
        <v>43515</v>
      </c>
      <c r="F1140" s="668">
        <f t="shared" si="88"/>
        <v>261090</v>
      </c>
      <c r="G1140" s="669">
        <v>0</v>
      </c>
      <c r="H1140" s="670">
        <f t="shared" si="89"/>
        <v>0</v>
      </c>
      <c r="I1140" s="670">
        <f t="shared" si="90"/>
        <v>261090</v>
      </c>
      <c r="J1140" s="660"/>
    </row>
    <row r="1141" spans="1:10" ht="48">
      <c r="A1141" s="661"/>
      <c r="B1141" s="924" t="str">
        <f>'Architecture '!DV328</f>
        <v xml:space="preserve"> - D.D18 ประตูบานเปิดเดี่ยวพร้อมช่องแสงติดตาย วงกบ 2"x4" ทำสีตามตัวอย่าง ลูกฟัก กระจกลามิเนตใส 6 มม. ขนาด 5.35 x 2.50 มม.</v>
      </c>
      <c r="C1141" s="867">
        <f>'Architecture '!DQ328</f>
        <v>10</v>
      </c>
      <c r="D1141" s="744" t="s">
        <v>15</v>
      </c>
      <c r="E1141" s="527">
        <f>'Architecture '!DX328</f>
        <v>22005</v>
      </c>
      <c r="F1141" s="668">
        <f t="shared" si="88"/>
        <v>220050</v>
      </c>
      <c r="G1141" s="669">
        <v>0</v>
      </c>
      <c r="H1141" s="670">
        <f t="shared" si="89"/>
        <v>0</v>
      </c>
      <c r="I1141" s="670">
        <f t="shared" si="90"/>
        <v>220050</v>
      </c>
      <c r="J1141" s="660"/>
    </row>
    <row r="1142" spans="1:10" ht="48">
      <c r="A1142" s="661"/>
      <c r="B1142" s="924" t="str">
        <f>'Architecture '!DV329</f>
        <v xml:space="preserve"> - D.D19 ประตูบานเลื่อนคู่พร้อมช่องแสงติดตาย วงกบ 2"x4" อบสีดำ ลูกฟัก กระจกลามิเนตใส 6 มม. ขนาด 23.10 x 2.50 มม.</v>
      </c>
      <c r="C1142" s="867">
        <f>'Architecture '!DQ329</f>
        <v>2</v>
      </c>
      <c r="D1142" s="744" t="s">
        <v>15</v>
      </c>
      <c r="E1142" s="527">
        <f>'Architecture '!DX329</f>
        <v>259875</v>
      </c>
      <c r="F1142" s="668">
        <f t="shared" si="88"/>
        <v>519750</v>
      </c>
      <c r="G1142" s="669">
        <v>0</v>
      </c>
      <c r="H1142" s="670">
        <f t="shared" si="89"/>
        <v>0</v>
      </c>
      <c r="I1142" s="670">
        <f t="shared" si="90"/>
        <v>519750</v>
      </c>
      <c r="J1142" s="660"/>
    </row>
    <row r="1143" spans="1:10">
      <c r="A1143" s="661"/>
      <c r="B1143" s="925" t="str">
        <f>'Architecture '!DV330</f>
        <v xml:space="preserve"> - D.D20 ประตูบานเปิดคู่ วงกบ 2"x4" ทำสีตามตัวอย่าง ขนาด 1.50 x 1.05 มม.</v>
      </c>
      <c r="C1143" s="867">
        <f>'Architecture '!DQ330</f>
        <v>3</v>
      </c>
      <c r="D1143" s="744" t="s">
        <v>15</v>
      </c>
      <c r="E1143" s="527">
        <f>'Architecture '!DX330</f>
        <v>7088</v>
      </c>
      <c r="F1143" s="668">
        <f t="shared" si="88"/>
        <v>21264</v>
      </c>
      <c r="G1143" s="669">
        <v>0</v>
      </c>
      <c r="H1143" s="670">
        <f t="shared" si="89"/>
        <v>0</v>
      </c>
      <c r="I1143" s="670">
        <f t="shared" si="90"/>
        <v>21264</v>
      </c>
      <c r="J1143" s="660"/>
    </row>
    <row r="1144" spans="1:10">
      <c r="A1144" s="661"/>
      <c r="B1144" s="785" t="s">
        <v>49</v>
      </c>
      <c r="C1144" s="506"/>
      <c r="D1144" s="505"/>
      <c r="E1144" s="489"/>
      <c r="F1144" s="660"/>
      <c r="G1144" s="672"/>
      <c r="H1144" s="665"/>
      <c r="I1144" s="665"/>
      <c r="J1144" s="660"/>
    </row>
    <row r="1145" spans="1:10" ht="48">
      <c r="A1145" s="661"/>
      <c r="B1145" s="924" t="str">
        <f>'Architecture '!DV353</f>
        <v xml:space="preserve"> - D.W2.1 หน้าต่างบานเปิดพร้อมช่องแสงติดตาย วงกบ 2"x4" อบสีดำ ลูกฟัก กระจกลามิเนตเขียวใสตัดแสง 6 มม. ขนาด 5.05 x 1.65 มม.</v>
      </c>
      <c r="C1145" s="867">
        <f>'Architecture '!DQ353</f>
        <v>5</v>
      </c>
      <c r="D1145" s="744" t="s">
        <v>15</v>
      </c>
      <c r="E1145" s="527">
        <f>'Architecture '!DX353</f>
        <v>37497</v>
      </c>
      <c r="F1145" s="668">
        <f t="shared" ref="F1145:F1153" si="91">E1145*C1145</f>
        <v>187485</v>
      </c>
      <c r="G1145" s="669">
        <v>0</v>
      </c>
      <c r="H1145" s="670">
        <f t="shared" ref="H1145:H1154" si="92">G1145*C1145</f>
        <v>0</v>
      </c>
      <c r="I1145" s="670">
        <f t="shared" ref="I1145:I1153" si="93">H1145+F1145</f>
        <v>187485</v>
      </c>
      <c r="J1145" s="489"/>
    </row>
    <row r="1146" spans="1:10" ht="48">
      <c r="A1146" s="661"/>
      <c r="B1146" s="924" t="str">
        <f>'Architecture '!DV355</f>
        <v xml:space="preserve"> - D.W4 หน้าต่างบานกระทุ้งพร้อมช่องแสงติดตาย วงกบ 2"x4" อบสีดำ ลูกฟัก กระจกลามิเนตเขียวใสตัดแสง 6 มม. ขนาด 5.10 x 1.65 มม.</v>
      </c>
      <c r="C1146" s="867">
        <f>'Architecture '!DQ355</f>
        <v>5</v>
      </c>
      <c r="D1146" s="744" t="s">
        <v>15</v>
      </c>
      <c r="E1146" s="527">
        <f>'Architecture '!DX355</f>
        <v>37868</v>
      </c>
      <c r="F1146" s="668">
        <f t="shared" si="91"/>
        <v>189340</v>
      </c>
      <c r="G1146" s="669">
        <v>0</v>
      </c>
      <c r="H1146" s="670">
        <f t="shared" si="92"/>
        <v>0</v>
      </c>
      <c r="I1146" s="670">
        <f t="shared" si="93"/>
        <v>189340</v>
      </c>
      <c r="J1146" s="489"/>
    </row>
    <row r="1147" spans="1:10" ht="48">
      <c r="A1147" s="661"/>
      <c r="B1147" s="924" t="str">
        <f>'Architecture '!DV358</f>
        <v xml:space="preserve"> - D.W6.1 หน้าต่างบานเปิดพร้อมช่องแสงติดตาย วงกบ 2"x4" อบสีดำ ลูกฟัก กระจกลามิเนตเขียวใสตัดแสง 6 มม. ขนาด 1.79 x 1.65 มม.</v>
      </c>
      <c r="C1147" s="867">
        <f>'Architecture '!DQ358</f>
        <v>1</v>
      </c>
      <c r="D1147" s="744" t="s">
        <v>15</v>
      </c>
      <c r="E1147" s="527">
        <f>'Architecture '!DX358</f>
        <v>13291</v>
      </c>
      <c r="F1147" s="668">
        <f t="shared" si="91"/>
        <v>13291</v>
      </c>
      <c r="G1147" s="669">
        <v>0</v>
      </c>
      <c r="H1147" s="670">
        <f t="shared" si="92"/>
        <v>0</v>
      </c>
      <c r="I1147" s="670">
        <f t="shared" si="93"/>
        <v>13291</v>
      </c>
      <c r="J1147" s="489"/>
    </row>
    <row r="1148" spans="1:10" ht="48">
      <c r="A1148" s="661"/>
      <c r="B1148" s="924" t="str">
        <f>'Architecture '!DV362</f>
        <v xml:space="preserve"> - D.W7.2 หน้าต่างช่องแสงติดตายบานสลับ วงกบ 2"x5" อบสีดำ ลูกฟัก กระจกลามิเนตฝ้า 6 มม. ขนาด 2.30 x 0.85 มม.</v>
      </c>
      <c r="C1148" s="867">
        <f>'Architecture '!DQ362</f>
        <v>2</v>
      </c>
      <c r="D1148" s="744" t="s">
        <v>15</v>
      </c>
      <c r="E1148" s="527">
        <f>'Architecture '!DX362</f>
        <v>8798</v>
      </c>
      <c r="F1148" s="668">
        <f t="shared" si="91"/>
        <v>17596</v>
      </c>
      <c r="G1148" s="669">
        <v>0</v>
      </c>
      <c r="H1148" s="670">
        <f t="shared" si="92"/>
        <v>0</v>
      </c>
      <c r="I1148" s="670">
        <f t="shared" si="93"/>
        <v>17596</v>
      </c>
      <c r="J1148" s="489"/>
    </row>
    <row r="1149" spans="1:10" ht="48">
      <c r="A1149" s="661"/>
      <c r="B1149" s="924" t="str">
        <f>'Architecture '!DV363</f>
        <v xml:space="preserve"> - D.W7.3 หน้าต่างช่องแสงติดตายบานสลับ วงกบ 2"x5" อบสีดำ ลูกฟัก กระจกลามิเนตฝ้า 6 มม. ขนาด 1.18 x 0.85 มม.</v>
      </c>
      <c r="C1149" s="867">
        <f>'Architecture '!DQ363</f>
        <v>1</v>
      </c>
      <c r="D1149" s="744" t="s">
        <v>15</v>
      </c>
      <c r="E1149" s="527">
        <f>'Architecture '!DX363</f>
        <v>4514</v>
      </c>
      <c r="F1149" s="668">
        <f t="shared" si="91"/>
        <v>4514</v>
      </c>
      <c r="G1149" s="669">
        <v>0</v>
      </c>
      <c r="H1149" s="670">
        <f t="shared" si="92"/>
        <v>0</v>
      </c>
      <c r="I1149" s="670">
        <f t="shared" si="93"/>
        <v>4514</v>
      </c>
      <c r="J1149" s="489"/>
    </row>
    <row r="1150" spans="1:10" ht="48">
      <c r="A1150" s="661"/>
      <c r="B1150" s="924" t="str">
        <f>'Architecture '!DV367</f>
        <v xml:space="preserve"> - D.W10 หน้าต่างบานกระทุ้งพร้อมช่องแสงติดตาย วงกบ 2"x4" อบสีดำ ลูกฟัก กระจกลามิเนตเขียวใสตัดแสง 6 มม. ขนาด 1.80 x 1.65 มม.</v>
      </c>
      <c r="C1150" s="867">
        <f>'Architecture '!DQ367</f>
        <v>1</v>
      </c>
      <c r="D1150" s="744" t="s">
        <v>15</v>
      </c>
      <c r="E1150" s="527">
        <f>'Architecture '!DX367</f>
        <v>13365</v>
      </c>
      <c r="F1150" s="668">
        <f t="shared" si="91"/>
        <v>13365</v>
      </c>
      <c r="G1150" s="669">
        <v>0</v>
      </c>
      <c r="H1150" s="670">
        <f t="shared" si="92"/>
        <v>0</v>
      </c>
      <c r="I1150" s="670">
        <f t="shared" si="93"/>
        <v>13365</v>
      </c>
      <c r="J1150" s="489"/>
    </row>
    <row r="1151" spans="1:10" ht="48">
      <c r="A1151" s="661"/>
      <c r="B1151" s="924" t="str">
        <f>'Architecture '!DV368</f>
        <v xml:space="preserve"> - D.W11 หน้าต่างบานกระทุ้งพร้อมช่องแสงติดตาย วงกบ 2"x4" อบสีดำ ลูกฟัก กระจกลามิเนตเขียวใสตัดแสง 6 มม. ขนาด 2.50 x 1.65 มม.</v>
      </c>
      <c r="C1151" s="867">
        <f>'Architecture '!DQ368</f>
        <v>1</v>
      </c>
      <c r="D1151" s="744" t="s">
        <v>15</v>
      </c>
      <c r="E1151" s="527">
        <f>'Architecture '!DX368</f>
        <v>18563</v>
      </c>
      <c r="F1151" s="668">
        <f t="shared" si="91"/>
        <v>18563</v>
      </c>
      <c r="G1151" s="669">
        <v>0</v>
      </c>
      <c r="H1151" s="670">
        <f t="shared" si="92"/>
        <v>0</v>
      </c>
      <c r="I1151" s="670">
        <f t="shared" si="93"/>
        <v>18563</v>
      </c>
      <c r="J1151" s="489"/>
    </row>
    <row r="1152" spans="1:10" ht="48">
      <c r="A1152" s="661"/>
      <c r="B1152" s="924" t="str">
        <f>'Architecture '!DV373</f>
        <v xml:space="preserve"> - D.W16 หน้าต่างบานกระทุ้ง วงกบ 2"x4" อบสีดำ ลูกฟัก กระจกลามิเนตเขียวใสตัดแสง 6 มม. ขนาด 2.20 x 0.50 มม.</v>
      </c>
      <c r="C1152" s="867">
        <f>'Architecture '!DQ373</f>
        <v>1</v>
      </c>
      <c r="D1152" s="744" t="s">
        <v>15</v>
      </c>
      <c r="E1152" s="527">
        <f>'Architecture '!DX373</f>
        <v>4950</v>
      </c>
      <c r="F1152" s="668">
        <f t="shared" si="91"/>
        <v>4950</v>
      </c>
      <c r="G1152" s="669">
        <v>0</v>
      </c>
      <c r="H1152" s="670">
        <f t="shared" si="92"/>
        <v>0</v>
      </c>
      <c r="I1152" s="670">
        <f t="shared" si="93"/>
        <v>4950</v>
      </c>
      <c r="J1152" s="489"/>
    </row>
    <row r="1153" spans="1:10" ht="48">
      <c r="A1153" s="661"/>
      <c r="B1153" s="924" t="str">
        <f>'Architecture '!DV377</f>
        <v xml:space="preserve"> - D.W20 หน้าต่างบานเปิดพร้อมช่องแสงติดตาย วงกบ 2"x4" อบสีดำ ลูกฟัก กระจกลามิเนตเขียวใสตัดแสง 6 มม. ขนาด 7.40 x 2.10 มม.</v>
      </c>
      <c r="C1153" s="867">
        <f>'Architecture '!DQ377</f>
        <v>1</v>
      </c>
      <c r="D1153" s="744" t="s">
        <v>15</v>
      </c>
      <c r="E1153" s="527">
        <f>'Architecture '!DX377</f>
        <v>69930</v>
      </c>
      <c r="F1153" s="668">
        <f t="shared" si="91"/>
        <v>69930</v>
      </c>
      <c r="G1153" s="669">
        <v>0</v>
      </c>
      <c r="H1153" s="670">
        <f t="shared" si="92"/>
        <v>0</v>
      </c>
      <c r="I1153" s="670">
        <f t="shared" si="93"/>
        <v>69930</v>
      </c>
      <c r="J1153" s="489"/>
    </row>
    <row r="1154" spans="1:10">
      <c r="A1154" s="661"/>
      <c r="B1154" s="662" t="s">
        <v>1056</v>
      </c>
      <c r="C1154" s="498">
        <v>1</v>
      </c>
      <c r="D1154" s="499" t="s">
        <v>44</v>
      </c>
      <c r="E1154" s="500">
        <f>SUM(F1131:F1153)*20%</f>
        <v>404583</v>
      </c>
      <c r="F1154" s="663">
        <f>E1154*C1154</f>
        <v>404583</v>
      </c>
      <c r="G1154" s="672">
        <v>0</v>
      </c>
      <c r="H1154" s="665">
        <f t="shared" si="92"/>
        <v>0</v>
      </c>
      <c r="I1154" s="665">
        <f>H1154+F1154</f>
        <v>404583</v>
      </c>
      <c r="J1154" s="489"/>
    </row>
    <row r="1155" spans="1:10">
      <c r="A1155" s="661" t="s">
        <v>1734</v>
      </c>
      <c r="B1155" s="666" t="s">
        <v>1708</v>
      </c>
      <c r="C1155" s="498"/>
      <c r="D1155" s="499"/>
      <c r="E1155" s="500"/>
      <c r="F1155" s="663"/>
      <c r="G1155" s="672"/>
      <c r="H1155" s="665"/>
      <c r="I1155" s="665"/>
      <c r="J1155" s="489"/>
    </row>
    <row r="1156" spans="1:10">
      <c r="A1156" s="661"/>
      <c r="B1156" s="662" t="s">
        <v>1709</v>
      </c>
      <c r="C1156" s="498">
        <f>'Architecture '!DO404</f>
        <v>130</v>
      </c>
      <c r="D1156" s="526" t="s">
        <v>16</v>
      </c>
      <c r="E1156" s="527">
        <v>2500</v>
      </c>
      <c r="F1156" s="527">
        <f>E1156*C1156</f>
        <v>325000</v>
      </c>
      <c r="G1156" s="672">
        <f>E1156*0.2</f>
        <v>500</v>
      </c>
      <c r="H1156" s="528">
        <f>G1156*C1156</f>
        <v>65000</v>
      </c>
      <c r="I1156" s="528">
        <f>H1156+F1156</f>
        <v>390000</v>
      </c>
      <c r="J1156" s="489"/>
    </row>
    <row r="1157" spans="1:10">
      <c r="A1157" s="661"/>
      <c r="B1157" s="662" t="s">
        <v>450</v>
      </c>
      <c r="C1157" s="498">
        <v>1</v>
      </c>
      <c r="D1157" s="499" t="s">
        <v>451</v>
      </c>
      <c r="E1157" s="500">
        <f>SUM(F1156)*20%</f>
        <v>65000</v>
      </c>
      <c r="F1157" s="663">
        <f>E1157*C1157</f>
        <v>65000</v>
      </c>
      <c r="G1157" s="672">
        <v>0</v>
      </c>
      <c r="H1157" s="660">
        <f>G1157*C1157</f>
        <v>0</v>
      </c>
      <c r="I1157" s="665">
        <f>H1157+F1157</f>
        <v>65000</v>
      </c>
      <c r="J1157" s="489"/>
    </row>
    <row r="1158" spans="1:10">
      <c r="A1158" s="504">
        <v>3.13</v>
      </c>
      <c r="B1158" s="493" t="s">
        <v>1196</v>
      </c>
      <c r="C1158" s="506"/>
      <c r="D1158" s="505"/>
      <c r="E1158" s="489"/>
      <c r="F1158" s="489"/>
      <c r="G1158" s="507"/>
      <c r="H1158" s="490"/>
      <c r="I1158" s="490"/>
      <c r="J1158" s="489"/>
    </row>
    <row r="1159" spans="1:10">
      <c r="A1159" s="661" t="s">
        <v>1129</v>
      </c>
      <c r="B1159" s="919" t="s">
        <v>29</v>
      </c>
      <c r="C1159" s="506"/>
      <c r="D1159" s="505"/>
      <c r="E1159" s="489"/>
      <c r="F1159" s="660"/>
      <c r="G1159" s="672"/>
      <c r="H1159" s="665"/>
      <c r="I1159" s="665"/>
      <c r="J1159" s="489"/>
    </row>
    <row r="1160" spans="1:10">
      <c r="A1160" s="661"/>
      <c r="B1160" s="863" t="s">
        <v>430</v>
      </c>
      <c r="C1160" s="506">
        <f>'Architecture '!C460</f>
        <v>128</v>
      </c>
      <c r="D1160" s="505" t="s">
        <v>16</v>
      </c>
      <c r="E1160" s="489">
        <v>95</v>
      </c>
      <c r="F1160" s="660">
        <f>E1160*C1160</f>
        <v>12160</v>
      </c>
      <c r="G1160" s="672">
        <v>82</v>
      </c>
      <c r="H1160" s="665">
        <f>G1160*C1160</f>
        <v>10496</v>
      </c>
      <c r="I1160" s="665">
        <f>H1160+F1160</f>
        <v>22656</v>
      </c>
      <c r="J1160" s="489"/>
    </row>
    <row r="1161" spans="1:10">
      <c r="A1161" s="661"/>
      <c r="B1161" s="863" t="s">
        <v>1786</v>
      </c>
      <c r="C1161" s="506">
        <f>'Architecture '!D460</f>
        <v>1691</v>
      </c>
      <c r="D1161" s="505" t="s">
        <v>16</v>
      </c>
      <c r="E1161" s="489">
        <v>350</v>
      </c>
      <c r="F1161" s="660">
        <f>E1161*C1161</f>
        <v>591850</v>
      </c>
      <c r="G1161" s="672">
        <v>198</v>
      </c>
      <c r="H1161" s="665">
        <f>G1161*C1161</f>
        <v>334818</v>
      </c>
      <c r="I1161" s="665">
        <f>H1161+F1161</f>
        <v>926668</v>
      </c>
      <c r="J1161" s="489"/>
    </row>
    <row r="1162" spans="1:10">
      <c r="A1162" s="661"/>
      <c r="B1162" s="926" t="s">
        <v>1788</v>
      </c>
      <c r="C1162" s="506">
        <f>'Architecture '!E460</f>
        <v>112</v>
      </c>
      <c r="D1162" s="505" t="s">
        <v>16</v>
      </c>
      <c r="E1162" s="489">
        <v>560</v>
      </c>
      <c r="F1162" s="660">
        <f>E1162*C1162</f>
        <v>62720</v>
      </c>
      <c r="G1162" s="672">
        <v>250</v>
      </c>
      <c r="H1162" s="665">
        <f>G1162*C1162</f>
        <v>28000</v>
      </c>
      <c r="I1162" s="665">
        <f>H1162+F1162</f>
        <v>90720</v>
      </c>
      <c r="J1162" s="489"/>
    </row>
    <row r="1163" spans="1:10">
      <c r="A1163" s="661"/>
      <c r="B1163" s="863" t="s">
        <v>1636</v>
      </c>
      <c r="C1163" s="506">
        <f>'Architecture '!H460</f>
        <v>125</v>
      </c>
      <c r="D1163" s="505" t="s">
        <v>16</v>
      </c>
      <c r="E1163" s="489">
        <v>101</v>
      </c>
      <c r="F1163" s="660">
        <f>E1163*C1163</f>
        <v>12625</v>
      </c>
      <c r="G1163" s="672">
        <v>82</v>
      </c>
      <c r="H1163" s="665">
        <f>G1163*C1163</f>
        <v>10250</v>
      </c>
      <c r="I1163" s="665">
        <f>H1163+F1163</f>
        <v>22875</v>
      </c>
      <c r="J1163" s="489"/>
    </row>
    <row r="1164" spans="1:10">
      <c r="A1164" s="661"/>
      <c r="B1164" s="863" t="s">
        <v>30</v>
      </c>
      <c r="C1164" s="506">
        <f>C1162</f>
        <v>112</v>
      </c>
      <c r="D1164" s="505" t="s">
        <v>16</v>
      </c>
      <c r="E1164" s="489">
        <v>83</v>
      </c>
      <c r="F1164" s="660">
        <f>E1164*C1164</f>
        <v>9296</v>
      </c>
      <c r="G1164" s="672">
        <v>82</v>
      </c>
      <c r="H1164" s="665">
        <f>G1164*C1164</f>
        <v>9184</v>
      </c>
      <c r="I1164" s="665">
        <f>H1164+F1164</f>
        <v>18480</v>
      </c>
      <c r="J1164" s="489"/>
    </row>
    <row r="1165" spans="1:10">
      <c r="A1165" s="661" t="s">
        <v>1130</v>
      </c>
      <c r="B1165" s="919" t="s">
        <v>31</v>
      </c>
      <c r="C1165" s="506"/>
      <c r="D1165" s="874"/>
      <c r="E1165" s="489"/>
      <c r="F1165" s="660"/>
      <c r="G1165" s="672"/>
      <c r="H1165" s="665"/>
      <c r="I1165" s="665"/>
      <c r="J1165" s="489"/>
    </row>
    <row r="1166" spans="1:10">
      <c r="A1166" s="661"/>
      <c r="B1166" s="919" t="s">
        <v>32</v>
      </c>
      <c r="C1166" s="506"/>
      <c r="D1166" s="874"/>
      <c r="E1166" s="489"/>
      <c r="F1166" s="660"/>
      <c r="G1166" s="672"/>
      <c r="H1166" s="665"/>
      <c r="I1166" s="665"/>
      <c r="J1166" s="489"/>
    </row>
    <row r="1167" spans="1:10">
      <c r="A1167" s="661"/>
      <c r="B1167" s="863" t="s">
        <v>433</v>
      </c>
      <c r="C1167" s="498">
        <f>'Architecture '!U460</f>
        <v>2437</v>
      </c>
      <c r="D1167" s="874" t="s">
        <v>16</v>
      </c>
      <c r="E1167" s="489">
        <v>285</v>
      </c>
      <c r="F1167" s="660">
        <f>E1167*C1167</f>
        <v>694545</v>
      </c>
      <c r="G1167" s="672">
        <v>89</v>
      </c>
      <c r="H1167" s="665">
        <f>G1167*C1167</f>
        <v>216893</v>
      </c>
      <c r="I1167" s="665">
        <f>H1167+F1167</f>
        <v>911438</v>
      </c>
      <c r="J1167" s="489"/>
    </row>
    <row r="1168" spans="1:10">
      <c r="A1168" s="661"/>
      <c r="B1168" s="863" t="s">
        <v>1428</v>
      </c>
      <c r="C1168" s="506">
        <f>'Architecture '!V460</f>
        <v>114</v>
      </c>
      <c r="D1168" s="874" t="s">
        <v>16</v>
      </c>
      <c r="E1168" s="489">
        <v>584</v>
      </c>
      <c r="F1168" s="660">
        <f>E1168*C1168</f>
        <v>66576</v>
      </c>
      <c r="G1168" s="672">
        <v>167</v>
      </c>
      <c r="H1168" s="665">
        <f>G1168*C1168</f>
        <v>19038</v>
      </c>
      <c r="I1168" s="665">
        <f>H1168+F1168</f>
        <v>85614</v>
      </c>
      <c r="J1168" s="489"/>
    </row>
    <row r="1169" spans="1:10">
      <c r="A1169" s="661"/>
      <c r="B1169" s="863" t="s">
        <v>33</v>
      </c>
      <c r="C1169" s="498">
        <f>'Architecture '!AQ460+'Architecture '!AR460+'Architecture '!AS460+'Architecture '!AT460</f>
        <v>1355</v>
      </c>
      <c r="D1169" s="874" t="s">
        <v>14</v>
      </c>
      <c r="E1169" s="489">
        <v>70</v>
      </c>
      <c r="F1169" s="660">
        <f>E1169*C1169</f>
        <v>94850</v>
      </c>
      <c r="G1169" s="672">
        <v>44</v>
      </c>
      <c r="H1169" s="665">
        <f>G1169*C1169</f>
        <v>59620</v>
      </c>
      <c r="I1169" s="665">
        <f>H1169+F1169</f>
        <v>154470</v>
      </c>
      <c r="J1169" s="489"/>
    </row>
    <row r="1170" spans="1:10">
      <c r="A1170" s="661"/>
      <c r="B1170" s="785" t="s">
        <v>34</v>
      </c>
      <c r="C1170" s="506"/>
      <c r="D1170" s="505"/>
      <c r="E1170" s="489"/>
      <c r="F1170" s="660"/>
      <c r="G1170" s="672"/>
      <c r="H1170" s="665"/>
      <c r="I1170" s="665"/>
      <c r="J1170" s="489"/>
    </row>
    <row r="1171" spans="1:10">
      <c r="A1171" s="661"/>
      <c r="B1171" s="927" t="s">
        <v>1415</v>
      </c>
      <c r="C1171" s="498">
        <f>'Architecture '!AC460</f>
        <v>1143</v>
      </c>
      <c r="D1171" s="874" t="s">
        <v>16</v>
      </c>
      <c r="E1171" s="489">
        <v>75</v>
      </c>
      <c r="F1171" s="660">
        <f>E1171*C1171</f>
        <v>85725</v>
      </c>
      <c r="G1171" s="672">
        <v>95</v>
      </c>
      <c r="H1171" s="665">
        <f>G1171*C1171</f>
        <v>108585</v>
      </c>
      <c r="I1171" s="665">
        <f>H1171+F1171</f>
        <v>194310</v>
      </c>
      <c r="J1171" s="489"/>
    </row>
    <row r="1172" spans="1:10">
      <c r="A1172" s="661"/>
      <c r="B1172" s="863" t="s">
        <v>1390</v>
      </c>
      <c r="C1172" s="498">
        <f>'Architecture '!AD460</f>
        <v>3401</v>
      </c>
      <c r="D1172" s="874" t="s">
        <v>16</v>
      </c>
      <c r="E1172" s="489">
        <v>75</v>
      </c>
      <c r="F1172" s="660">
        <f>E1172*C1172</f>
        <v>255075</v>
      </c>
      <c r="G1172" s="672">
        <v>82</v>
      </c>
      <c r="H1172" s="665">
        <f>G1172*C1172</f>
        <v>278882</v>
      </c>
      <c r="I1172" s="665">
        <f>H1172+F1172</f>
        <v>533957</v>
      </c>
      <c r="J1172" s="489"/>
    </row>
    <row r="1173" spans="1:10">
      <c r="A1173" s="661"/>
      <c r="B1173" s="863" t="s">
        <v>1372</v>
      </c>
      <c r="C1173" s="498">
        <f>'Architecture '!AG460</f>
        <v>351</v>
      </c>
      <c r="D1173" s="874" t="s">
        <v>16</v>
      </c>
      <c r="E1173" s="489">
        <v>750</v>
      </c>
      <c r="F1173" s="660">
        <f>E1173*C1173</f>
        <v>263250</v>
      </c>
      <c r="G1173" s="672">
        <v>250</v>
      </c>
      <c r="H1173" s="665">
        <f>G1173*C1173</f>
        <v>87750</v>
      </c>
      <c r="I1173" s="665">
        <f>H1173+F1173</f>
        <v>351000</v>
      </c>
      <c r="J1173" s="489"/>
    </row>
    <row r="1174" spans="1:10">
      <c r="A1174" s="661" t="s">
        <v>1131</v>
      </c>
      <c r="B1174" s="785" t="s">
        <v>35</v>
      </c>
      <c r="C1174" s="506"/>
      <c r="D1174" s="505"/>
      <c r="E1174" s="489"/>
      <c r="F1174" s="660"/>
      <c r="G1174" s="672"/>
      <c r="H1174" s="665"/>
      <c r="I1174" s="665"/>
      <c r="J1174" s="489"/>
    </row>
    <row r="1175" spans="1:10">
      <c r="A1175" s="685"/>
      <c r="B1175" s="862" t="s">
        <v>1414</v>
      </c>
      <c r="C1175" s="506">
        <f>'Architecture '!BA460</f>
        <v>1143</v>
      </c>
      <c r="D1175" s="505" t="s">
        <v>16</v>
      </c>
      <c r="E1175" s="489">
        <v>180</v>
      </c>
      <c r="F1175" s="660">
        <f>E1175*C1175</f>
        <v>205740</v>
      </c>
      <c r="G1175" s="672">
        <v>50</v>
      </c>
      <c r="H1175" s="665">
        <f>G1175*C1175</f>
        <v>57150</v>
      </c>
      <c r="I1175" s="665">
        <f>H1175+F1175</f>
        <v>262890</v>
      </c>
      <c r="J1175" s="489"/>
    </row>
    <row r="1176" spans="1:10">
      <c r="A1176" s="518"/>
      <c r="B1176" s="862" t="s">
        <v>1389</v>
      </c>
      <c r="C1176" s="506">
        <f>'Architecture '!AZ460</f>
        <v>3176</v>
      </c>
      <c r="D1176" s="505" t="s">
        <v>16</v>
      </c>
      <c r="E1176" s="489">
        <v>180</v>
      </c>
      <c r="F1176" s="660">
        <f>E1176*C1176</f>
        <v>571680</v>
      </c>
      <c r="G1176" s="672">
        <v>50</v>
      </c>
      <c r="H1176" s="665">
        <f>G1176*C1176</f>
        <v>158800</v>
      </c>
      <c r="I1176" s="665">
        <f>H1176+F1176</f>
        <v>730480</v>
      </c>
      <c r="J1176" s="489"/>
    </row>
    <row r="1177" spans="1:10">
      <c r="A1177" s="661" t="s">
        <v>1132</v>
      </c>
      <c r="B1177" s="919" t="s">
        <v>36</v>
      </c>
      <c r="C1177" s="506"/>
      <c r="D1177" s="874"/>
      <c r="E1177" s="489"/>
      <c r="F1177" s="660"/>
      <c r="G1177" s="672"/>
      <c r="H1177" s="665"/>
      <c r="I1177" s="665"/>
      <c r="J1177" s="489"/>
    </row>
    <row r="1178" spans="1:10">
      <c r="A1178" s="685"/>
      <c r="B1178" s="863" t="s">
        <v>37</v>
      </c>
      <c r="C1178" s="498">
        <f>'Architecture '!AU460</f>
        <v>930</v>
      </c>
      <c r="D1178" s="874" t="s">
        <v>16</v>
      </c>
      <c r="E1178" s="489">
        <v>292</v>
      </c>
      <c r="F1178" s="660">
        <f>E1178*C1178</f>
        <v>271560</v>
      </c>
      <c r="G1178" s="672">
        <v>75</v>
      </c>
      <c r="H1178" s="665">
        <f>G1178*C1178</f>
        <v>69750</v>
      </c>
      <c r="I1178" s="665">
        <f>H1178+F1178</f>
        <v>341310</v>
      </c>
      <c r="J1178" s="489"/>
    </row>
    <row r="1179" spans="1:10">
      <c r="A1179" s="685"/>
      <c r="B1179" s="863" t="s">
        <v>38</v>
      </c>
      <c r="C1179" s="498">
        <f>'Architecture '!AV460</f>
        <v>112</v>
      </c>
      <c r="D1179" s="874" t="s">
        <v>16</v>
      </c>
      <c r="E1179" s="489">
        <v>312</v>
      </c>
      <c r="F1179" s="660">
        <f>E1179*C1179</f>
        <v>34944</v>
      </c>
      <c r="G1179" s="672">
        <v>75</v>
      </c>
      <c r="H1179" s="665">
        <f>G1179*C1179</f>
        <v>8400</v>
      </c>
      <c r="I1179" s="665">
        <f>H1179+F1179</f>
        <v>43344</v>
      </c>
      <c r="J1179" s="489"/>
    </row>
    <row r="1180" spans="1:10">
      <c r="A1180" s="685"/>
      <c r="B1180" s="863" t="s">
        <v>458</v>
      </c>
      <c r="C1180" s="506">
        <f>'Architecture '!AW460</f>
        <v>854</v>
      </c>
      <c r="D1180" s="874" t="s">
        <v>16</v>
      </c>
      <c r="E1180" s="489">
        <v>78</v>
      </c>
      <c r="F1180" s="660">
        <f>E1180*C1180</f>
        <v>66612</v>
      </c>
      <c r="G1180" s="672">
        <v>82</v>
      </c>
      <c r="H1180" s="665">
        <f>G1180*C1180</f>
        <v>70028</v>
      </c>
      <c r="I1180" s="665">
        <f>H1180+F1180</f>
        <v>136640</v>
      </c>
      <c r="J1180" s="489"/>
    </row>
    <row r="1181" spans="1:10">
      <c r="A1181" s="685"/>
      <c r="B1181" s="862" t="s">
        <v>39</v>
      </c>
      <c r="C1181" s="506">
        <f>'Architecture '!BC460</f>
        <v>1896</v>
      </c>
      <c r="D1181" s="874" t="s">
        <v>16</v>
      </c>
      <c r="E1181" s="489">
        <v>33</v>
      </c>
      <c r="F1181" s="660">
        <f>E1181*C1181</f>
        <v>62568</v>
      </c>
      <c r="G1181" s="672">
        <v>31</v>
      </c>
      <c r="H1181" s="665">
        <f>G1181*C1181</f>
        <v>58776</v>
      </c>
      <c r="I1181" s="665">
        <f>H1181+F1181</f>
        <v>121344</v>
      </c>
      <c r="J1181" s="489"/>
    </row>
    <row r="1182" spans="1:10">
      <c r="A1182" s="661" t="s">
        <v>1735</v>
      </c>
      <c r="B1182" s="785" t="s">
        <v>1410</v>
      </c>
      <c r="C1182" s="506"/>
      <c r="D1182" s="505"/>
      <c r="E1182" s="489"/>
      <c r="F1182" s="660"/>
      <c r="G1182" s="672"/>
      <c r="H1182" s="665"/>
      <c r="I1182" s="665"/>
      <c r="J1182" s="489"/>
    </row>
    <row r="1183" spans="1:10">
      <c r="A1183" s="661" t="s">
        <v>1736</v>
      </c>
      <c r="B1183" s="785" t="s">
        <v>1630</v>
      </c>
      <c r="C1183" s="498"/>
      <c r="D1183" s="499"/>
      <c r="E1183" s="500"/>
      <c r="F1183" s="663"/>
      <c r="G1183" s="672"/>
      <c r="H1183" s="665"/>
      <c r="I1183" s="665"/>
      <c r="J1183" s="489"/>
    </row>
    <row r="1184" spans="1:10">
      <c r="A1184" s="661"/>
      <c r="B1184" s="862" t="s">
        <v>1616</v>
      </c>
      <c r="C1184" s="506">
        <f>'Architecture '!C447</f>
        <v>40</v>
      </c>
      <c r="D1184" s="505" t="s">
        <v>16</v>
      </c>
      <c r="E1184" s="489">
        <v>95</v>
      </c>
      <c r="F1184" s="660">
        <f>E1184*C1184</f>
        <v>3800</v>
      </c>
      <c r="G1184" s="672">
        <v>82</v>
      </c>
      <c r="H1184" s="665">
        <f>G1184*C1184</f>
        <v>3280</v>
      </c>
      <c r="I1184" s="665">
        <f>H1184+F1184</f>
        <v>7080</v>
      </c>
      <c r="J1184" s="489"/>
    </row>
    <row r="1185" spans="1:10">
      <c r="A1185" s="661"/>
      <c r="B1185" s="862" t="s">
        <v>1615</v>
      </c>
      <c r="C1185" s="506">
        <f>ROUNDUP(22*1.5,0)</f>
        <v>33</v>
      </c>
      <c r="D1185" s="505" t="s">
        <v>14</v>
      </c>
      <c r="E1185" s="489">
        <v>350</v>
      </c>
      <c r="F1185" s="660">
        <f>E1185*C1185</f>
        <v>11550</v>
      </c>
      <c r="G1185" s="672">
        <v>50</v>
      </c>
      <c r="H1185" s="665">
        <f>G1185*C1185</f>
        <v>1650</v>
      </c>
      <c r="I1185" s="665">
        <f>H1185+F1185</f>
        <v>13200</v>
      </c>
      <c r="J1185" s="489"/>
    </row>
    <row r="1186" spans="1:10">
      <c r="A1186" s="661" t="s">
        <v>1737</v>
      </c>
      <c r="B1186" s="785" t="s">
        <v>1631</v>
      </c>
      <c r="C1186" s="506"/>
      <c r="D1186" s="505"/>
      <c r="E1186" s="489"/>
      <c r="F1186" s="660"/>
      <c r="G1186" s="672"/>
      <c r="H1186" s="665"/>
      <c r="I1186" s="665"/>
      <c r="J1186" s="489"/>
    </row>
    <row r="1187" spans="1:10">
      <c r="A1187" s="661"/>
      <c r="B1187" s="862" t="s">
        <v>1397</v>
      </c>
      <c r="C1187" s="506">
        <f>ROUNDUP((3.37+1.8+0.6+0.6+3.37)*7.01,0)</f>
        <v>69</v>
      </c>
      <c r="D1187" s="505" t="s">
        <v>19</v>
      </c>
      <c r="E1187" s="489">
        <v>28</v>
      </c>
      <c r="F1187" s="660">
        <f>E1187*C1187</f>
        <v>1932</v>
      </c>
      <c r="G1187" s="672">
        <v>12</v>
      </c>
      <c r="H1187" s="665">
        <f>G1187*C1187</f>
        <v>828</v>
      </c>
      <c r="I1187" s="665">
        <f>H1187+F1187</f>
        <v>2760</v>
      </c>
      <c r="J1187" s="489"/>
    </row>
    <row r="1188" spans="1:10">
      <c r="A1188" s="661"/>
      <c r="B1188" s="862" t="s">
        <v>1398</v>
      </c>
      <c r="C1188" s="506">
        <f>ROUNDUP((((0.85*2)*17)+((3.37+1.8+0.6+0.6+3.37)*2))*2.36,0)</f>
        <v>115</v>
      </c>
      <c r="D1188" s="505" t="s">
        <v>19</v>
      </c>
      <c r="E1188" s="489">
        <v>28</v>
      </c>
      <c r="F1188" s="660">
        <f>E1188*C1188</f>
        <v>3220</v>
      </c>
      <c r="G1188" s="672">
        <v>12</v>
      </c>
      <c r="H1188" s="665">
        <f>G1188*C1188</f>
        <v>1380</v>
      </c>
      <c r="I1188" s="665">
        <f>H1188+F1188</f>
        <v>4600</v>
      </c>
      <c r="J1188" s="489"/>
    </row>
    <row r="1189" spans="1:10">
      <c r="A1189" s="661"/>
      <c r="B1189" s="862" t="s">
        <v>1756</v>
      </c>
      <c r="C1189" s="506">
        <f>ROUNDUP(((0.1+0.05+0.1+0.05)*(3.37+1.8+0.6+0.6+3.37))+((0.05+0.05+0.006+0.006)*(((0.85*2)*17)+((3.37+1.8+0.6+0.6+3.37))*2)),0)</f>
        <v>9</v>
      </c>
      <c r="D1189" s="505" t="s">
        <v>16</v>
      </c>
      <c r="E1189" s="489">
        <v>58</v>
      </c>
      <c r="F1189" s="660">
        <f>E1189*C1189</f>
        <v>522</v>
      </c>
      <c r="G1189" s="672">
        <v>35</v>
      </c>
      <c r="H1189" s="665">
        <f>G1189*C1189</f>
        <v>315</v>
      </c>
      <c r="I1189" s="665">
        <f>H1189+F1189</f>
        <v>837</v>
      </c>
      <c r="J1189" s="489"/>
    </row>
    <row r="1190" spans="1:10">
      <c r="A1190" s="661"/>
      <c r="B1190" s="662" t="s">
        <v>450</v>
      </c>
      <c r="C1190" s="498">
        <v>1</v>
      </c>
      <c r="D1190" s="499" t="s">
        <v>44</v>
      </c>
      <c r="E1190" s="500">
        <f>SUM(F1187:F1189)*20%</f>
        <v>1134.8</v>
      </c>
      <c r="F1190" s="663">
        <f>E1190*C1190</f>
        <v>1134.8</v>
      </c>
      <c r="G1190" s="664">
        <v>0</v>
      </c>
      <c r="H1190" s="665">
        <f>G1190*C1190</f>
        <v>0</v>
      </c>
      <c r="I1190" s="665">
        <f>H1190+F1190</f>
        <v>1134.8</v>
      </c>
      <c r="J1190" s="489"/>
    </row>
    <row r="1191" spans="1:10">
      <c r="A1191" s="661" t="s">
        <v>1738</v>
      </c>
      <c r="B1191" s="785" t="s">
        <v>1632</v>
      </c>
      <c r="C1191" s="498"/>
      <c r="D1191" s="499"/>
      <c r="E1191" s="500"/>
      <c r="F1191" s="663"/>
      <c r="G1191" s="672"/>
      <c r="H1191" s="665"/>
      <c r="I1191" s="665"/>
      <c r="J1191" s="489"/>
    </row>
    <row r="1192" spans="1:10">
      <c r="A1192" s="661"/>
      <c r="B1192" s="862" t="s">
        <v>1790</v>
      </c>
      <c r="C1192" s="506">
        <f>'Architecture '!D449</f>
        <v>55</v>
      </c>
      <c r="D1192" s="505" t="s">
        <v>16</v>
      </c>
      <c r="E1192" s="489">
        <v>350</v>
      </c>
      <c r="F1192" s="660">
        <f>E1192*C1192</f>
        <v>19250</v>
      </c>
      <c r="G1192" s="672">
        <v>198</v>
      </c>
      <c r="H1192" s="665">
        <f>G1192*C1192</f>
        <v>10890</v>
      </c>
      <c r="I1192" s="665">
        <f>H1192+F1192</f>
        <v>30140</v>
      </c>
      <c r="J1192" s="489"/>
    </row>
    <row r="1193" spans="1:10">
      <c r="A1193" s="661" t="s">
        <v>1739</v>
      </c>
      <c r="B1193" s="785" t="s">
        <v>1633</v>
      </c>
      <c r="C1193" s="506"/>
      <c r="D1193" s="505"/>
      <c r="E1193" s="489"/>
      <c r="F1193" s="660"/>
      <c r="G1193" s="672"/>
      <c r="H1193" s="665"/>
      <c r="I1193" s="665"/>
      <c r="J1193" s="489"/>
    </row>
    <row r="1194" spans="1:10">
      <c r="A1194" s="661"/>
      <c r="B1194" s="862" t="s">
        <v>1397</v>
      </c>
      <c r="C1194" s="506">
        <f>ROUNDUP((0.5+3.37+0.6+3.37+2.5)*7.01,0)</f>
        <v>73</v>
      </c>
      <c r="D1194" s="505" t="s">
        <v>19</v>
      </c>
      <c r="E1194" s="489">
        <v>28</v>
      </c>
      <c r="F1194" s="660">
        <f>E1194*C1194</f>
        <v>2044</v>
      </c>
      <c r="G1194" s="672">
        <v>12</v>
      </c>
      <c r="H1194" s="665">
        <f>G1194*C1194</f>
        <v>876</v>
      </c>
      <c r="I1194" s="665">
        <f>H1194+F1194</f>
        <v>2920</v>
      </c>
      <c r="J1194" s="489"/>
    </row>
    <row r="1195" spans="1:10">
      <c r="A1195" s="661"/>
      <c r="B1195" s="862" t="s">
        <v>1398</v>
      </c>
      <c r="C1195" s="506">
        <f>ROUNDUP((((0.85*2)*18)+((0.5+3.37+0.6+3.37+2.5)*2))*2.36,0)</f>
        <v>122</v>
      </c>
      <c r="D1195" s="505" t="s">
        <v>19</v>
      </c>
      <c r="E1195" s="489">
        <v>28</v>
      </c>
      <c r="F1195" s="660">
        <f>E1195*C1195</f>
        <v>3416</v>
      </c>
      <c r="G1195" s="672">
        <v>12</v>
      </c>
      <c r="H1195" s="665">
        <f>G1195*C1195</f>
        <v>1464</v>
      </c>
      <c r="I1195" s="665">
        <f>H1195+F1195</f>
        <v>4880</v>
      </c>
      <c r="J1195" s="489"/>
    </row>
    <row r="1196" spans="1:10">
      <c r="A1196" s="661"/>
      <c r="B1196" s="862" t="s">
        <v>1756</v>
      </c>
      <c r="C1196" s="506">
        <f>ROUNDUP(((0.1+0.05+0.1+0.05)*(0.5+3.37+0.6+3.37+2.5))+((0.05+0.05+0.006+0.006)*(((0.85*2)*18)+((0.5+3.37+0.6+3.37+2.5))*2)),0)</f>
        <v>9</v>
      </c>
      <c r="D1196" s="505" t="s">
        <v>16</v>
      </c>
      <c r="E1196" s="489">
        <v>58</v>
      </c>
      <c r="F1196" s="660">
        <f>E1196*C1196</f>
        <v>522</v>
      </c>
      <c r="G1196" s="672">
        <v>35</v>
      </c>
      <c r="H1196" s="665">
        <f>G1196*C1196</f>
        <v>315</v>
      </c>
      <c r="I1196" s="665">
        <f>H1196+F1196</f>
        <v>837</v>
      </c>
      <c r="J1196" s="489"/>
    </row>
    <row r="1197" spans="1:10">
      <c r="A1197" s="661"/>
      <c r="B1197" s="662" t="s">
        <v>450</v>
      </c>
      <c r="C1197" s="498">
        <v>1</v>
      </c>
      <c r="D1197" s="499" t="s">
        <v>44</v>
      </c>
      <c r="E1197" s="500">
        <f>SUM(F1194:F1196)*20%</f>
        <v>1196.4000000000001</v>
      </c>
      <c r="F1197" s="663">
        <f>E1197*C1197</f>
        <v>1196.4000000000001</v>
      </c>
      <c r="G1197" s="664">
        <v>0</v>
      </c>
      <c r="H1197" s="665">
        <f>G1197*C1197</f>
        <v>0</v>
      </c>
      <c r="I1197" s="665">
        <f>H1197+F1197</f>
        <v>1196.4000000000001</v>
      </c>
      <c r="J1197" s="489"/>
    </row>
    <row r="1198" spans="1:10">
      <c r="A1198" s="661" t="s">
        <v>1740</v>
      </c>
      <c r="B1198" s="785" t="s">
        <v>1537</v>
      </c>
      <c r="C1198" s="506"/>
      <c r="D1198" s="505"/>
      <c r="E1198" s="489"/>
      <c r="F1198" s="660"/>
      <c r="G1198" s="672"/>
      <c r="H1198" s="665"/>
      <c r="I1198" s="665"/>
      <c r="J1198" s="489"/>
    </row>
    <row r="1199" spans="1:10">
      <c r="A1199" s="661"/>
      <c r="B1199" s="919" t="s">
        <v>40</v>
      </c>
      <c r="C1199" s="506"/>
      <c r="D1199" s="874"/>
      <c r="E1199" s="489"/>
      <c r="F1199" s="660"/>
      <c r="G1199" s="672"/>
      <c r="H1199" s="665"/>
      <c r="I1199" s="665"/>
      <c r="J1199" s="489"/>
    </row>
    <row r="1200" spans="1:10">
      <c r="A1200" s="685">
        <f>'Sannitary ware'!R81</f>
        <v>1</v>
      </c>
      <c r="B1200" s="863" t="str">
        <f>'Sannitary ware'!S81</f>
        <v xml:space="preserve"> - โถสุขภัณฑ์สองชิ้น</v>
      </c>
      <c r="C1200" s="506">
        <f>'Sannitary ware'!AA81</f>
        <v>20</v>
      </c>
      <c r="D1200" s="874" t="s">
        <v>15</v>
      </c>
      <c r="E1200" s="920">
        <f>'Sannitary ware'!AN7</f>
        <v>4850</v>
      </c>
      <c r="F1200" s="660">
        <f t="shared" ref="F1200:F1236" si="94">E1200*C1200</f>
        <v>97000</v>
      </c>
      <c r="G1200" s="921">
        <f>'Sannitary ware'!AP7</f>
        <v>450</v>
      </c>
      <c r="H1200" s="665">
        <f t="shared" ref="H1200:H1236" si="95">G1200*C1200</f>
        <v>9000</v>
      </c>
      <c r="I1200" s="665">
        <f t="shared" ref="I1200:I1236" si="96">H1200+F1200</f>
        <v>106000</v>
      </c>
      <c r="J1200" s="660"/>
    </row>
    <row r="1201" spans="1:10">
      <c r="A1201" s="685">
        <f>'Sannitary ware'!R82</f>
        <v>1</v>
      </c>
      <c r="B1201" s="863" t="str">
        <f>'Sannitary ware'!S82</f>
        <v xml:space="preserve">     • STOP VALVE 1/2" </v>
      </c>
      <c r="C1201" s="506">
        <f>'Sannitary ware'!AA82</f>
        <v>20</v>
      </c>
      <c r="D1201" s="874" t="s">
        <v>27</v>
      </c>
      <c r="E1201" s="920">
        <f>'Sannitary ware'!AN8</f>
        <v>80</v>
      </c>
      <c r="F1201" s="660">
        <f t="shared" si="94"/>
        <v>1600</v>
      </c>
      <c r="G1201" s="921">
        <f>'Sannitary ware'!AP8</f>
        <v>35</v>
      </c>
      <c r="H1201" s="665">
        <f t="shared" si="95"/>
        <v>700</v>
      </c>
      <c r="I1201" s="665">
        <f t="shared" si="96"/>
        <v>2300</v>
      </c>
      <c r="J1201" s="660"/>
    </row>
    <row r="1202" spans="1:10">
      <c r="A1202" s="685" t="str">
        <f>'Sannitary ware'!R83</f>
        <v>1'</v>
      </c>
      <c r="B1202" s="863" t="str">
        <f>'Sannitary ware'!S83</f>
        <v xml:space="preserve"> - โถสุขภัณฑ์สองชิ้น  (ห้องน้ำผู้พิการ)</v>
      </c>
      <c r="C1202" s="506">
        <f>'Sannitary ware'!AA83</f>
        <v>1</v>
      </c>
      <c r="D1202" s="874" t="s">
        <v>15</v>
      </c>
      <c r="E1202" s="920">
        <f>'Sannitary ware'!AN9</f>
        <v>4850</v>
      </c>
      <c r="F1202" s="660">
        <f t="shared" si="94"/>
        <v>4850</v>
      </c>
      <c r="G1202" s="921">
        <f>'Sannitary ware'!AP9</f>
        <v>450</v>
      </c>
      <c r="H1202" s="665">
        <f t="shared" si="95"/>
        <v>450</v>
      </c>
      <c r="I1202" s="665">
        <f t="shared" si="96"/>
        <v>5300</v>
      </c>
      <c r="J1202" s="660"/>
    </row>
    <row r="1203" spans="1:10">
      <c r="A1203" s="685" t="str">
        <f>'Sannitary ware'!R84</f>
        <v>1'</v>
      </c>
      <c r="B1203" s="863" t="str">
        <f>'Sannitary ware'!S84</f>
        <v xml:space="preserve">     • STOP VALVE 1/2" </v>
      </c>
      <c r="C1203" s="506">
        <f>'Sannitary ware'!AA84</f>
        <v>1</v>
      </c>
      <c r="D1203" s="874" t="s">
        <v>27</v>
      </c>
      <c r="E1203" s="920">
        <f>'Sannitary ware'!AN10</f>
        <v>80</v>
      </c>
      <c r="F1203" s="660">
        <f t="shared" si="94"/>
        <v>80</v>
      </c>
      <c r="G1203" s="921">
        <f>'Sannitary ware'!AP10</f>
        <v>35</v>
      </c>
      <c r="H1203" s="665">
        <f t="shared" si="95"/>
        <v>35</v>
      </c>
      <c r="I1203" s="665">
        <f t="shared" si="96"/>
        <v>115</v>
      </c>
      <c r="J1203" s="660"/>
    </row>
    <row r="1204" spans="1:10">
      <c r="A1204" s="685">
        <f>'Sannitary ware'!R85</f>
        <v>2</v>
      </c>
      <c r="B1204" s="863" t="str">
        <f>'Sannitary ware'!S85</f>
        <v xml:space="preserve"> - สายชำระพร้อมสต๊อปวาล์ว</v>
      </c>
      <c r="C1204" s="506">
        <f>'Sannitary ware'!AA85</f>
        <v>20</v>
      </c>
      <c r="D1204" s="874" t="s">
        <v>15</v>
      </c>
      <c r="E1204" s="920">
        <f>'Sannitary ware'!AN11</f>
        <v>1180</v>
      </c>
      <c r="F1204" s="660">
        <f t="shared" si="94"/>
        <v>23600</v>
      </c>
      <c r="G1204" s="921">
        <f>'Sannitary ware'!AP11</f>
        <v>105</v>
      </c>
      <c r="H1204" s="665">
        <f t="shared" si="95"/>
        <v>2100</v>
      </c>
      <c r="I1204" s="665">
        <f t="shared" si="96"/>
        <v>25700</v>
      </c>
      <c r="J1204" s="489"/>
    </row>
    <row r="1205" spans="1:10">
      <c r="A1205" s="685">
        <f>'Sannitary ware'!R86</f>
        <v>3</v>
      </c>
      <c r="B1205" s="863" t="str">
        <f>'Sannitary ware'!S86</f>
        <v xml:space="preserve"> - โถปัสสาวะชายพร้อมฟลัชวาล์ว</v>
      </c>
      <c r="C1205" s="506">
        <f>'Sannitary ware'!AA86</f>
        <v>8</v>
      </c>
      <c r="D1205" s="874" t="s">
        <v>15</v>
      </c>
      <c r="E1205" s="920">
        <f>'Sannitary ware'!AN12</f>
        <v>5500</v>
      </c>
      <c r="F1205" s="660">
        <f t="shared" si="94"/>
        <v>44000</v>
      </c>
      <c r="G1205" s="921">
        <f>'Sannitary ware'!AP12</f>
        <v>450</v>
      </c>
      <c r="H1205" s="665">
        <f t="shared" si="95"/>
        <v>3600</v>
      </c>
      <c r="I1205" s="665">
        <f t="shared" si="96"/>
        <v>47600</v>
      </c>
      <c r="J1205" s="660"/>
    </row>
    <row r="1206" spans="1:10">
      <c r="A1206" s="685">
        <f>'Sannitary ware'!R87</f>
        <v>4</v>
      </c>
      <c r="B1206" s="863" t="str">
        <f>'Sannitary ware'!S87</f>
        <v xml:space="preserve"> - อ่างล้างหน้าแบบฝังเคาน์เตอร์ </v>
      </c>
      <c r="C1206" s="506">
        <f>'Sannitary ware'!AA87</f>
        <v>17</v>
      </c>
      <c r="D1206" s="874" t="s">
        <v>15</v>
      </c>
      <c r="E1206" s="920">
        <f>'Sannitary ware'!AN13</f>
        <v>3500</v>
      </c>
      <c r="F1206" s="660">
        <f t="shared" si="94"/>
        <v>59500</v>
      </c>
      <c r="G1206" s="1680">
        <f>'Sannitary ware'!AP13</f>
        <v>450</v>
      </c>
      <c r="H1206" s="1683">
        <f t="shared" si="95"/>
        <v>7650</v>
      </c>
      <c r="I1206" s="665">
        <f t="shared" si="96"/>
        <v>67150</v>
      </c>
      <c r="J1206" s="660"/>
    </row>
    <row r="1207" spans="1:10">
      <c r="A1207" s="685">
        <f>'Sannitary ware'!R88</f>
        <v>4</v>
      </c>
      <c r="B1207" s="863" t="str">
        <f>'Sannitary ware'!S88</f>
        <v xml:space="preserve">     • ก๊อกน้ำเดี่ยวอ่างล้างหน้า </v>
      </c>
      <c r="C1207" s="506">
        <f>'Sannitary ware'!AA88</f>
        <v>17</v>
      </c>
      <c r="D1207" s="874" t="s">
        <v>15</v>
      </c>
      <c r="E1207" s="920">
        <f>'Sannitary ware'!AN14</f>
        <v>0</v>
      </c>
      <c r="F1207" s="660">
        <f t="shared" si="94"/>
        <v>0</v>
      </c>
      <c r="G1207" s="1681"/>
      <c r="H1207" s="1684"/>
      <c r="I1207" s="665">
        <f t="shared" si="96"/>
        <v>0</v>
      </c>
      <c r="J1207" s="660"/>
    </row>
    <row r="1208" spans="1:10">
      <c r="A1208" s="685">
        <f>'Sannitary ware'!R89</f>
        <v>4</v>
      </c>
      <c r="B1208" s="863" t="str">
        <f>'Sannitary ware'!S89</f>
        <v xml:space="preserve">     • ท่อน้ำทิ้งอ่างล้างหน้า </v>
      </c>
      <c r="C1208" s="506">
        <f>'Sannitary ware'!AA89</f>
        <v>17</v>
      </c>
      <c r="D1208" s="874" t="s">
        <v>15</v>
      </c>
      <c r="E1208" s="920">
        <f>'Sannitary ware'!AN15</f>
        <v>0</v>
      </c>
      <c r="F1208" s="660">
        <f t="shared" si="94"/>
        <v>0</v>
      </c>
      <c r="G1208" s="1681"/>
      <c r="H1208" s="1684"/>
      <c r="I1208" s="665">
        <f t="shared" si="96"/>
        <v>0</v>
      </c>
      <c r="J1208" s="660"/>
    </row>
    <row r="1209" spans="1:10">
      <c r="A1209" s="685">
        <f>'Sannitary ware'!R90</f>
        <v>4</v>
      </c>
      <c r="B1209" s="863" t="str">
        <f>'Sannitary ware'!S90</f>
        <v xml:space="preserve">     • สะดืออ่างล้างหน้าแบบกด </v>
      </c>
      <c r="C1209" s="506">
        <f>'Sannitary ware'!AA90</f>
        <v>17</v>
      </c>
      <c r="D1209" s="874" t="s">
        <v>15</v>
      </c>
      <c r="E1209" s="920">
        <f>'Sannitary ware'!AN16</f>
        <v>0</v>
      </c>
      <c r="F1209" s="660">
        <f t="shared" si="94"/>
        <v>0</v>
      </c>
      <c r="G1209" s="1681"/>
      <c r="H1209" s="1684"/>
      <c r="I1209" s="665">
        <f t="shared" si="96"/>
        <v>0</v>
      </c>
      <c r="J1209" s="660"/>
    </row>
    <row r="1210" spans="1:10">
      <c r="A1210" s="685">
        <f>'Sannitary ware'!R91</f>
        <v>4</v>
      </c>
      <c r="B1210" s="863" t="str">
        <f>'Sannitary ware'!S91</f>
        <v xml:space="preserve">     • สายน้ำดีอ่างล้างหน้าสแตนเลสถักยาว 16" </v>
      </c>
      <c r="C1210" s="506">
        <f>'Sannitary ware'!AA91</f>
        <v>17</v>
      </c>
      <c r="D1210" s="874" t="s">
        <v>15</v>
      </c>
      <c r="E1210" s="920">
        <f>'Sannitary ware'!AN17</f>
        <v>0</v>
      </c>
      <c r="F1210" s="660">
        <f t="shared" si="94"/>
        <v>0</v>
      </c>
      <c r="G1210" s="1681"/>
      <c r="H1210" s="1684"/>
      <c r="I1210" s="665">
        <f t="shared" si="96"/>
        <v>0</v>
      </c>
      <c r="J1210" s="922"/>
    </row>
    <row r="1211" spans="1:10">
      <c r="A1211" s="685">
        <f>'Sannitary ware'!R92</f>
        <v>4</v>
      </c>
      <c r="B1211" s="863" t="str">
        <f>'Sannitary ware'!S92</f>
        <v xml:space="preserve">     • STOP VALVE 1/2" </v>
      </c>
      <c r="C1211" s="506">
        <f>'Sannitary ware'!AA92</f>
        <v>17</v>
      </c>
      <c r="D1211" s="874" t="s">
        <v>27</v>
      </c>
      <c r="E1211" s="920">
        <f>'Sannitary ware'!AN18</f>
        <v>0</v>
      </c>
      <c r="F1211" s="660">
        <f t="shared" si="94"/>
        <v>0</v>
      </c>
      <c r="G1211" s="1682"/>
      <c r="H1211" s="1685"/>
      <c r="I1211" s="665">
        <f t="shared" si="96"/>
        <v>0</v>
      </c>
      <c r="J1211" s="489"/>
    </row>
    <row r="1212" spans="1:10">
      <c r="A1212" s="685" t="str">
        <f>'Sannitary ware'!R93</f>
        <v>4'</v>
      </c>
      <c r="B1212" s="863" t="str">
        <f>'Sannitary ware'!S93</f>
        <v xml:space="preserve"> - อ่างล้างหน้าแบบแขวนผนัง (ห้องน้ำผู้พิการ)</v>
      </c>
      <c r="C1212" s="506">
        <f>'Sannitary ware'!AA93</f>
        <v>1</v>
      </c>
      <c r="D1212" s="874" t="s">
        <v>15</v>
      </c>
      <c r="E1212" s="920">
        <f>'Sannitary ware'!AN19</f>
        <v>2300</v>
      </c>
      <c r="F1212" s="660">
        <f t="shared" si="94"/>
        <v>2300</v>
      </c>
      <c r="G1212" s="1680">
        <f>'Sannitary ware'!AP19</f>
        <v>450</v>
      </c>
      <c r="H1212" s="1683">
        <f t="shared" si="95"/>
        <v>450</v>
      </c>
      <c r="I1212" s="665">
        <f t="shared" si="96"/>
        <v>2750</v>
      </c>
      <c r="J1212" s="489"/>
    </row>
    <row r="1213" spans="1:10">
      <c r="A1213" s="685" t="str">
        <f>'Sannitary ware'!R94</f>
        <v>4'</v>
      </c>
      <c r="B1213" s="863" t="str">
        <f>'Sannitary ware'!S94</f>
        <v xml:space="preserve">     • ก๊อกน้ำเดี่ยวอ่างล้างหน้า </v>
      </c>
      <c r="C1213" s="506">
        <f>'Sannitary ware'!AA94</f>
        <v>1</v>
      </c>
      <c r="D1213" s="874" t="s">
        <v>15</v>
      </c>
      <c r="E1213" s="920">
        <f>'Sannitary ware'!AN20</f>
        <v>0</v>
      </c>
      <c r="F1213" s="660">
        <f t="shared" si="94"/>
        <v>0</v>
      </c>
      <c r="G1213" s="1681"/>
      <c r="H1213" s="1684"/>
      <c r="I1213" s="665">
        <f t="shared" si="96"/>
        <v>0</v>
      </c>
      <c r="J1213" s="489"/>
    </row>
    <row r="1214" spans="1:10">
      <c r="A1214" s="685" t="str">
        <f>'Sannitary ware'!R95</f>
        <v>4'</v>
      </c>
      <c r="B1214" s="863" t="str">
        <f>'Sannitary ware'!S95</f>
        <v xml:space="preserve">     • ท่อน้ำทิ้งอ่างล้างหน้า </v>
      </c>
      <c r="C1214" s="506">
        <f>'Sannitary ware'!AA95</f>
        <v>1</v>
      </c>
      <c r="D1214" s="874" t="s">
        <v>15</v>
      </c>
      <c r="E1214" s="920">
        <f>'Sannitary ware'!AN21</f>
        <v>0</v>
      </c>
      <c r="F1214" s="660">
        <f t="shared" si="94"/>
        <v>0</v>
      </c>
      <c r="G1214" s="1681"/>
      <c r="H1214" s="1684"/>
      <c r="I1214" s="665">
        <f t="shared" si="96"/>
        <v>0</v>
      </c>
      <c r="J1214" s="489"/>
    </row>
    <row r="1215" spans="1:10">
      <c r="A1215" s="685" t="str">
        <f>'Sannitary ware'!R96</f>
        <v>4'</v>
      </c>
      <c r="B1215" s="863" t="str">
        <f>'Sannitary ware'!S96</f>
        <v xml:space="preserve">     • สะดืออ่างล้างหน้าแบบกด </v>
      </c>
      <c r="C1215" s="506">
        <f>'Sannitary ware'!AA96</f>
        <v>1</v>
      </c>
      <c r="D1215" s="874" t="s">
        <v>15</v>
      </c>
      <c r="E1215" s="920">
        <f>'Sannitary ware'!AN22</f>
        <v>0</v>
      </c>
      <c r="F1215" s="660">
        <f t="shared" si="94"/>
        <v>0</v>
      </c>
      <c r="G1215" s="1681"/>
      <c r="H1215" s="1684"/>
      <c r="I1215" s="665">
        <f t="shared" si="96"/>
        <v>0</v>
      </c>
      <c r="J1215" s="660"/>
    </row>
    <row r="1216" spans="1:10">
      <c r="A1216" s="685" t="str">
        <f>'Sannitary ware'!R97</f>
        <v>4'</v>
      </c>
      <c r="B1216" s="863" t="str">
        <f>'Sannitary ware'!S97</f>
        <v xml:space="preserve">     • สายน้ำดีอ่างล้างหน้าสแตนเลสถักยาว 16" </v>
      </c>
      <c r="C1216" s="506">
        <f>'Sannitary ware'!AA97</f>
        <v>1</v>
      </c>
      <c r="D1216" s="874" t="s">
        <v>15</v>
      </c>
      <c r="E1216" s="920">
        <f>'Sannitary ware'!AN23</f>
        <v>0</v>
      </c>
      <c r="F1216" s="660">
        <f t="shared" si="94"/>
        <v>0</v>
      </c>
      <c r="G1216" s="1681"/>
      <c r="H1216" s="1684"/>
      <c r="I1216" s="665">
        <f t="shared" si="96"/>
        <v>0</v>
      </c>
      <c r="J1216" s="660"/>
    </row>
    <row r="1217" spans="1:10">
      <c r="A1217" s="685" t="str">
        <f>'Sannitary ware'!R98</f>
        <v>4'</v>
      </c>
      <c r="B1217" s="863" t="str">
        <f>'Sannitary ware'!S98</f>
        <v xml:space="preserve">     • STOP VALVE 1/2" </v>
      </c>
      <c r="C1217" s="506">
        <f>'Sannitary ware'!AA98</f>
        <v>1</v>
      </c>
      <c r="D1217" s="874" t="s">
        <v>27</v>
      </c>
      <c r="E1217" s="920">
        <f>'Sannitary ware'!AN24</f>
        <v>0</v>
      </c>
      <c r="F1217" s="660">
        <f t="shared" si="94"/>
        <v>0</v>
      </c>
      <c r="G1217" s="1682"/>
      <c r="H1217" s="1685"/>
      <c r="I1217" s="665">
        <f t="shared" si="96"/>
        <v>0</v>
      </c>
      <c r="J1217" s="660"/>
    </row>
    <row r="1218" spans="1:10" s="282" customFormat="1">
      <c r="A1218" s="685">
        <f>'Sannitary ware'!R99</f>
        <v>5</v>
      </c>
      <c r="B1218" s="863" t="str">
        <f>'Sannitary ware'!S99</f>
        <v xml:space="preserve"> - บานกระจกเงาหนา 6 มม. ขนาด 1.00  x 1.00 ม.(ห้องน้ำผู้พิการ)</v>
      </c>
      <c r="C1218" s="506">
        <f>'Sannitary ware'!AA99</f>
        <v>1</v>
      </c>
      <c r="D1218" s="874" t="s">
        <v>15</v>
      </c>
      <c r="E1218" s="920">
        <f>'Sannitary ware'!AN25</f>
        <v>2153</v>
      </c>
      <c r="F1218" s="660">
        <f t="shared" si="94"/>
        <v>2153</v>
      </c>
      <c r="G1218" s="921">
        <f>'Sannitary ware'!AP25</f>
        <v>120</v>
      </c>
      <c r="H1218" s="665">
        <f t="shared" si="95"/>
        <v>120</v>
      </c>
      <c r="I1218" s="665">
        <f t="shared" si="96"/>
        <v>2273</v>
      </c>
      <c r="J1218" s="660"/>
    </row>
    <row r="1219" spans="1:10" s="282" customFormat="1">
      <c r="A1219" s="685">
        <f>'Sannitary ware'!R100</f>
        <v>5</v>
      </c>
      <c r="B1219" s="863" t="str">
        <f>'Sannitary ware'!S100</f>
        <v xml:space="preserve"> - บานกระจกเงาหนา 6 มม. ขนาด 2.80  x 1.00 ม.</v>
      </c>
      <c r="C1219" s="506">
        <f>'Sannitary ware'!AA100</f>
        <v>1</v>
      </c>
      <c r="D1219" s="874" t="s">
        <v>15</v>
      </c>
      <c r="E1219" s="920">
        <f>'Sannitary ware'!AN26</f>
        <v>6028</v>
      </c>
      <c r="F1219" s="660">
        <f t="shared" si="94"/>
        <v>6028</v>
      </c>
      <c r="G1219" s="921">
        <f>'Sannitary ware'!AP26</f>
        <v>120</v>
      </c>
      <c r="H1219" s="665">
        <f t="shared" si="95"/>
        <v>120</v>
      </c>
      <c r="I1219" s="665">
        <f t="shared" si="96"/>
        <v>6148</v>
      </c>
      <c r="J1219" s="660"/>
    </row>
    <row r="1220" spans="1:10" s="282" customFormat="1">
      <c r="A1220" s="685">
        <f>'Sannitary ware'!R101</f>
        <v>5</v>
      </c>
      <c r="B1220" s="863" t="str">
        <f>'Sannitary ware'!S101</f>
        <v xml:space="preserve"> - บานกระจกเงาหนา 6 มม. ขนาด 3.00  x 1.00 ม.</v>
      </c>
      <c r="C1220" s="506">
        <f>'Sannitary ware'!AA101</f>
        <v>1</v>
      </c>
      <c r="D1220" s="874" t="s">
        <v>15</v>
      </c>
      <c r="E1220" s="920">
        <f>'Sannitary ware'!AN27</f>
        <v>6459</v>
      </c>
      <c r="F1220" s="660">
        <f t="shared" si="94"/>
        <v>6459</v>
      </c>
      <c r="G1220" s="921">
        <f>'Sannitary ware'!AP27</f>
        <v>120</v>
      </c>
      <c r="H1220" s="665">
        <f t="shared" si="95"/>
        <v>120</v>
      </c>
      <c r="I1220" s="665">
        <f t="shared" si="96"/>
        <v>6579</v>
      </c>
      <c r="J1220" s="660"/>
    </row>
    <row r="1221" spans="1:10" s="282" customFormat="1">
      <c r="A1221" s="685">
        <f>'Sannitary ware'!R102</f>
        <v>5</v>
      </c>
      <c r="B1221" s="863" t="str">
        <f>'Sannitary ware'!S102</f>
        <v xml:space="preserve"> - บานกระจกเงาหนา 6 มม. ขนาด 3.70  x 1.00 ม.</v>
      </c>
      <c r="C1221" s="506">
        <f>'Sannitary ware'!AA102</f>
        <v>1</v>
      </c>
      <c r="D1221" s="874" t="s">
        <v>15</v>
      </c>
      <c r="E1221" s="920">
        <f>'Sannitary ware'!AN28</f>
        <v>7966</v>
      </c>
      <c r="F1221" s="660">
        <f t="shared" si="94"/>
        <v>7966</v>
      </c>
      <c r="G1221" s="921">
        <f>'Sannitary ware'!AP28</f>
        <v>120</v>
      </c>
      <c r="H1221" s="665">
        <f t="shared" si="95"/>
        <v>120</v>
      </c>
      <c r="I1221" s="665">
        <f t="shared" si="96"/>
        <v>8086</v>
      </c>
      <c r="J1221" s="660"/>
    </row>
    <row r="1222" spans="1:10" s="282" customFormat="1">
      <c r="A1222" s="685">
        <f>'Sannitary ware'!R103</f>
        <v>5</v>
      </c>
      <c r="B1222" s="863" t="str">
        <f>'Sannitary ware'!S103</f>
        <v xml:space="preserve"> - บานกระจกเงาหนา 6 มม. ขนาด 5.60  x 1.00 ม. </v>
      </c>
      <c r="C1222" s="506">
        <f>'Sannitary ware'!AA103</f>
        <v>1</v>
      </c>
      <c r="D1222" s="874" t="s">
        <v>15</v>
      </c>
      <c r="E1222" s="920">
        <f>'Sannitary ware'!AN29</f>
        <v>12056</v>
      </c>
      <c r="F1222" s="660">
        <f t="shared" si="94"/>
        <v>12056</v>
      </c>
      <c r="G1222" s="921">
        <f>'Sannitary ware'!AP29</f>
        <v>120</v>
      </c>
      <c r="H1222" s="665">
        <f t="shared" si="95"/>
        <v>120</v>
      </c>
      <c r="I1222" s="665">
        <f t="shared" si="96"/>
        <v>12176</v>
      </c>
      <c r="J1222" s="660"/>
    </row>
    <row r="1223" spans="1:10" s="282" customFormat="1">
      <c r="A1223" s="685">
        <f>'Sannitary ware'!R104</f>
        <v>6</v>
      </c>
      <c r="B1223" s="863" t="str">
        <f>'Sannitary ware'!S104</f>
        <v xml:space="preserve"> - ราวจับตัวแอล</v>
      </c>
      <c r="C1223" s="506">
        <f>'Sannitary ware'!AA104</f>
        <v>2</v>
      </c>
      <c r="D1223" s="874" t="s">
        <v>15</v>
      </c>
      <c r="E1223" s="920">
        <f>'Sannitary ware'!AN30</f>
        <v>3600</v>
      </c>
      <c r="F1223" s="660">
        <f t="shared" si="94"/>
        <v>7200</v>
      </c>
      <c r="G1223" s="921">
        <f>'Sannitary ware'!AP30</f>
        <v>105</v>
      </c>
      <c r="H1223" s="665">
        <f t="shared" si="95"/>
        <v>210</v>
      </c>
      <c r="I1223" s="665">
        <f t="shared" si="96"/>
        <v>7410</v>
      </c>
      <c r="J1223" s="660"/>
    </row>
    <row r="1224" spans="1:10" s="282" customFormat="1">
      <c r="A1224" s="685" t="str">
        <f>'Sannitary ware'!R105</f>
        <v>6'</v>
      </c>
      <c r="B1224" s="863" t="str">
        <f>'Sannitary ware'!S105</f>
        <v xml:space="preserve"> - ราวจับตัวที</v>
      </c>
      <c r="C1224" s="506">
        <f>'Sannitary ware'!AA105</f>
        <v>1</v>
      </c>
      <c r="D1224" s="874" t="s">
        <v>15</v>
      </c>
      <c r="E1224" s="920">
        <f>'Sannitary ware'!AN31</f>
        <v>2590</v>
      </c>
      <c r="F1224" s="660">
        <f t="shared" si="94"/>
        <v>2590</v>
      </c>
      <c r="G1224" s="921">
        <f>'Sannitary ware'!AP31</f>
        <v>105</v>
      </c>
      <c r="H1224" s="665">
        <f t="shared" si="95"/>
        <v>105</v>
      </c>
      <c r="I1224" s="665">
        <f t="shared" si="96"/>
        <v>2695</v>
      </c>
      <c r="J1224" s="660"/>
    </row>
    <row r="1225" spans="1:10" s="282" customFormat="1">
      <c r="A1225" s="685">
        <f>'Sannitary ware'!R106</f>
        <v>7</v>
      </c>
      <c r="B1225" s="863" t="str">
        <f>'Sannitary ware'!S106</f>
        <v xml:space="preserve"> - ที่ใส่กระดาษชำระ (ห้องผู้พิการ,ห้อง VIP)</v>
      </c>
      <c r="C1225" s="506">
        <f>'Sannitary ware'!AA106</f>
        <v>1</v>
      </c>
      <c r="D1225" s="874" t="s">
        <v>15</v>
      </c>
      <c r="E1225" s="920">
        <f>'Sannitary ware'!AN32</f>
        <v>390</v>
      </c>
      <c r="F1225" s="660">
        <f t="shared" si="94"/>
        <v>390</v>
      </c>
      <c r="G1225" s="921">
        <f>'Sannitary ware'!AP32</f>
        <v>120</v>
      </c>
      <c r="H1225" s="665">
        <f t="shared" si="95"/>
        <v>120</v>
      </c>
      <c r="I1225" s="665">
        <f t="shared" si="96"/>
        <v>510</v>
      </c>
      <c r="J1225" s="660"/>
    </row>
    <row r="1226" spans="1:10" s="282" customFormat="1">
      <c r="A1226" s="685">
        <f>'Sannitary ware'!R107</f>
        <v>8</v>
      </c>
      <c r="B1226" s="863" t="str">
        <f>'Sannitary ware'!S107</f>
        <v xml:space="preserve"> - ก๊อกล้างพื้น </v>
      </c>
      <c r="C1226" s="506">
        <f>'Sannitary ware'!AA107</f>
        <v>5</v>
      </c>
      <c r="D1226" s="874" t="s">
        <v>15</v>
      </c>
      <c r="E1226" s="920">
        <f>'Sannitary ware'!AN33</f>
        <v>125</v>
      </c>
      <c r="F1226" s="660">
        <f t="shared" si="94"/>
        <v>625</v>
      </c>
      <c r="G1226" s="921">
        <f>'Sannitary ware'!AP33</f>
        <v>25</v>
      </c>
      <c r="H1226" s="665">
        <f t="shared" si="95"/>
        <v>125</v>
      </c>
      <c r="I1226" s="665">
        <f t="shared" si="96"/>
        <v>750</v>
      </c>
      <c r="J1226" s="660"/>
    </row>
    <row r="1227" spans="1:10" s="282" customFormat="1">
      <c r="A1227" s="685"/>
      <c r="B1227" s="863" t="str">
        <f>'Sannitary ware'!S110</f>
        <v xml:space="preserve"> - ตะแกรงระบายน้ำที่พื้น </v>
      </c>
      <c r="C1227" s="506">
        <f>'Sannitary ware'!AA110</f>
        <v>10</v>
      </c>
      <c r="D1227" s="874" t="s">
        <v>15</v>
      </c>
      <c r="E1227" s="920">
        <f>'Sannitary ware'!AN36</f>
        <v>350</v>
      </c>
      <c r="F1227" s="660">
        <f t="shared" si="94"/>
        <v>3500</v>
      </c>
      <c r="G1227" s="921">
        <f>'Sannitary ware'!AP36</f>
        <v>75</v>
      </c>
      <c r="H1227" s="665">
        <f t="shared" si="95"/>
        <v>750</v>
      </c>
      <c r="I1227" s="665">
        <f t="shared" si="96"/>
        <v>4250</v>
      </c>
      <c r="J1227" s="660"/>
    </row>
    <row r="1228" spans="1:10" s="282" customFormat="1">
      <c r="A1228" s="685" t="str">
        <f>'Sannitary ware'!R111</f>
        <v>P</v>
      </c>
      <c r="B1228" s="863" t="str">
        <f>'Sannitary ware'!S111</f>
        <v xml:space="preserve"> - ชุดผนังห้องน้ำสำเร็จรูป </v>
      </c>
      <c r="C1228" s="506">
        <f>'Sannitary ware'!AA111</f>
        <v>20</v>
      </c>
      <c r="D1228" s="874" t="s">
        <v>15</v>
      </c>
      <c r="E1228" s="920">
        <f>'Sannitary ware'!AN37</f>
        <v>12600</v>
      </c>
      <c r="F1228" s="660">
        <f t="shared" si="94"/>
        <v>252000</v>
      </c>
      <c r="G1228" s="921">
        <f>'Sannitary ware'!AP37</f>
        <v>1250</v>
      </c>
      <c r="H1228" s="665">
        <f t="shared" si="95"/>
        <v>25000</v>
      </c>
      <c r="I1228" s="665">
        <f t="shared" si="96"/>
        <v>277000</v>
      </c>
      <c r="J1228" s="660"/>
    </row>
    <row r="1229" spans="1:10" s="282" customFormat="1">
      <c r="A1229" s="685"/>
      <c r="B1229" s="863" t="str">
        <f>'Sannitary ware'!S113</f>
        <v xml:space="preserve"> - TOP หินแกรนิตสีดำจีน หนา 25 มม.</v>
      </c>
      <c r="C1229" s="506">
        <f>'Sannitary ware'!AA113</f>
        <v>19</v>
      </c>
      <c r="D1229" s="505" t="s">
        <v>16</v>
      </c>
      <c r="E1229" s="920">
        <f>'Sannitary ware'!AN39</f>
        <v>2500</v>
      </c>
      <c r="F1229" s="660">
        <f t="shared" si="94"/>
        <v>47500</v>
      </c>
      <c r="G1229" s="921">
        <f>'Sannitary ware'!AP39</f>
        <v>250</v>
      </c>
      <c r="H1229" s="665">
        <f t="shared" si="95"/>
        <v>4750</v>
      </c>
      <c r="I1229" s="665">
        <f t="shared" si="96"/>
        <v>52250</v>
      </c>
      <c r="J1229" s="660"/>
    </row>
    <row r="1230" spans="1:10" s="282" customFormat="1">
      <c r="A1230" s="685"/>
      <c r="B1230" s="863" t="str">
        <f>'Sannitary ware'!S114</f>
        <v xml:space="preserve"> - งานหล่อเคาน์เตอร์</v>
      </c>
      <c r="C1230" s="506">
        <f>'Sannitary ware'!AA114</f>
        <v>16</v>
      </c>
      <c r="D1230" s="874" t="s">
        <v>14</v>
      </c>
      <c r="E1230" s="920">
        <f>'Sannitary ware'!AN40</f>
        <v>0</v>
      </c>
      <c r="F1230" s="660">
        <f t="shared" si="94"/>
        <v>0</v>
      </c>
      <c r="G1230" s="921">
        <v>160</v>
      </c>
      <c r="H1230" s="665">
        <f t="shared" si="95"/>
        <v>2560</v>
      </c>
      <c r="I1230" s="665">
        <f t="shared" si="96"/>
        <v>2560</v>
      </c>
      <c r="J1230" s="660"/>
    </row>
    <row r="1231" spans="1:10" s="282" customFormat="1">
      <c r="A1231" s="685"/>
      <c r="B1231" s="863" t="s">
        <v>453</v>
      </c>
      <c r="C1231" s="923">
        <f>ROUNDUP((((0.6*C1230*0.15)*2400)/393),0)</f>
        <v>9</v>
      </c>
      <c r="D1231" s="505" t="s">
        <v>42</v>
      </c>
      <c r="E1231" s="489">
        <v>135</v>
      </c>
      <c r="F1231" s="660">
        <f t="shared" si="94"/>
        <v>1215</v>
      </c>
      <c r="G1231" s="672">
        <v>0</v>
      </c>
      <c r="H1231" s="665">
        <f t="shared" si="95"/>
        <v>0</v>
      </c>
      <c r="I1231" s="665">
        <f t="shared" si="96"/>
        <v>1215</v>
      </c>
      <c r="J1231" s="660"/>
    </row>
    <row r="1232" spans="1:10">
      <c r="A1232" s="685"/>
      <c r="B1232" s="863" t="s">
        <v>454</v>
      </c>
      <c r="C1232" s="923">
        <f>ROUNDUP((((0.6*C1231*0.12)*1450)/653),0)</f>
        <v>2</v>
      </c>
      <c r="D1232" s="505" t="s">
        <v>43</v>
      </c>
      <c r="E1232" s="489">
        <v>450</v>
      </c>
      <c r="F1232" s="660">
        <f t="shared" si="94"/>
        <v>900</v>
      </c>
      <c r="G1232" s="672">
        <v>0</v>
      </c>
      <c r="H1232" s="665">
        <f t="shared" si="95"/>
        <v>0</v>
      </c>
      <c r="I1232" s="665">
        <f t="shared" si="96"/>
        <v>900</v>
      </c>
      <c r="J1232" s="660"/>
    </row>
    <row r="1233" spans="1:10">
      <c r="A1233" s="685"/>
      <c r="B1233" s="863" t="s">
        <v>455</v>
      </c>
      <c r="C1233" s="521">
        <f>C1232</f>
        <v>2</v>
      </c>
      <c r="D1233" s="505" t="s">
        <v>43</v>
      </c>
      <c r="E1233" s="489">
        <v>460</v>
      </c>
      <c r="F1233" s="660">
        <f t="shared" si="94"/>
        <v>920</v>
      </c>
      <c r="G1233" s="672">
        <v>0</v>
      </c>
      <c r="H1233" s="665">
        <f t="shared" si="95"/>
        <v>0</v>
      </c>
      <c r="I1233" s="665">
        <f t="shared" si="96"/>
        <v>920</v>
      </c>
      <c r="J1233" s="489"/>
    </row>
    <row r="1234" spans="1:10">
      <c r="A1234" s="685"/>
      <c r="B1234" s="863" t="s">
        <v>456</v>
      </c>
      <c r="C1234" s="920">
        <f>ROUNDUP((((0.6*(C1230/0.15))*2)+((C1230*(0.6/0.15)*2))*0.499),0)</f>
        <v>192</v>
      </c>
      <c r="D1234" s="505" t="s">
        <v>19</v>
      </c>
      <c r="E1234" s="489">
        <v>21.38</v>
      </c>
      <c r="F1234" s="660">
        <f t="shared" si="94"/>
        <v>4104.96</v>
      </c>
      <c r="G1234" s="672">
        <v>0</v>
      </c>
      <c r="H1234" s="665">
        <f t="shared" si="95"/>
        <v>0</v>
      </c>
      <c r="I1234" s="665">
        <f t="shared" si="96"/>
        <v>4104.96</v>
      </c>
      <c r="J1234" s="660"/>
    </row>
    <row r="1235" spans="1:10">
      <c r="A1235" s="685"/>
      <c r="B1235" s="863" t="s">
        <v>457</v>
      </c>
      <c r="C1235" s="521">
        <f>(0.6*C1230*0.2)</f>
        <v>1.92</v>
      </c>
      <c r="D1235" s="874" t="s">
        <v>16</v>
      </c>
      <c r="E1235" s="489">
        <v>400</v>
      </c>
      <c r="F1235" s="660">
        <f t="shared" si="94"/>
        <v>768</v>
      </c>
      <c r="G1235" s="672">
        <v>0</v>
      </c>
      <c r="H1235" s="665">
        <f t="shared" si="95"/>
        <v>0</v>
      </c>
      <c r="I1235" s="665">
        <f t="shared" si="96"/>
        <v>768</v>
      </c>
      <c r="J1235" s="660"/>
    </row>
    <row r="1236" spans="1:10">
      <c r="A1236" s="661"/>
      <c r="B1236" s="662" t="s">
        <v>1056</v>
      </c>
      <c r="C1236" s="506">
        <v>1</v>
      </c>
      <c r="D1236" s="505" t="s">
        <v>44</v>
      </c>
      <c r="E1236" s="489">
        <f>SUM(F1199:F1235)*20%</f>
        <v>117860.992</v>
      </c>
      <c r="F1236" s="660">
        <f t="shared" si="94"/>
        <v>117860.992</v>
      </c>
      <c r="G1236" s="672">
        <v>0</v>
      </c>
      <c r="H1236" s="665">
        <f t="shared" si="95"/>
        <v>0</v>
      </c>
      <c r="I1236" s="665">
        <f t="shared" si="96"/>
        <v>117860.992</v>
      </c>
      <c r="J1236" s="660"/>
    </row>
    <row r="1237" spans="1:10">
      <c r="A1237" s="661" t="s">
        <v>1741</v>
      </c>
      <c r="B1237" s="785" t="s">
        <v>47</v>
      </c>
      <c r="C1237" s="506"/>
      <c r="D1237" s="505"/>
      <c r="E1237" s="489"/>
      <c r="F1237" s="660"/>
      <c r="G1237" s="672"/>
      <c r="H1237" s="665"/>
      <c r="I1237" s="665"/>
      <c r="J1237" s="660"/>
    </row>
    <row r="1238" spans="1:10">
      <c r="A1238" s="661"/>
      <c r="B1238" s="785" t="s">
        <v>48</v>
      </c>
      <c r="C1238" s="506"/>
      <c r="D1238" s="505"/>
      <c r="E1238" s="489"/>
      <c r="F1238" s="660"/>
      <c r="G1238" s="672"/>
      <c r="H1238" s="665"/>
      <c r="I1238" s="665"/>
      <c r="J1238" s="660"/>
    </row>
    <row r="1239" spans="1:10" ht="48">
      <c r="A1239" s="661"/>
      <c r="B1239" s="924" t="str">
        <f>'Architecture '!DV311</f>
        <v xml:space="preserve"> - D.D3.2 ประตูบานเปิดคู่พร้อมช่องแสงติดตาย วงกบ 2"x4" ทำสีตามตัวอย่าง ลูกฟัก กระจกลามิเนตใส 6 มม. ขนาด 1.90 x 2.85 มม.</v>
      </c>
      <c r="C1239" s="867">
        <f>'Architecture '!DR311</f>
        <v>2</v>
      </c>
      <c r="D1239" s="744" t="s">
        <v>15</v>
      </c>
      <c r="E1239" s="527">
        <f>'Architecture '!DX311</f>
        <v>24368</v>
      </c>
      <c r="F1239" s="668">
        <f t="shared" ref="F1239:F1248" si="97">E1239*C1239</f>
        <v>48736</v>
      </c>
      <c r="G1239" s="669">
        <v>0</v>
      </c>
      <c r="H1239" s="670">
        <f t="shared" ref="H1239:H1248" si="98">G1239*C1239</f>
        <v>0</v>
      </c>
      <c r="I1239" s="670">
        <f t="shared" ref="I1239:I1248" si="99">H1239+F1239</f>
        <v>48736</v>
      </c>
      <c r="J1239" s="489"/>
    </row>
    <row r="1240" spans="1:10" ht="48">
      <c r="A1240" s="661"/>
      <c r="B1240" s="924" t="str">
        <f>'Architecture '!DV319</f>
        <v xml:space="preserve"> - D.D9.1 ประตูบานเปิดสวิงคู่พร้อมช่องแสงติดตาย วงกบ 2"x4" อบสีดำ ลูกฟัก กระจกลามิเนตใส 6 มม. ขนาด 2.10 x 2.50 มม.</v>
      </c>
      <c r="C1240" s="867">
        <f>'Architecture '!DR319</f>
        <v>1</v>
      </c>
      <c r="D1240" s="744" t="s">
        <v>15</v>
      </c>
      <c r="E1240" s="527">
        <f>'Architecture '!DX319</f>
        <v>23625</v>
      </c>
      <c r="F1240" s="668">
        <f t="shared" si="97"/>
        <v>23625</v>
      </c>
      <c r="G1240" s="669">
        <v>0</v>
      </c>
      <c r="H1240" s="670">
        <f t="shared" si="98"/>
        <v>0</v>
      </c>
      <c r="I1240" s="670">
        <f t="shared" si="99"/>
        <v>23625</v>
      </c>
      <c r="J1240" s="489"/>
    </row>
    <row r="1241" spans="1:10" ht="48">
      <c r="A1241" s="661"/>
      <c r="B1241" s="924" t="str">
        <f>'Architecture '!DV321</f>
        <v xml:space="preserve"> - D.D11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1241" s="867">
        <f>'Architecture '!DR321</f>
        <v>4</v>
      </c>
      <c r="D1241" s="744" t="s">
        <v>15</v>
      </c>
      <c r="E1241" s="527">
        <f>'Architecture '!DX321</f>
        <v>12375</v>
      </c>
      <c r="F1241" s="668">
        <f t="shared" si="97"/>
        <v>49500</v>
      </c>
      <c r="G1241" s="669">
        <v>0</v>
      </c>
      <c r="H1241" s="670">
        <f t="shared" si="98"/>
        <v>0</v>
      </c>
      <c r="I1241" s="670">
        <f t="shared" si="99"/>
        <v>49500</v>
      </c>
      <c r="J1241" s="489"/>
    </row>
    <row r="1242" spans="1:10" ht="48">
      <c r="A1242" s="661"/>
      <c r="B1242" s="924" t="str">
        <f>'Architecture '!DV322</f>
        <v xml:space="preserve"> - D.D12 ประตูบานเลื่อนพร้อมเกล็ดระบายอากาศด้านล่าง วงกบ ขนาด 2"x5" ทำสีตามตัวอย่าง ขนาด 1.10 x 2.50 มม.</v>
      </c>
      <c r="C1242" s="867">
        <f>'Architecture '!DR322</f>
        <v>1</v>
      </c>
      <c r="D1242" s="744" t="s">
        <v>15</v>
      </c>
      <c r="E1242" s="527">
        <f>'Architecture '!DX322</f>
        <v>12375</v>
      </c>
      <c r="F1242" s="668">
        <f t="shared" si="97"/>
        <v>12375</v>
      </c>
      <c r="G1242" s="669">
        <v>0</v>
      </c>
      <c r="H1242" s="670">
        <f t="shared" si="98"/>
        <v>0</v>
      </c>
      <c r="I1242" s="670">
        <f t="shared" si="99"/>
        <v>12375</v>
      </c>
      <c r="J1242" s="489"/>
    </row>
    <row r="1243" spans="1:10" ht="48">
      <c r="A1243" s="661"/>
      <c r="B1243" s="924" t="str">
        <f>'Architecture '!DV323</f>
        <v xml:space="preserve"> - D.D13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1243" s="867">
        <f>'Architecture '!DR323</f>
        <v>2</v>
      </c>
      <c r="D1243" s="744" t="s">
        <v>15</v>
      </c>
      <c r="E1243" s="527">
        <f>'Architecture '!DX323</f>
        <v>10148</v>
      </c>
      <c r="F1243" s="668">
        <f t="shared" si="97"/>
        <v>20296</v>
      </c>
      <c r="G1243" s="669">
        <v>0</v>
      </c>
      <c r="H1243" s="670">
        <f t="shared" si="98"/>
        <v>0</v>
      </c>
      <c r="I1243" s="670">
        <f t="shared" si="99"/>
        <v>20296</v>
      </c>
      <c r="J1243" s="489"/>
    </row>
    <row r="1244" spans="1:10" ht="48">
      <c r="A1244" s="661"/>
      <c r="B1244" s="924" t="str">
        <f>'Architecture '!DV324</f>
        <v xml:space="preserve"> - D.D14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1244" s="867">
        <f>'Architecture '!DR324</f>
        <v>1</v>
      </c>
      <c r="D1244" s="744" t="s">
        <v>15</v>
      </c>
      <c r="E1244" s="527">
        <f>'Architecture '!DX324</f>
        <v>43515</v>
      </c>
      <c r="F1244" s="668">
        <f t="shared" si="97"/>
        <v>43515</v>
      </c>
      <c r="G1244" s="669">
        <v>0</v>
      </c>
      <c r="H1244" s="670">
        <f t="shared" si="98"/>
        <v>0</v>
      </c>
      <c r="I1244" s="670">
        <f t="shared" si="99"/>
        <v>43515</v>
      </c>
      <c r="J1244" s="489"/>
    </row>
    <row r="1245" spans="1:10" ht="48">
      <c r="A1245" s="661"/>
      <c r="B1245" s="924" t="str">
        <f>'Architecture '!DV328</f>
        <v xml:space="preserve"> - D.D18 ประตูบานเปิดเดี่ยวพร้อมช่องแสงติดตาย วงกบ 2"x4" ทำสีตามตัวอย่าง ลูกฟัก กระจกลามิเนตใส 6 มม. ขนาด 5.35 x 2.50 มม.</v>
      </c>
      <c r="C1245" s="867">
        <f>'Architecture '!DR328</f>
        <v>13</v>
      </c>
      <c r="D1245" s="744" t="s">
        <v>15</v>
      </c>
      <c r="E1245" s="527">
        <f>'Architecture '!DX328</f>
        <v>22005</v>
      </c>
      <c r="F1245" s="668">
        <f t="shared" si="97"/>
        <v>286065</v>
      </c>
      <c r="G1245" s="669">
        <v>0</v>
      </c>
      <c r="H1245" s="670">
        <f t="shared" si="98"/>
        <v>0</v>
      </c>
      <c r="I1245" s="670">
        <f t="shared" si="99"/>
        <v>286065</v>
      </c>
      <c r="J1245" s="489"/>
    </row>
    <row r="1246" spans="1:10">
      <c r="A1246" s="661"/>
      <c r="B1246" s="925" t="str">
        <f>'Architecture '!DV330</f>
        <v xml:space="preserve"> - D.D20 ประตูบานเปิดคู่ วงกบ 2"x4" ทำสีตามตัวอย่าง ขนาด 1.50 x 1.05 มม.</v>
      </c>
      <c r="C1246" s="867">
        <f>'Architecture '!DR330</f>
        <v>6</v>
      </c>
      <c r="D1246" s="744" t="s">
        <v>15</v>
      </c>
      <c r="E1246" s="527">
        <f>'Architecture '!DX330</f>
        <v>7088</v>
      </c>
      <c r="F1246" s="668">
        <f t="shared" si="97"/>
        <v>42528</v>
      </c>
      <c r="G1246" s="669">
        <v>0</v>
      </c>
      <c r="H1246" s="670">
        <f t="shared" si="98"/>
        <v>0</v>
      </c>
      <c r="I1246" s="670">
        <f t="shared" si="99"/>
        <v>42528</v>
      </c>
      <c r="J1246" s="489"/>
    </row>
    <row r="1247" spans="1:10" ht="48">
      <c r="A1247" s="661"/>
      <c r="B1247" s="924" t="str">
        <f>'Architecture '!DV331</f>
        <v xml:space="preserve"> - D.D21 ประตูบานเลื่อนคู่พร้อมช่องแสงติดตาย วงกบ 2"x4" อบสีดำ ลูกฟัก กระจกลามิเนตใส 6 มม. ขนาด 6.70 x 2.50 มม.</v>
      </c>
      <c r="C1247" s="867">
        <f>'Architecture '!DR331</f>
        <v>1</v>
      </c>
      <c r="D1247" s="744" t="s">
        <v>15</v>
      </c>
      <c r="E1247" s="527">
        <f>'Architecture '!DX331</f>
        <v>75375</v>
      </c>
      <c r="F1247" s="668">
        <f t="shared" si="97"/>
        <v>75375</v>
      </c>
      <c r="G1247" s="669">
        <v>0</v>
      </c>
      <c r="H1247" s="670">
        <f t="shared" si="98"/>
        <v>0</v>
      </c>
      <c r="I1247" s="670">
        <f t="shared" si="99"/>
        <v>75375</v>
      </c>
      <c r="J1247" s="489"/>
    </row>
    <row r="1248" spans="1:10" ht="48">
      <c r="A1248" s="661"/>
      <c r="B1248" s="924" t="str">
        <f>'Architecture '!DV332</f>
        <v xml:space="preserve"> - D.D22 ประตูบานเปิดเดี่ยวพร้อมช่องแสงติดตาย วงกบ 2"x4" ทำสีตามตัวอย่าง ลูกฟัก กระจกลามิเนตใส 6 มม. ขนาด 5.35 x 2.50 มม.</v>
      </c>
      <c r="C1248" s="867">
        <f>'Architecture '!DR332</f>
        <v>7</v>
      </c>
      <c r="D1248" s="744" t="s">
        <v>15</v>
      </c>
      <c r="E1248" s="527">
        <f>'Architecture '!DX332</f>
        <v>20655</v>
      </c>
      <c r="F1248" s="668">
        <f t="shared" si="97"/>
        <v>144585</v>
      </c>
      <c r="G1248" s="669">
        <v>0</v>
      </c>
      <c r="H1248" s="670">
        <f t="shared" si="98"/>
        <v>0</v>
      </c>
      <c r="I1248" s="670">
        <f t="shared" si="99"/>
        <v>144585</v>
      </c>
      <c r="J1248" s="489"/>
    </row>
    <row r="1249" spans="1:10">
      <c r="A1249" s="661"/>
      <c r="B1249" s="785" t="s">
        <v>49</v>
      </c>
      <c r="C1249" s="867"/>
      <c r="D1249" s="744"/>
      <c r="E1249" s="527"/>
      <c r="F1249" s="668"/>
      <c r="G1249" s="669"/>
      <c r="H1249" s="670"/>
      <c r="I1249" s="670"/>
      <c r="J1249" s="489"/>
    </row>
    <row r="1250" spans="1:10" ht="48">
      <c r="A1250" s="661"/>
      <c r="B1250" s="924" t="str">
        <f>'Architecture '!DV352</f>
        <v xml:space="preserve"> - D.W2 หน้าต่างบานเปิดพร้อมช่องแสงติดตาย วงกบ 2"x4" อบสีดำ ลูกฟัก กระจกลามิเนตใส 6 มม. ขนาด 4.26 x 1.65 มม.</v>
      </c>
      <c r="C1250" s="867">
        <f>'Architecture '!DR352</f>
        <v>13</v>
      </c>
      <c r="D1250" s="744" t="s">
        <v>15</v>
      </c>
      <c r="E1250" s="527">
        <f>'Architecture '!DX352</f>
        <v>31631</v>
      </c>
      <c r="F1250" s="668">
        <f t="shared" ref="F1250:F1260" si="100">E1250*C1250</f>
        <v>411203</v>
      </c>
      <c r="G1250" s="669">
        <v>0</v>
      </c>
      <c r="H1250" s="670">
        <f t="shared" ref="H1250:H1261" si="101">G1250*C1250</f>
        <v>0</v>
      </c>
      <c r="I1250" s="670">
        <f t="shared" ref="I1250:I1260" si="102">H1250+F1250</f>
        <v>411203</v>
      </c>
      <c r="J1250" s="660"/>
    </row>
    <row r="1251" spans="1:10" ht="48">
      <c r="A1251" s="661"/>
      <c r="B1251" s="924" t="str">
        <f>'Architecture '!DV353</f>
        <v xml:space="preserve"> - D.W2.1 หน้าต่างบานเปิดพร้อมช่องแสงติดตาย วงกบ 2"x4" อบสีดำ ลูกฟัก กระจกลามิเนตเขียวใสตัดแสง 6 มม. ขนาด 5.05 x 1.65 มม.</v>
      </c>
      <c r="C1251" s="867">
        <f>'Architecture '!DR353</f>
        <v>9</v>
      </c>
      <c r="D1251" s="744" t="s">
        <v>15</v>
      </c>
      <c r="E1251" s="527">
        <f>'Architecture '!DX353</f>
        <v>37497</v>
      </c>
      <c r="F1251" s="668">
        <f t="shared" si="100"/>
        <v>337473</v>
      </c>
      <c r="G1251" s="669">
        <v>0</v>
      </c>
      <c r="H1251" s="670">
        <f t="shared" si="101"/>
        <v>0</v>
      </c>
      <c r="I1251" s="670">
        <f t="shared" si="102"/>
        <v>337473</v>
      </c>
      <c r="J1251" s="660"/>
    </row>
    <row r="1252" spans="1:10" ht="48">
      <c r="A1252" s="661"/>
      <c r="B1252" s="924" t="str">
        <f>'Architecture '!DV355</f>
        <v xml:space="preserve"> - D.W4 หน้าต่างบานกระทุ้งพร้อมช่องแสงติดตาย วงกบ 2"x4" อบสีดำ ลูกฟัก กระจกลามิเนตเขียวใสตัดแสง 6 มม. ขนาด 5.10 x 1.65 มม.</v>
      </c>
      <c r="C1252" s="867">
        <f>'Architecture '!DR355</f>
        <v>1</v>
      </c>
      <c r="D1252" s="744" t="s">
        <v>15</v>
      </c>
      <c r="E1252" s="527">
        <f>'Architecture '!DX355</f>
        <v>37868</v>
      </c>
      <c r="F1252" s="668">
        <f t="shared" si="100"/>
        <v>37868</v>
      </c>
      <c r="G1252" s="669">
        <v>0</v>
      </c>
      <c r="H1252" s="670">
        <f t="shared" si="101"/>
        <v>0</v>
      </c>
      <c r="I1252" s="670">
        <f t="shared" si="102"/>
        <v>37868</v>
      </c>
      <c r="J1252" s="660"/>
    </row>
    <row r="1253" spans="1:10" ht="48">
      <c r="A1253" s="661"/>
      <c r="B1253" s="924" t="str">
        <f>'Architecture '!DV358</f>
        <v xml:space="preserve"> - D.W6.1 หน้าต่างบานเปิดพร้อมช่องแสงติดตาย วงกบ 2"x4" อบสีดำ ลูกฟัก กระจกลามิเนตเขียวใสตัดแสง 6 มม. ขนาด 1.79 x 1.65 มม.</v>
      </c>
      <c r="C1253" s="867">
        <f>'Architecture '!DR358</f>
        <v>1</v>
      </c>
      <c r="D1253" s="744" t="s">
        <v>15</v>
      </c>
      <c r="E1253" s="527">
        <f>'Architecture '!DX358</f>
        <v>13291</v>
      </c>
      <c r="F1253" s="668">
        <f t="shared" si="100"/>
        <v>13291</v>
      </c>
      <c r="G1253" s="669">
        <v>0</v>
      </c>
      <c r="H1253" s="670">
        <f t="shared" si="101"/>
        <v>0</v>
      </c>
      <c r="I1253" s="670">
        <f t="shared" si="102"/>
        <v>13291</v>
      </c>
      <c r="J1253" s="660"/>
    </row>
    <row r="1254" spans="1:10" ht="48">
      <c r="A1254" s="661"/>
      <c r="B1254" s="924" t="str">
        <f>'Architecture '!DV362</f>
        <v xml:space="preserve"> - D.W7.2 หน้าต่างช่องแสงติดตายบานสลับ วงกบ 2"x5" อบสีดำ ลูกฟัก กระจกลามิเนตฝ้า 6 มม. ขนาด 2.30 x 0.85 มม.</v>
      </c>
      <c r="C1254" s="867">
        <f>'Architecture '!DR362</f>
        <v>2</v>
      </c>
      <c r="D1254" s="744" t="s">
        <v>15</v>
      </c>
      <c r="E1254" s="527">
        <f>'Architecture '!DX362</f>
        <v>8798</v>
      </c>
      <c r="F1254" s="668">
        <f t="shared" si="100"/>
        <v>17596</v>
      </c>
      <c r="G1254" s="669">
        <v>0</v>
      </c>
      <c r="H1254" s="670">
        <f t="shared" si="101"/>
        <v>0</v>
      </c>
      <c r="I1254" s="670">
        <f t="shared" si="102"/>
        <v>17596</v>
      </c>
      <c r="J1254" s="660"/>
    </row>
    <row r="1255" spans="1:10" ht="48">
      <c r="A1255" s="661"/>
      <c r="B1255" s="924" t="str">
        <f>'Architecture '!DV363</f>
        <v xml:space="preserve"> - D.W7.3 หน้าต่างช่องแสงติดตายบานสลับ วงกบ 2"x5" อบสีดำ ลูกฟัก กระจกลามิเนตฝ้า 6 มม. ขนาด 1.18 x 0.85 มม.</v>
      </c>
      <c r="C1255" s="867">
        <f>'Architecture '!DR363</f>
        <v>1</v>
      </c>
      <c r="D1255" s="744" t="s">
        <v>15</v>
      </c>
      <c r="E1255" s="527">
        <f>'Architecture '!DX363</f>
        <v>4514</v>
      </c>
      <c r="F1255" s="668">
        <f t="shared" si="100"/>
        <v>4514</v>
      </c>
      <c r="G1255" s="669">
        <v>0</v>
      </c>
      <c r="H1255" s="670">
        <f t="shared" si="101"/>
        <v>0</v>
      </c>
      <c r="I1255" s="670">
        <f t="shared" si="102"/>
        <v>4514</v>
      </c>
      <c r="J1255" s="660"/>
    </row>
    <row r="1256" spans="1:10" ht="48">
      <c r="A1256" s="661"/>
      <c r="B1256" s="924" t="str">
        <f>'Architecture '!DV369</f>
        <v xml:space="preserve"> - D.W12 หน้าต่างบานกระทุ้งพร้อมช่องแสงติดตาย วงกบ 2"x4" อบสีดำ ลูกฟัก กระจกลามิเนตเขียวใสตัดแสง 6 มม. ขนาด 1.50 x 1.65 มม.</v>
      </c>
      <c r="C1256" s="867">
        <f>'Architecture '!DR369</f>
        <v>1</v>
      </c>
      <c r="D1256" s="744" t="s">
        <v>15</v>
      </c>
      <c r="E1256" s="527">
        <f>'Architecture '!DX369</f>
        <v>11138</v>
      </c>
      <c r="F1256" s="668">
        <f t="shared" si="100"/>
        <v>11138</v>
      </c>
      <c r="G1256" s="669">
        <v>0</v>
      </c>
      <c r="H1256" s="670">
        <f t="shared" si="101"/>
        <v>0</v>
      </c>
      <c r="I1256" s="670">
        <f t="shared" si="102"/>
        <v>11138</v>
      </c>
      <c r="J1256" s="660"/>
    </row>
    <row r="1257" spans="1:10" ht="48">
      <c r="A1257" s="661"/>
      <c r="B1257" s="924" t="str">
        <f>'Architecture '!DV374</f>
        <v xml:space="preserve"> - D.W17 หน้าต่างช่องแสงติดตาย วงกบ 2"x4" อบสีดำ ลูกฟัก กระจกลามิเนตใส 6 มม. ขนาด 6.35 x 2.50 มม.</v>
      </c>
      <c r="C1257" s="867">
        <f>'Architecture '!DR374</f>
        <v>1</v>
      </c>
      <c r="D1257" s="744" t="s">
        <v>15</v>
      </c>
      <c r="E1257" s="527">
        <f>'Architecture '!DX374</f>
        <v>71438</v>
      </c>
      <c r="F1257" s="668">
        <f t="shared" si="100"/>
        <v>71438</v>
      </c>
      <c r="G1257" s="669">
        <v>0</v>
      </c>
      <c r="H1257" s="670">
        <f t="shared" si="101"/>
        <v>0</v>
      </c>
      <c r="I1257" s="670">
        <f t="shared" si="102"/>
        <v>71438</v>
      </c>
      <c r="J1257" s="660"/>
    </row>
    <row r="1258" spans="1:10" ht="48">
      <c r="A1258" s="661"/>
      <c r="B1258" s="924" t="str">
        <f>'Architecture '!DV375</f>
        <v xml:space="preserve"> - D.W18 หน้าต่างช่องแสงติดตาย วงกบ 2"x4" อบสีดำ ลูกฟัก กระจกลามิเนตใส 6 มม. ขนาด 12.00 x 2.50 มม.</v>
      </c>
      <c r="C1258" s="867">
        <f>'Architecture '!DR375</f>
        <v>1</v>
      </c>
      <c r="D1258" s="744" t="s">
        <v>15</v>
      </c>
      <c r="E1258" s="527">
        <f>'Architecture '!DX375</f>
        <v>135000</v>
      </c>
      <c r="F1258" s="668">
        <f t="shared" si="100"/>
        <v>135000</v>
      </c>
      <c r="G1258" s="669">
        <v>0</v>
      </c>
      <c r="H1258" s="670">
        <f t="shared" si="101"/>
        <v>0</v>
      </c>
      <c r="I1258" s="670">
        <f t="shared" si="102"/>
        <v>135000</v>
      </c>
      <c r="J1258" s="660"/>
    </row>
    <row r="1259" spans="1:10" ht="48">
      <c r="A1259" s="661"/>
      <c r="B1259" s="924" t="str">
        <f>'Architecture '!DV376</f>
        <v xml:space="preserve"> - D.W19 หน้าต่างช่องแสงติดตาย วงกบ 2"x4" อบสีดำ ลูกฟัก กระจกลามิเนตใส 6 มม. ขนาด 5.40 x 2.50 มม.</v>
      </c>
      <c r="C1259" s="867">
        <f>'Architecture '!DR376</f>
        <v>3</v>
      </c>
      <c r="D1259" s="744" t="s">
        <v>15</v>
      </c>
      <c r="E1259" s="527">
        <f>'Architecture '!DX376</f>
        <v>60750</v>
      </c>
      <c r="F1259" s="668">
        <f t="shared" si="100"/>
        <v>182250</v>
      </c>
      <c r="G1259" s="669">
        <v>0</v>
      </c>
      <c r="H1259" s="670">
        <f t="shared" si="101"/>
        <v>0</v>
      </c>
      <c r="I1259" s="670">
        <f t="shared" si="102"/>
        <v>182250</v>
      </c>
      <c r="J1259" s="660"/>
    </row>
    <row r="1260" spans="1:10" ht="48">
      <c r="A1260" s="661"/>
      <c r="B1260" s="924" t="str">
        <f>'Architecture '!DV377</f>
        <v xml:space="preserve"> - D.W20 หน้าต่างบานเปิดพร้อมช่องแสงติดตาย วงกบ 2"x4" อบสีดำ ลูกฟัก กระจกลามิเนตเขียวใสตัดแสง 6 มม. ขนาด 7.40 x 2.10 มม.</v>
      </c>
      <c r="C1260" s="867">
        <f>'Architecture '!DR377</f>
        <v>1</v>
      </c>
      <c r="D1260" s="744" t="s">
        <v>15</v>
      </c>
      <c r="E1260" s="527">
        <f>'Architecture '!DX377</f>
        <v>69930</v>
      </c>
      <c r="F1260" s="668">
        <f t="shared" si="100"/>
        <v>69930</v>
      </c>
      <c r="G1260" s="669">
        <v>0</v>
      </c>
      <c r="H1260" s="670">
        <f t="shared" si="101"/>
        <v>0</v>
      </c>
      <c r="I1260" s="670">
        <f t="shared" si="102"/>
        <v>69930</v>
      </c>
      <c r="J1260" s="660"/>
    </row>
    <row r="1261" spans="1:10">
      <c r="A1261" s="661"/>
      <c r="B1261" s="662" t="s">
        <v>1056</v>
      </c>
      <c r="C1261" s="498">
        <v>1</v>
      </c>
      <c r="D1261" s="499" t="s">
        <v>44</v>
      </c>
      <c r="E1261" s="500">
        <f>SUM(F1238:F1260)*20%</f>
        <v>407660.2</v>
      </c>
      <c r="F1261" s="663">
        <f>E1261*C1261</f>
        <v>407660.2</v>
      </c>
      <c r="G1261" s="672">
        <v>0</v>
      </c>
      <c r="H1261" s="665">
        <f t="shared" si="101"/>
        <v>0</v>
      </c>
      <c r="I1261" s="665">
        <f>H1261+F1261</f>
        <v>407660.2</v>
      </c>
      <c r="J1261" s="660"/>
    </row>
    <row r="1262" spans="1:10">
      <c r="A1262" s="661" t="s">
        <v>1742</v>
      </c>
      <c r="B1262" s="525" t="s">
        <v>1710</v>
      </c>
      <c r="C1262" s="506"/>
      <c r="D1262" s="505"/>
      <c r="E1262" s="489"/>
      <c r="F1262" s="660"/>
      <c r="G1262" s="672"/>
      <c r="H1262" s="665"/>
      <c r="I1262" s="665"/>
      <c r="J1262" s="660"/>
    </row>
    <row r="1263" spans="1:10">
      <c r="A1263" s="661"/>
      <c r="B1263" s="927" t="s">
        <v>1461</v>
      </c>
      <c r="C1263" s="866">
        <f>'Architecture '!DF460</f>
        <v>1735</v>
      </c>
      <c r="D1263" s="789" t="s">
        <v>16</v>
      </c>
      <c r="E1263" s="530">
        <v>650</v>
      </c>
      <c r="F1263" s="530">
        <f>E1263*C1263</f>
        <v>1127750</v>
      </c>
      <c r="G1263" s="672">
        <v>90</v>
      </c>
      <c r="H1263" s="531">
        <f>G1263*C1263</f>
        <v>156150</v>
      </c>
      <c r="I1263" s="531">
        <f>H1263+F1263</f>
        <v>1283900</v>
      </c>
      <c r="J1263" s="660"/>
    </row>
    <row r="1264" spans="1:10">
      <c r="A1264" s="661"/>
      <c r="B1264" s="930" t="s">
        <v>1369</v>
      </c>
      <c r="C1264" s="867">
        <f>C1263</f>
        <v>1735</v>
      </c>
      <c r="D1264" s="526" t="s">
        <v>16</v>
      </c>
      <c r="E1264" s="527">
        <v>280</v>
      </c>
      <c r="F1264" s="527">
        <f>E1264*C1264</f>
        <v>485800</v>
      </c>
      <c r="G1264" s="669">
        <v>25</v>
      </c>
      <c r="H1264" s="528">
        <f>G1264*C1264</f>
        <v>43375</v>
      </c>
      <c r="I1264" s="528">
        <f>H1264+F1264</f>
        <v>529175</v>
      </c>
      <c r="J1264" s="660"/>
    </row>
    <row r="1265" spans="1:10">
      <c r="A1265" s="661"/>
      <c r="B1265" s="862" t="s">
        <v>487</v>
      </c>
      <c r="C1265" s="866"/>
      <c r="D1265" s="518"/>
      <c r="E1265" s="489"/>
      <c r="F1265" s="530"/>
      <c r="G1265" s="931"/>
      <c r="H1265" s="528"/>
      <c r="I1265" s="528"/>
      <c r="J1265" s="660"/>
    </row>
    <row r="1266" spans="1:10">
      <c r="A1266" s="661"/>
      <c r="B1266" s="862" t="s">
        <v>1643</v>
      </c>
      <c r="C1266" s="866">
        <f>'Architecture '!DH460</f>
        <v>107</v>
      </c>
      <c r="D1266" s="518" t="s">
        <v>57</v>
      </c>
      <c r="E1266" s="489">
        <v>350</v>
      </c>
      <c r="F1266" s="530">
        <f>E1266*C1266</f>
        <v>37450</v>
      </c>
      <c r="G1266" s="672">
        <f>E1266*0.2</f>
        <v>70</v>
      </c>
      <c r="H1266" s="531">
        <f>G1266*C1266</f>
        <v>7490</v>
      </c>
      <c r="I1266" s="531">
        <f>H1266+F1266</f>
        <v>44940</v>
      </c>
      <c r="J1266" s="660"/>
    </row>
    <row r="1267" spans="1:10">
      <c r="A1267" s="661"/>
      <c r="B1267" s="862" t="s">
        <v>1134</v>
      </c>
      <c r="C1267" s="866">
        <f>'Architecture '!DM460</f>
        <v>135</v>
      </c>
      <c r="D1267" s="518" t="s">
        <v>57</v>
      </c>
      <c r="E1267" s="489">
        <v>1300</v>
      </c>
      <c r="F1267" s="530">
        <f>E1267*C1267</f>
        <v>175500</v>
      </c>
      <c r="G1267" s="672">
        <v>50</v>
      </c>
      <c r="H1267" s="531">
        <f>G1267*C1267</f>
        <v>6750</v>
      </c>
      <c r="I1267" s="531">
        <f>H1267+F1267</f>
        <v>182250</v>
      </c>
      <c r="J1267" s="660"/>
    </row>
    <row r="1268" spans="1:10">
      <c r="A1268" s="661"/>
      <c r="B1268" s="662" t="s">
        <v>450</v>
      </c>
      <c r="C1268" s="498">
        <v>1</v>
      </c>
      <c r="D1268" s="499" t="s">
        <v>44</v>
      </c>
      <c r="E1268" s="500">
        <f>SUM(F1263:F1267)*20%</f>
        <v>365300</v>
      </c>
      <c r="F1268" s="663">
        <f>E1268*C1268</f>
        <v>365300</v>
      </c>
      <c r="G1268" s="672">
        <v>0</v>
      </c>
      <c r="H1268" s="660">
        <f>G1268*C1268</f>
        <v>0</v>
      </c>
      <c r="I1268" s="665">
        <f>H1268+F1268</f>
        <v>365300</v>
      </c>
      <c r="J1268" s="660"/>
    </row>
    <row r="1269" spans="1:10">
      <c r="A1269" s="661">
        <v>3.14</v>
      </c>
      <c r="B1269" s="525" t="s">
        <v>1195</v>
      </c>
      <c r="C1269" s="506"/>
      <c r="D1269" s="505"/>
      <c r="E1269" s="489"/>
      <c r="F1269" s="660"/>
      <c r="G1269" s="672"/>
      <c r="H1269" s="665"/>
      <c r="I1269" s="665"/>
      <c r="J1269" s="489"/>
    </row>
    <row r="1270" spans="1:10">
      <c r="A1270" s="661" t="s">
        <v>1133</v>
      </c>
      <c r="B1270" s="919" t="s">
        <v>29</v>
      </c>
      <c r="C1270" s="506"/>
      <c r="D1270" s="505"/>
      <c r="E1270" s="489"/>
      <c r="F1270" s="660"/>
      <c r="G1270" s="672"/>
      <c r="H1270" s="665"/>
      <c r="I1270" s="665"/>
      <c r="J1270" s="489"/>
    </row>
    <row r="1271" spans="1:10">
      <c r="A1271" s="661"/>
      <c r="B1271" s="863" t="s">
        <v>430</v>
      </c>
      <c r="C1271" s="506">
        <f>'Architecture '!C484</f>
        <v>25</v>
      </c>
      <c r="D1271" s="505" t="s">
        <v>16</v>
      </c>
      <c r="E1271" s="489">
        <v>95</v>
      </c>
      <c r="F1271" s="660">
        <f>E1271*C1271</f>
        <v>2375</v>
      </c>
      <c r="G1271" s="672">
        <v>82</v>
      </c>
      <c r="H1271" s="665">
        <f>G1271*C1271</f>
        <v>2050</v>
      </c>
      <c r="I1271" s="665">
        <f>H1271+F1271</f>
        <v>4425</v>
      </c>
      <c r="J1271" s="489"/>
    </row>
    <row r="1272" spans="1:10">
      <c r="A1272" s="661"/>
      <c r="B1272" s="863" t="s">
        <v>1425</v>
      </c>
      <c r="C1272" s="506">
        <f>'Architecture '!H484-C1271</f>
        <v>2196</v>
      </c>
      <c r="D1272" s="505" t="s">
        <v>16</v>
      </c>
      <c r="E1272" s="489">
        <v>101</v>
      </c>
      <c r="F1272" s="660">
        <f>E1272*C1272</f>
        <v>221796</v>
      </c>
      <c r="G1272" s="672">
        <v>82</v>
      </c>
      <c r="H1272" s="665">
        <f>G1272*C1272</f>
        <v>180072</v>
      </c>
      <c r="I1272" s="665">
        <f>H1272+F1272</f>
        <v>401868</v>
      </c>
      <c r="J1272" s="489"/>
    </row>
    <row r="1273" spans="1:10">
      <c r="A1273" s="661" t="s">
        <v>1743</v>
      </c>
      <c r="B1273" s="919" t="s">
        <v>31</v>
      </c>
      <c r="C1273" s="506"/>
      <c r="D1273" s="874"/>
      <c r="E1273" s="489"/>
      <c r="F1273" s="660"/>
      <c r="G1273" s="672"/>
      <c r="H1273" s="665"/>
      <c r="I1273" s="665"/>
      <c r="J1273" s="489"/>
    </row>
    <row r="1274" spans="1:10">
      <c r="A1274" s="661"/>
      <c r="B1274" s="919" t="s">
        <v>32</v>
      </c>
      <c r="C1274" s="506"/>
      <c r="D1274" s="874"/>
      <c r="E1274" s="489"/>
      <c r="F1274" s="660"/>
      <c r="G1274" s="672"/>
      <c r="H1274" s="665"/>
      <c r="I1274" s="665"/>
      <c r="J1274" s="489"/>
    </row>
    <row r="1275" spans="1:10">
      <c r="A1275" s="661"/>
      <c r="B1275" s="863" t="s">
        <v>433</v>
      </c>
      <c r="C1275" s="506">
        <f>'Architecture '!U484</f>
        <v>316</v>
      </c>
      <c r="D1275" s="874" t="s">
        <v>16</v>
      </c>
      <c r="E1275" s="489">
        <v>285</v>
      </c>
      <c r="F1275" s="660">
        <f>E1275*C1275</f>
        <v>90060</v>
      </c>
      <c r="G1275" s="672">
        <v>89</v>
      </c>
      <c r="H1275" s="665">
        <f>G1275*C1275</f>
        <v>28124</v>
      </c>
      <c r="I1275" s="665">
        <f>H1275+F1275</f>
        <v>118184</v>
      </c>
      <c r="J1275" s="489"/>
    </row>
    <row r="1276" spans="1:10">
      <c r="A1276" s="661"/>
      <c r="B1276" s="863" t="s">
        <v>1428</v>
      </c>
      <c r="C1276" s="506">
        <f>'Architecture '!V484</f>
        <v>81</v>
      </c>
      <c r="D1276" s="874" t="s">
        <v>16</v>
      </c>
      <c r="E1276" s="489">
        <v>584</v>
      </c>
      <c r="F1276" s="660">
        <f>E1276*C1276</f>
        <v>47304</v>
      </c>
      <c r="G1276" s="672">
        <v>167</v>
      </c>
      <c r="H1276" s="665">
        <f>G1276*C1276</f>
        <v>13527</v>
      </c>
      <c r="I1276" s="665">
        <f>H1276+F1276</f>
        <v>60831</v>
      </c>
      <c r="J1276" s="489"/>
    </row>
    <row r="1277" spans="1:10">
      <c r="A1277" s="661"/>
      <c r="B1277" s="863" t="s">
        <v>1634</v>
      </c>
      <c r="C1277" s="498">
        <f>'Architecture '!DI469</f>
        <v>1490</v>
      </c>
      <c r="D1277" s="874" t="s">
        <v>16</v>
      </c>
      <c r="E1277" s="489">
        <v>400</v>
      </c>
      <c r="F1277" s="660">
        <f>E1277*C1277</f>
        <v>596000</v>
      </c>
      <c r="G1277" s="672">
        <v>250</v>
      </c>
      <c r="H1277" s="665">
        <f>G1277*C1277</f>
        <v>372500</v>
      </c>
      <c r="I1277" s="665">
        <f>H1277+F1277</f>
        <v>968500</v>
      </c>
      <c r="J1277" s="489"/>
    </row>
    <row r="1278" spans="1:10">
      <c r="A1278" s="661"/>
      <c r="B1278" s="863" t="s">
        <v>33</v>
      </c>
      <c r="C1278" s="506">
        <f>'Architecture '!AQ484+'Architecture '!AR484+'Architecture '!AT484</f>
        <v>276</v>
      </c>
      <c r="D1278" s="874" t="s">
        <v>14</v>
      </c>
      <c r="E1278" s="489">
        <v>70</v>
      </c>
      <c r="F1278" s="660">
        <f>E1278*C1278</f>
        <v>19320</v>
      </c>
      <c r="G1278" s="672">
        <v>44</v>
      </c>
      <c r="H1278" s="665">
        <f>G1278*C1278</f>
        <v>12144</v>
      </c>
      <c r="I1278" s="665">
        <f>H1278+F1278</f>
        <v>31464</v>
      </c>
      <c r="J1278" s="489"/>
    </row>
    <row r="1279" spans="1:10">
      <c r="A1279" s="661"/>
      <c r="B1279" s="785" t="s">
        <v>34</v>
      </c>
      <c r="C1279" s="506"/>
      <c r="D1279" s="505"/>
      <c r="E1279" s="489"/>
      <c r="F1279" s="660"/>
      <c r="G1279" s="672"/>
      <c r="H1279" s="665"/>
      <c r="I1279" s="665"/>
      <c r="J1279" s="489"/>
    </row>
    <row r="1280" spans="1:10">
      <c r="A1280" s="661"/>
      <c r="B1280" s="927" t="s">
        <v>1415</v>
      </c>
      <c r="C1280" s="506">
        <f>'Architecture '!AC484</f>
        <v>4015</v>
      </c>
      <c r="D1280" s="874" t="s">
        <v>16</v>
      </c>
      <c r="E1280" s="489">
        <v>75</v>
      </c>
      <c r="F1280" s="660">
        <f>E1280*C1280</f>
        <v>301125</v>
      </c>
      <c r="G1280" s="672">
        <v>95</v>
      </c>
      <c r="H1280" s="665">
        <f>G1280*C1280</f>
        <v>381425</v>
      </c>
      <c r="I1280" s="665">
        <f>H1280+F1280</f>
        <v>682550</v>
      </c>
      <c r="J1280" s="489"/>
    </row>
    <row r="1281" spans="1:10">
      <c r="A1281" s="661"/>
      <c r="B1281" s="863" t="s">
        <v>1390</v>
      </c>
      <c r="C1281" s="506">
        <f>'Architecture '!AD484</f>
        <v>164</v>
      </c>
      <c r="D1281" s="874" t="s">
        <v>16</v>
      </c>
      <c r="E1281" s="489">
        <v>75</v>
      </c>
      <c r="F1281" s="660">
        <f>E1281*C1281</f>
        <v>12300</v>
      </c>
      <c r="G1281" s="672">
        <v>82</v>
      </c>
      <c r="H1281" s="665">
        <f>G1281*C1281</f>
        <v>13448</v>
      </c>
      <c r="I1281" s="665">
        <f>H1281+F1281</f>
        <v>25748</v>
      </c>
      <c r="J1281" s="489"/>
    </row>
    <row r="1282" spans="1:10">
      <c r="A1282" s="661"/>
      <c r="B1282" s="919" t="s">
        <v>36</v>
      </c>
      <c r="C1282" s="506"/>
      <c r="D1282" s="874"/>
      <c r="E1282" s="489"/>
      <c r="F1282" s="660"/>
      <c r="G1282" s="672"/>
      <c r="H1282" s="665"/>
      <c r="I1282" s="665"/>
      <c r="J1282" s="489"/>
    </row>
    <row r="1283" spans="1:10">
      <c r="A1283" s="661"/>
      <c r="B1283" s="863" t="s">
        <v>458</v>
      </c>
      <c r="C1283" s="506">
        <f>'Architecture '!AW484</f>
        <v>25</v>
      </c>
      <c r="D1283" s="874" t="s">
        <v>16</v>
      </c>
      <c r="E1283" s="489">
        <v>78</v>
      </c>
      <c r="F1283" s="660">
        <f>E1283*C1283</f>
        <v>1950</v>
      </c>
      <c r="G1283" s="672">
        <v>82</v>
      </c>
      <c r="H1283" s="665">
        <f>G1283*C1283</f>
        <v>2050</v>
      </c>
      <c r="I1283" s="665">
        <f>H1283+F1283</f>
        <v>4000</v>
      </c>
      <c r="J1283" s="489"/>
    </row>
    <row r="1284" spans="1:10">
      <c r="A1284" s="661"/>
      <c r="B1284" s="862" t="s">
        <v>39</v>
      </c>
      <c r="C1284" s="506">
        <f>'Architecture '!BC484</f>
        <v>25</v>
      </c>
      <c r="D1284" s="874" t="s">
        <v>16</v>
      </c>
      <c r="E1284" s="489">
        <v>33</v>
      </c>
      <c r="F1284" s="660">
        <f>E1284*C1284</f>
        <v>825</v>
      </c>
      <c r="G1284" s="672">
        <v>31</v>
      </c>
      <c r="H1284" s="665">
        <f>G1284*C1284</f>
        <v>775</v>
      </c>
      <c r="I1284" s="665">
        <f>H1284+F1284</f>
        <v>1600</v>
      </c>
      <c r="J1284" s="489"/>
    </row>
    <row r="1285" spans="1:10">
      <c r="A1285" s="661" t="s">
        <v>1744</v>
      </c>
      <c r="B1285" s="785" t="s">
        <v>35</v>
      </c>
      <c r="C1285" s="506"/>
      <c r="D1285" s="505"/>
      <c r="E1285" s="489"/>
      <c r="F1285" s="660"/>
      <c r="G1285" s="672"/>
      <c r="H1285" s="665"/>
      <c r="I1285" s="665"/>
      <c r="J1285" s="489"/>
    </row>
    <row r="1286" spans="1:10">
      <c r="A1286" s="661"/>
      <c r="B1286" s="862" t="s">
        <v>1414</v>
      </c>
      <c r="C1286" s="506">
        <f>'Architecture '!BA484</f>
        <v>4015</v>
      </c>
      <c r="D1286" s="505" t="s">
        <v>16</v>
      </c>
      <c r="E1286" s="489">
        <v>180</v>
      </c>
      <c r="F1286" s="660">
        <f>E1286*C1286</f>
        <v>722700</v>
      </c>
      <c r="G1286" s="672">
        <v>50</v>
      </c>
      <c r="H1286" s="665">
        <f>G1286*C1286</f>
        <v>200750</v>
      </c>
      <c r="I1286" s="665">
        <f>H1286+F1286</f>
        <v>923450</v>
      </c>
      <c r="J1286" s="489"/>
    </row>
    <row r="1287" spans="1:10">
      <c r="A1287" s="661"/>
      <c r="B1287" s="862" t="s">
        <v>1389</v>
      </c>
      <c r="C1287" s="506">
        <f>'Architecture '!AZ484</f>
        <v>164</v>
      </c>
      <c r="D1287" s="505" t="s">
        <v>16</v>
      </c>
      <c r="E1287" s="489">
        <v>180</v>
      </c>
      <c r="F1287" s="660">
        <f>E1287*C1287</f>
        <v>29520</v>
      </c>
      <c r="G1287" s="672">
        <v>50</v>
      </c>
      <c r="H1287" s="665">
        <f>G1287*C1287</f>
        <v>8200</v>
      </c>
      <c r="I1287" s="665">
        <f>H1287+F1287</f>
        <v>37720</v>
      </c>
      <c r="J1287" s="489"/>
    </row>
    <row r="1288" spans="1:10">
      <c r="A1288" s="661" t="s">
        <v>1745</v>
      </c>
      <c r="B1288" s="785" t="s">
        <v>47</v>
      </c>
      <c r="C1288" s="506"/>
      <c r="D1288" s="505"/>
      <c r="E1288" s="489"/>
      <c r="F1288" s="660"/>
      <c r="G1288" s="672"/>
      <c r="H1288" s="665"/>
      <c r="I1288" s="665"/>
      <c r="J1288" s="489"/>
    </row>
    <row r="1289" spans="1:10">
      <c r="A1289" s="661"/>
      <c r="B1289" s="785" t="s">
        <v>48</v>
      </c>
      <c r="C1289" s="506"/>
      <c r="D1289" s="505"/>
      <c r="E1289" s="489"/>
      <c r="F1289" s="660"/>
      <c r="G1289" s="672"/>
      <c r="H1289" s="665"/>
      <c r="I1289" s="665"/>
      <c r="J1289" s="489"/>
    </row>
    <row r="1290" spans="1:10" ht="48">
      <c r="A1290" s="661"/>
      <c r="B1290" s="826" t="str">
        <f>'Architecture '!DV317</f>
        <v xml:space="preserve"> - D.D8.1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2.00 x 2.05 มม.</v>
      </c>
      <c r="C1290" s="867">
        <f>'Architecture '!DS317</f>
        <v>2</v>
      </c>
      <c r="D1290" s="744" t="s">
        <v>15</v>
      </c>
      <c r="E1290" s="527">
        <f>'Architecture '!DX317</f>
        <v>18450</v>
      </c>
      <c r="F1290" s="668">
        <f>E1290*C1290</f>
        <v>36900</v>
      </c>
      <c r="G1290" s="669">
        <v>0</v>
      </c>
      <c r="H1290" s="670">
        <f>G1290*C1290</f>
        <v>0</v>
      </c>
      <c r="I1290" s="670">
        <f>H1290+F1290</f>
        <v>36900</v>
      </c>
      <c r="J1290" s="489"/>
    </row>
    <row r="1291" spans="1:10">
      <c r="A1291" s="661"/>
      <c r="B1291" s="525" t="s">
        <v>1646</v>
      </c>
      <c r="C1291" s="506"/>
      <c r="D1291" s="505"/>
      <c r="E1291" s="489"/>
      <c r="F1291" s="660"/>
      <c r="G1291" s="672"/>
      <c r="H1291" s="665"/>
      <c r="I1291" s="665"/>
      <c r="J1291" s="489"/>
    </row>
    <row r="1292" spans="1:10" ht="48">
      <c r="A1292" s="661"/>
      <c r="B1292" s="826" t="str">
        <f>'Architecture '!DV359</f>
        <v xml:space="preserve"> - D.W6.2 หน้าต่างบานเปิด วงกบ 2"x4" อบสีดำ ลูกฟัก กระจกลามิเนตเขียวใสตัดแสง 6 มม. ขนาด 1.79 x 1.05 มม.</v>
      </c>
      <c r="C1292" s="867">
        <f>'Architecture '!DS359</f>
        <v>1</v>
      </c>
      <c r="D1292" s="744" t="s">
        <v>15</v>
      </c>
      <c r="E1292" s="527">
        <f>'Architecture '!DX359</f>
        <v>8458</v>
      </c>
      <c r="F1292" s="668">
        <f>E1292*C1292</f>
        <v>8458</v>
      </c>
      <c r="G1292" s="669">
        <v>0</v>
      </c>
      <c r="H1292" s="670">
        <f>G1292*C1292</f>
        <v>0</v>
      </c>
      <c r="I1292" s="670">
        <f>H1292+F1292</f>
        <v>8458</v>
      </c>
      <c r="J1292" s="489"/>
    </row>
    <row r="1293" spans="1:10">
      <c r="A1293" s="661"/>
      <c r="B1293" s="662" t="s">
        <v>1056</v>
      </c>
      <c r="C1293" s="498">
        <v>1</v>
      </c>
      <c r="D1293" s="499" t="s">
        <v>44</v>
      </c>
      <c r="E1293" s="500">
        <f>SUM(F1289:F1292)*20%</f>
        <v>9071.6</v>
      </c>
      <c r="F1293" s="663">
        <f>E1293*C1293</f>
        <v>9071.6</v>
      </c>
      <c r="G1293" s="672">
        <v>0</v>
      </c>
      <c r="H1293" s="665">
        <f>G1293*C1293</f>
        <v>0</v>
      </c>
      <c r="I1293" s="665">
        <f>H1293+F1293</f>
        <v>9071.6</v>
      </c>
      <c r="J1293" s="489"/>
    </row>
    <row r="1294" spans="1:10">
      <c r="A1294" s="661" t="s">
        <v>1745</v>
      </c>
      <c r="B1294" s="525" t="s">
        <v>647</v>
      </c>
      <c r="C1294" s="506"/>
      <c r="D1294" s="505"/>
      <c r="E1294" s="489"/>
      <c r="F1294" s="660"/>
      <c r="G1294" s="672"/>
      <c r="H1294" s="665"/>
      <c r="I1294" s="665"/>
      <c r="J1294" s="489"/>
    </row>
    <row r="1295" spans="1:10">
      <c r="A1295" s="661" t="s">
        <v>1746</v>
      </c>
      <c r="B1295" s="525" t="s">
        <v>382</v>
      </c>
      <c r="C1295" s="506"/>
      <c r="D1295" s="505"/>
      <c r="E1295" s="489"/>
      <c r="F1295" s="660"/>
      <c r="G1295" s="672"/>
      <c r="H1295" s="665"/>
      <c r="I1295" s="665"/>
      <c r="J1295" s="489"/>
    </row>
    <row r="1296" spans="1:10">
      <c r="A1296" s="661"/>
      <c r="B1296" s="927" t="s">
        <v>1835</v>
      </c>
      <c r="C1296" s="867">
        <f>'Architecture '!DN484</f>
        <v>910</v>
      </c>
      <c r="D1296" s="526" t="s">
        <v>16</v>
      </c>
      <c r="E1296" s="527">
        <v>6000</v>
      </c>
      <c r="F1296" s="527">
        <f>E1296*C1296</f>
        <v>5460000</v>
      </c>
      <c r="G1296" s="672">
        <f>E1296*0.2</f>
        <v>1200</v>
      </c>
      <c r="H1296" s="528">
        <f>G1296*C1296</f>
        <v>1092000</v>
      </c>
      <c r="I1296" s="528">
        <f>H1296+F1296</f>
        <v>6552000</v>
      </c>
      <c r="J1296" s="527"/>
    </row>
    <row r="1297" spans="1:10">
      <c r="A1297" s="661"/>
      <c r="B1297" s="862" t="s">
        <v>1134</v>
      </c>
      <c r="C1297" s="866">
        <f>'Architecture '!DM484</f>
        <v>111</v>
      </c>
      <c r="D1297" s="518" t="s">
        <v>57</v>
      </c>
      <c r="E1297" s="489">
        <v>1300</v>
      </c>
      <c r="F1297" s="530">
        <f>E1297*C1297</f>
        <v>144300</v>
      </c>
      <c r="G1297" s="672">
        <v>50</v>
      </c>
      <c r="H1297" s="531">
        <f>G1297*C1297</f>
        <v>5550</v>
      </c>
      <c r="I1297" s="531">
        <f>H1297+F1297</f>
        <v>149850</v>
      </c>
      <c r="J1297" s="527"/>
    </row>
    <row r="1298" spans="1:10">
      <c r="A1298" s="661"/>
      <c r="B1298" s="662" t="s">
        <v>1652</v>
      </c>
      <c r="C1298" s="866"/>
      <c r="D1298" s="502"/>
      <c r="E1298" s="489"/>
      <c r="F1298" s="530"/>
      <c r="G1298" s="931"/>
      <c r="H1298" s="531"/>
      <c r="I1298" s="531"/>
      <c r="J1298" s="527"/>
    </row>
    <row r="1299" spans="1:10">
      <c r="A1299" s="661"/>
      <c r="B1299" s="662" t="s">
        <v>1295</v>
      </c>
      <c r="C1299" s="867">
        <f>'Architecture '!DO484</f>
        <v>227</v>
      </c>
      <c r="D1299" s="667" t="s">
        <v>16</v>
      </c>
      <c r="E1299" s="527">
        <v>1900</v>
      </c>
      <c r="F1299" s="668">
        <f>E1299*C1299</f>
        <v>431300</v>
      </c>
      <c r="G1299" s="669">
        <v>1025</v>
      </c>
      <c r="H1299" s="670">
        <f>G1299*C1299</f>
        <v>232675</v>
      </c>
      <c r="I1299" s="670">
        <f>H1299+F1299</f>
        <v>663975</v>
      </c>
      <c r="J1299" s="527"/>
    </row>
    <row r="1300" spans="1:10">
      <c r="A1300" s="661"/>
      <c r="B1300" s="662" t="s">
        <v>450</v>
      </c>
      <c r="C1300" s="498">
        <v>1</v>
      </c>
      <c r="D1300" s="499" t="s">
        <v>451</v>
      </c>
      <c r="E1300" s="500">
        <f>SUM(F1296:F1299)*20%</f>
        <v>1207120</v>
      </c>
      <c r="F1300" s="663">
        <f>E1300*C1300</f>
        <v>1207120</v>
      </c>
      <c r="G1300" s="672">
        <v>0</v>
      </c>
      <c r="H1300" s="660">
        <f>G1300*C1300</f>
        <v>0</v>
      </c>
      <c r="I1300" s="665">
        <f>H1300+F1300</f>
        <v>1207120</v>
      </c>
      <c r="J1300" s="527"/>
    </row>
    <row r="1301" spans="1:10">
      <c r="A1301" s="661" t="s">
        <v>1747</v>
      </c>
      <c r="B1301" s="666" t="s">
        <v>1277</v>
      </c>
      <c r="C1301" s="498"/>
      <c r="D1301" s="499"/>
      <c r="E1301" s="500"/>
      <c r="F1301" s="524"/>
      <c r="G1301" s="672"/>
      <c r="H1301" s="490"/>
      <c r="I1301" s="490"/>
      <c r="J1301" s="527"/>
    </row>
    <row r="1302" spans="1:10">
      <c r="A1302" s="661"/>
      <c r="B1302" s="927" t="s">
        <v>1365</v>
      </c>
      <c r="C1302" s="498">
        <f>ROUNDUP((35.5+49.84+17.77+7.25)*0.8,0)+45</f>
        <v>134</v>
      </c>
      <c r="D1302" s="526" t="s">
        <v>16</v>
      </c>
      <c r="E1302" s="527">
        <v>2500</v>
      </c>
      <c r="F1302" s="527">
        <f>E1302*C1302</f>
        <v>335000</v>
      </c>
      <c r="G1302" s="672">
        <f>E1302*0.4</f>
        <v>1000</v>
      </c>
      <c r="H1302" s="528">
        <f>G1302*C1302</f>
        <v>134000</v>
      </c>
      <c r="I1302" s="528">
        <f>H1302+F1302</f>
        <v>469000</v>
      </c>
      <c r="J1302" s="527"/>
    </row>
    <row r="1303" spans="1:10">
      <c r="A1303" s="661"/>
      <c r="B1303" s="662" t="s">
        <v>450</v>
      </c>
      <c r="C1303" s="498">
        <v>1</v>
      </c>
      <c r="D1303" s="499" t="s">
        <v>451</v>
      </c>
      <c r="E1303" s="500">
        <f>SUM(F1302)*20%</f>
        <v>67000</v>
      </c>
      <c r="F1303" s="663">
        <f>E1303*C1303</f>
        <v>67000</v>
      </c>
      <c r="G1303" s="672">
        <v>0</v>
      </c>
      <c r="H1303" s="665">
        <f>G1303*C1303</f>
        <v>0</v>
      </c>
      <c r="I1303" s="665">
        <f>H1303+F1303</f>
        <v>67000</v>
      </c>
      <c r="J1303" s="527"/>
    </row>
    <row r="1304" spans="1:10">
      <c r="A1304" s="661" t="s">
        <v>1748</v>
      </c>
      <c r="B1304" s="525" t="s">
        <v>56</v>
      </c>
      <c r="C1304" s="506"/>
      <c r="D1304" s="505"/>
      <c r="E1304" s="489"/>
      <c r="F1304" s="660"/>
      <c r="G1304" s="672"/>
      <c r="H1304" s="665"/>
      <c r="I1304" s="665"/>
      <c r="J1304" s="527"/>
    </row>
    <row r="1305" spans="1:10">
      <c r="A1305" s="661"/>
      <c r="B1305" s="927" t="s">
        <v>1461</v>
      </c>
      <c r="C1305" s="866">
        <f>'Architecture '!DF484</f>
        <v>1922</v>
      </c>
      <c r="D1305" s="789" t="s">
        <v>16</v>
      </c>
      <c r="E1305" s="530">
        <v>650</v>
      </c>
      <c r="F1305" s="530">
        <f>E1305*C1305</f>
        <v>1249300</v>
      </c>
      <c r="G1305" s="672">
        <v>90</v>
      </c>
      <c r="H1305" s="531">
        <f>G1305*C1305</f>
        <v>172980</v>
      </c>
      <c r="I1305" s="531">
        <f>H1305+F1305</f>
        <v>1422280</v>
      </c>
      <c r="J1305" s="527"/>
    </row>
    <row r="1306" spans="1:10">
      <c r="A1306" s="661"/>
      <c r="B1306" s="930" t="s">
        <v>1369</v>
      </c>
      <c r="C1306" s="867">
        <f>C1305</f>
        <v>1922</v>
      </c>
      <c r="D1306" s="526" t="s">
        <v>16</v>
      </c>
      <c r="E1306" s="527">
        <v>280</v>
      </c>
      <c r="F1306" s="527">
        <f>E1306*C1306</f>
        <v>538160</v>
      </c>
      <c r="G1306" s="669">
        <v>25</v>
      </c>
      <c r="H1306" s="528">
        <f>G1306*C1306</f>
        <v>48050</v>
      </c>
      <c r="I1306" s="528">
        <f>H1306+F1306</f>
        <v>586210</v>
      </c>
      <c r="J1306" s="527"/>
    </row>
    <row r="1307" spans="1:10">
      <c r="A1307" s="661"/>
      <c r="B1307" s="862" t="s">
        <v>487</v>
      </c>
      <c r="C1307" s="866"/>
      <c r="D1307" s="518"/>
      <c r="E1307" s="489"/>
      <c r="F1307" s="530"/>
      <c r="G1307" s="931"/>
      <c r="H1307" s="528"/>
      <c r="I1307" s="528"/>
      <c r="J1307" s="527"/>
    </row>
    <row r="1308" spans="1:10">
      <c r="A1308" s="661"/>
      <c r="B1308" s="862" t="s">
        <v>488</v>
      </c>
      <c r="C1308" s="866">
        <f>'Architecture '!DG484</f>
        <v>200</v>
      </c>
      <c r="D1308" s="518" t="s">
        <v>57</v>
      </c>
      <c r="E1308" s="489">
        <v>380</v>
      </c>
      <c r="F1308" s="530">
        <f>E1308*C1308</f>
        <v>76000</v>
      </c>
      <c r="G1308" s="672">
        <f>E1308*0.2</f>
        <v>76</v>
      </c>
      <c r="H1308" s="531">
        <f>G1308*C1308</f>
        <v>15200</v>
      </c>
      <c r="I1308" s="531">
        <f>H1308+F1308</f>
        <v>91200</v>
      </c>
      <c r="J1308" s="527"/>
    </row>
    <row r="1309" spans="1:10">
      <c r="A1309" s="661"/>
      <c r="B1309" s="862" t="s">
        <v>1638</v>
      </c>
      <c r="C1309" s="506">
        <f>'Architecture '!DI484</f>
        <v>1490</v>
      </c>
      <c r="D1309" s="526" t="s">
        <v>16</v>
      </c>
      <c r="E1309" s="489">
        <v>650</v>
      </c>
      <c r="F1309" s="530">
        <f>E1309*C1309</f>
        <v>968500</v>
      </c>
      <c r="G1309" s="672">
        <v>90</v>
      </c>
      <c r="H1309" s="531">
        <f>G1309*C1309</f>
        <v>134100</v>
      </c>
      <c r="I1309" s="531">
        <f>H1309+F1309</f>
        <v>1102600</v>
      </c>
      <c r="J1309" s="527"/>
    </row>
    <row r="1310" spans="1:10">
      <c r="A1310" s="661"/>
      <c r="B1310" s="862" t="s">
        <v>490</v>
      </c>
      <c r="C1310" s="506">
        <f>'Architecture '!DJ484</f>
        <v>125</v>
      </c>
      <c r="D1310" s="518" t="s">
        <v>57</v>
      </c>
      <c r="E1310" s="489">
        <v>315</v>
      </c>
      <c r="F1310" s="530">
        <f>E1310*C1310</f>
        <v>39375</v>
      </c>
      <c r="G1310" s="672">
        <f>E1310*0.2</f>
        <v>63</v>
      </c>
      <c r="H1310" s="531">
        <f>G1310*C1310</f>
        <v>7875</v>
      </c>
      <c r="I1310" s="531">
        <f>H1310+F1310</f>
        <v>47250</v>
      </c>
      <c r="J1310" s="527"/>
    </row>
    <row r="1311" spans="1:10">
      <c r="A1311" s="661"/>
      <c r="B1311" s="862" t="s">
        <v>491</v>
      </c>
      <c r="C1311" s="506">
        <f>'Architecture '!DK484</f>
        <v>127</v>
      </c>
      <c r="D1311" s="518" t="s">
        <v>57</v>
      </c>
      <c r="E1311" s="489">
        <v>315</v>
      </c>
      <c r="F1311" s="530">
        <f>E1311*C1311</f>
        <v>40005</v>
      </c>
      <c r="G1311" s="672">
        <f>E1311*0.2</f>
        <v>63</v>
      </c>
      <c r="H1311" s="531">
        <f>G1311*C1311</f>
        <v>8001</v>
      </c>
      <c r="I1311" s="531">
        <f>H1311+F1311</f>
        <v>48006</v>
      </c>
      <c r="J1311" s="527"/>
    </row>
    <row r="1312" spans="1:10">
      <c r="A1312" s="661"/>
      <c r="B1312" s="662" t="s">
        <v>450</v>
      </c>
      <c r="C1312" s="498">
        <v>1</v>
      </c>
      <c r="D1312" s="499" t="s">
        <v>451</v>
      </c>
      <c r="E1312" s="500">
        <f>SUM(F1305:F1311)*20%</f>
        <v>582268</v>
      </c>
      <c r="F1312" s="663">
        <f>E1312*C1312</f>
        <v>582268</v>
      </c>
      <c r="G1312" s="672">
        <v>0</v>
      </c>
      <c r="H1312" s="665">
        <f>G1312*C1312</f>
        <v>0</v>
      </c>
      <c r="I1312" s="665">
        <f>H1312+F1312</f>
        <v>582268</v>
      </c>
      <c r="J1312" s="527"/>
    </row>
    <row r="1313" spans="1:10">
      <c r="A1313" s="661" t="s">
        <v>1749</v>
      </c>
      <c r="B1313" s="666" t="s">
        <v>1706</v>
      </c>
      <c r="C1313" s="498"/>
      <c r="D1313" s="499"/>
      <c r="E1313" s="500"/>
      <c r="F1313" s="663"/>
      <c r="G1313" s="664"/>
      <c r="H1313" s="665"/>
      <c r="I1313" s="665"/>
      <c r="J1313" s="527"/>
    </row>
    <row r="1314" spans="1:10">
      <c r="A1314" s="661"/>
      <c r="B1314" s="666" t="s">
        <v>1383</v>
      </c>
      <c r="C1314" s="498"/>
      <c r="D1314" s="499"/>
      <c r="E1314" s="500"/>
      <c r="F1314" s="663"/>
      <c r="G1314" s="664"/>
      <c r="H1314" s="665"/>
      <c r="I1314" s="665"/>
      <c r="J1314" s="527"/>
    </row>
    <row r="1315" spans="1:10">
      <c r="A1315" s="661"/>
      <c r="B1315" s="927" t="s">
        <v>1791</v>
      </c>
      <c r="C1315" s="498">
        <f>'Architecture '!AC475</f>
        <v>776</v>
      </c>
      <c r="D1315" s="874" t="s">
        <v>16</v>
      </c>
      <c r="E1315" s="489">
        <v>75</v>
      </c>
      <c r="F1315" s="660">
        <f>E1315*C1315</f>
        <v>58200</v>
      </c>
      <c r="G1315" s="672">
        <v>95</v>
      </c>
      <c r="H1315" s="665">
        <f>G1315*C1315</f>
        <v>73720</v>
      </c>
      <c r="I1315" s="665">
        <f>H1315+F1315</f>
        <v>131920</v>
      </c>
      <c r="J1315" s="527"/>
    </row>
    <row r="1316" spans="1:10">
      <c r="A1316" s="661"/>
      <c r="B1316" s="927" t="s">
        <v>1653</v>
      </c>
      <c r="C1316" s="498">
        <f>'Architecture '!AC476</f>
        <v>665</v>
      </c>
      <c r="D1316" s="874" t="s">
        <v>16</v>
      </c>
      <c r="E1316" s="489">
        <v>75</v>
      </c>
      <c r="F1316" s="660">
        <f>E1316*C1316</f>
        <v>49875</v>
      </c>
      <c r="G1316" s="672">
        <v>95</v>
      </c>
      <c r="H1316" s="665">
        <f>G1316*C1316</f>
        <v>63175</v>
      </c>
      <c r="I1316" s="665">
        <f>H1316+F1316</f>
        <v>113050</v>
      </c>
      <c r="J1316" s="527"/>
    </row>
    <row r="1317" spans="1:10">
      <c r="A1317" s="661"/>
      <c r="B1317" s="927" t="s">
        <v>1654</v>
      </c>
      <c r="C1317" s="498">
        <f>'Architecture '!AC477</f>
        <v>1232</v>
      </c>
      <c r="D1317" s="874" t="s">
        <v>16</v>
      </c>
      <c r="E1317" s="489">
        <v>75</v>
      </c>
      <c r="F1317" s="660">
        <f>E1317*C1317</f>
        <v>92400</v>
      </c>
      <c r="G1317" s="672">
        <v>95</v>
      </c>
      <c r="H1317" s="665">
        <f>G1317*C1317</f>
        <v>117040</v>
      </c>
      <c r="I1317" s="665">
        <f>H1317+F1317</f>
        <v>209440</v>
      </c>
      <c r="J1317" s="527"/>
    </row>
    <row r="1318" spans="1:10">
      <c r="A1318" s="661"/>
      <c r="B1318" s="927" t="s">
        <v>1655</v>
      </c>
      <c r="C1318" s="498">
        <f>'Architecture '!AC478</f>
        <v>1117</v>
      </c>
      <c r="D1318" s="874" t="s">
        <v>16</v>
      </c>
      <c r="E1318" s="489">
        <v>75</v>
      </c>
      <c r="F1318" s="660">
        <f>E1318*C1318</f>
        <v>83775</v>
      </c>
      <c r="G1318" s="672">
        <v>95</v>
      </c>
      <c r="H1318" s="665">
        <f>G1318*C1318</f>
        <v>106115</v>
      </c>
      <c r="I1318" s="665">
        <f>H1318+F1318</f>
        <v>189890</v>
      </c>
      <c r="J1318" s="527"/>
    </row>
    <row r="1319" spans="1:10">
      <c r="A1319" s="661" t="s">
        <v>1750</v>
      </c>
      <c r="B1319" s="932" t="s">
        <v>1384</v>
      </c>
      <c r="C1319" s="498"/>
      <c r="D1319" s="505"/>
      <c r="E1319" s="489"/>
      <c r="F1319" s="660"/>
      <c r="G1319" s="672"/>
      <c r="H1319" s="665"/>
      <c r="I1319" s="665"/>
      <c r="J1319" s="527"/>
    </row>
    <row r="1320" spans="1:10">
      <c r="A1320" s="661"/>
      <c r="B1320" s="862" t="s">
        <v>1656</v>
      </c>
      <c r="C1320" s="506">
        <f>'Architecture '!BA475</f>
        <v>776</v>
      </c>
      <c r="D1320" s="505" t="s">
        <v>16</v>
      </c>
      <c r="E1320" s="489">
        <v>180</v>
      </c>
      <c r="F1320" s="660">
        <f>E1320*C1320</f>
        <v>139680</v>
      </c>
      <c r="G1320" s="672">
        <v>50</v>
      </c>
      <c r="H1320" s="665">
        <f>G1320*C1320</f>
        <v>38800</v>
      </c>
      <c r="I1320" s="665">
        <f>H1320+F1320</f>
        <v>178480</v>
      </c>
      <c r="J1320" s="527"/>
    </row>
    <row r="1321" spans="1:10">
      <c r="A1321" s="661"/>
      <c r="B1321" s="862" t="s">
        <v>1657</v>
      </c>
      <c r="C1321" s="506">
        <f>'Architecture '!BA476</f>
        <v>665</v>
      </c>
      <c r="D1321" s="505" t="s">
        <v>16</v>
      </c>
      <c r="E1321" s="489">
        <v>180</v>
      </c>
      <c r="F1321" s="660">
        <f>E1321*C1321</f>
        <v>119700</v>
      </c>
      <c r="G1321" s="672">
        <v>50</v>
      </c>
      <c r="H1321" s="665">
        <f>G1321*C1321</f>
        <v>33250</v>
      </c>
      <c r="I1321" s="665">
        <f>H1321+F1321</f>
        <v>152950</v>
      </c>
      <c r="J1321" s="527"/>
    </row>
    <row r="1322" spans="1:10">
      <c r="A1322" s="661"/>
      <c r="B1322" s="862" t="s">
        <v>1658</v>
      </c>
      <c r="C1322" s="506">
        <f>'Architecture '!BA477</f>
        <v>1232</v>
      </c>
      <c r="D1322" s="505" t="s">
        <v>16</v>
      </c>
      <c r="E1322" s="489">
        <v>180</v>
      </c>
      <c r="F1322" s="660">
        <f>E1322*C1322</f>
        <v>221760</v>
      </c>
      <c r="G1322" s="672">
        <v>50</v>
      </c>
      <c r="H1322" s="665">
        <f>G1322*C1322</f>
        <v>61600</v>
      </c>
      <c r="I1322" s="665">
        <f>H1322+F1322</f>
        <v>283360</v>
      </c>
      <c r="J1322" s="527"/>
    </row>
    <row r="1323" spans="1:10">
      <c r="A1323" s="661"/>
      <c r="B1323" s="862" t="s">
        <v>1659</v>
      </c>
      <c r="C1323" s="506">
        <f>'Architecture '!BA478</f>
        <v>1117</v>
      </c>
      <c r="D1323" s="505" t="s">
        <v>16</v>
      </c>
      <c r="E1323" s="489">
        <v>180</v>
      </c>
      <c r="F1323" s="660">
        <f>E1323*C1323</f>
        <v>201060</v>
      </c>
      <c r="G1323" s="672">
        <v>50</v>
      </c>
      <c r="H1323" s="665">
        <f>G1323*C1323</f>
        <v>55850</v>
      </c>
      <c r="I1323" s="665">
        <f>H1323+F1323</f>
        <v>256910</v>
      </c>
      <c r="J1323" s="527"/>
    </row>
    <row r="1324" spans="1:10">
      <c r="A1324" s="661" t="s">
        <v>1751</v>
      </c>
      <c r="B1324" s="666" t="s">
        <v>1057</v>
      </c>
      <c r="C1324" s="498"/>
      <c r="D1324" s="499"/>
      <c r="E1324" s="500"/>
      <c r="F1324" s="524"/>
      <c r="G1324" s="664"/>
      <c r="H1324" s="490"/>
      <c r="I1324" s="490"/>
      <c r="J1324" s="660"/>
    </row>
    <row r="1325" spans="1:10">
      <c r="A1325" s="661"/>
      <c r="B1325" s="933" t="s">
        <v>1660</v>
      </c>
      <c r="C1325" s="866">
        <v>1</v>
      </c>
      <c r="D1325" s="529" t="s">
        <v>44</v>
      </c>
      <c r="E1325" s="530">
        <f>ROUNDUP((6000*25)+(3000*16)+(9*800),0)</f>
        <v>205200</v>
      </c>
      <c r="F1325" s="530">
        <f>E1325*C1325</f>
        <v>205200</v>
      </c>
      <c r="G1325" s="931">
        <f>E1325*0.25</f>
        <v>51300</v>
      </c>
      <c r="H1325" s="531">
        <f>G1325*C1325</f>
        <v>51300</v>
      </c>
      <c r="I1325" s="531">
        <f>H1325+F1325</f>
        <v>256500</v>
      </c>
      <c r="J1325" s="660"/>
    </row>
    <row r="1326" spans="1:10">
      <c r="A1326" s="661"/>
      <c r="B1326" s="662" t="s">
        <v>450</v>
      </c>
      <c r="C1326" s="498">
        <v>1</v>
      </c>
      <c r="D1326" s="499" t="s">
        <v>44</v>
      </c>
      <c r="E1326" s="500">
        <f>SUM(F1325)*20%</f>
        <v>41040</v>
      </c>
      <c r="F1326" s="663">
        <f>E1326*C1326</f>
        <v>41040</v>
      </c>
      <c r="G1326" s="672">
        <v>0</v>
      </c>
      <c r="H1326" s="665">
        <f>G1326*C1326</f>
        <v>0</v>
      </c>
      <c r="I1326" s="665">
        <f>H1326+F1326</f>
        <v>41040</v>
      </c>
      <c r="J1326" s="660"/>
    </row>
    <row r="1327" spans="1:10">
      <c r="A1327" s="661"/>
      <c r="B1327" s="662"/>
      <c r="C1327" s="498"/>
      <c r="D1327" s="499"/>
      <c r="E1327" s="500"/>
      <c r="F1327" s="663"/>
      <c r="G1327" s="672"/>
      <c r="H1327" s="1125"/>
      <c r="I1327" s="1125"/>
      <c r="J1327" s="660"/>
    </row>
    <row r="1328" spans="1:10">
      <c r="A1328" s="661"/>
      <c r="B1328" s="662"/>
      <c r="C1328" s="498"/>
      <c r="D1328" s="499"/>
      <c r="E1328" s="500"/>
      <c r="F1328" s="663"/>
      <c r="G1328" s="672"/>
      <c r="H1328" s="665"/>
      <c r="I1328" s="665"/>
      <c r="J1328" s="660"/>
    </row>
    <row r="1329" spans="1:10">
      <c r="A1329" s="838"/>
      <c r="B1329" s="833" t="s">
        <v>1291</v>
      </c>
      <c r="C1329" s="840"/>
      <c r="D1329" s="841"/>
      <c r="E1329" s="837"/>
      <c r="F1329" s="842">
        <f>SUM(F907:F1328)</f>
        <v>46929803.020000003</v>
      </c>
      <c r="G1329" s="842"/>
      <c r="H1329" s="842">
        <f>SUM(H907:H1328)</f>
        <v>11789546</v>
      </c>
      <c r="I1329" s="842">
        <f>SUM(I907:I1328)</f>
        <v>58719349.020000003</v>
      </c>
      <c r="J1329" s="837"/>
    </row>
    <row r="1330" spans="1:10">
      <c r="A1330" s="661"/>
      <c r="B1330" s="662"/>
      <c r="C1330" s="498"/>
      <c r="D1330" s="499"/>
      <c r="E1330" s="500"/>
      <c r="F1330" s="663"/>
      <c r="G1330" s="672"/>
      <c r="H1330" s="665"/>
      <c r="I1330" s="665"/>
      <c r="J1330" s="660"/>
    </row>
    <row r="1331" spans="1:10">
      <c r="A1331" s="661"/>
      <c r="B1331" s="785" t="s">
        <v>1170</v>
      </c>
      <c r="C1331" s="506"/>
      <c r="D1331" s="505"/>
      <c r="E1331" s="489"/>
      <c r="F1331" s="660"/>
      <c r="G1331" s="672"/>
      <c r="H1331" s="665"/>
      <c r="I1331" s="665"/>
      <c r="J1331" s="660"/>
    </row>
    <row r="1332" spans="1:10">
      <c r="A1332" s="504">
        <v>3.15</v>
      </c>
      <c r="B1332" s="493" t="s">
        <v>1194</v>
      </c>
      <c r="C1332" s="506"/>
      <c r="D1332" s="505"/>
      <c r="E1332" s="489"/>
      <c r="F1332" s="489"/>
      <c r="G1332" s="507"/>
      <c r="H1332" s="490"/>
      <c r="I1332" s="490"/>
      <c r="J1332" s="489"/>
    </row>
    <row r="1333" spans="1:10">
      <c r="A1333" s="661" t="s">
        <v>1470</v>
      </c>
      <c r="B1333" s="919" t="s">
        <v>29</v>
      </c>
      <c r="C1333" s="506"/>
      <c r="D1333" s="505"/>
      <c r="E1333" s="489"/>
      <c r="F1333" s="660"/>
      <c r="G1333" s="672"/>
      <c r="H1333" s="665"/>
      <c r="I1333" s="665"/>
      <c r="J1333" s="489"/>
    </row>
    <row r="1334" spans="1:10">
      <c r="A1334" s="661"/>
      <c r="B1334" s="863" t="s">
        <v>430</v>
      </c>
      <c r="C1334" s="506">
        <f>'Architecture '!C516</f>
        <v>152</v>
      </c>
      <c r="D1334" s="505" t="s">
        <v>16</v>
      </c>
      <c r="E1334" s="489">
        <v>95</v>
      </c>
      <c r="F1334" s="660">
        <f>E1334*C1334</f>
        <v>14440</v>
      </c>
      <c r="G1334" s="672">
        <v>82</v>
      </c>
      <c r="H1334" s="665">
        <f>G1334*C1334</f>
        <v>12464</v>
      </c>
      <c r="I1334" s="665">
        <f>H1334+F1334</f>
        <v>26904</v>
      </c>
      <c r="J1334" s="489"/>
    </row>
    <row r="1335" spans="1:10">
      <c r="A1335" s="661"/>
      <c r="B1335" s="863" t="s">
        <v>1326</v>
      </c>
      <c r="C1335" s="506">
        <f>'Architecture '!H516</f>
        <v>452</v>
      </c>
      <c r="D1335" s="505" t="s">
        <v>16</v>
      </c>
      <c r="E1335" s="489">
        <v>101</v>
      </c>
      <c r="F1335" s="683">
        <f>E1335*C1335</f>
        <v>45652</v>
      </c>
      <c r="G1335" s="672">
        <v>82</v>
      </c>
      <c r="H1335" s="684">
        <f>G1335*C1335</f>
        <v>37064</v>
      </c>
      <c r="I1335" s="684">
        <f>H1335+F1335</f>
        <v>82716</v>
      </c>
      <c r="J1335" s="489"/>
    </row>
    <row r="1336" spans="1:10">
      <c r="A1336" s="661" t="s">
        <v>1471</v>
      </c>
      <c r="B1336" s="919" t="s">
        <v>31</v>
      </c>
      <c r="C1336" s="506"/>
      <c r="D1336" s="874"/>
      <c r="E1336" s="489"/>
      <c r="F1336" s="660"/>
      <c r="G1336" s="672"/>
      <c r="H1336" s="665"/>
      <c r="I1336" s="665"/>
      <c r="J1336" s="489"/>
    </row>
    <row r="1337" spans="1:10">
      <c r="A1337" s="661"/>
      <c r="B1337" s="919" t="s">
        <v>32</v>
      </c>
      <c r="C1337" s="506"/>
      <c r="D1337" s="874"/>
      <c r="E1337" s="489"/>
      <c r="F1337" s="660"/>
      <c r="G1337" s="672"/>
      <c r="H1337" s="665"/>
      <c r="I1337" s="665"/>
      <c r="J1337" s="489"/>
    </row>
    <row r="1338" spans="1:10">
      <c r="A1338" s="661"/>
      <c r="B1338" s="863" t="s">
        <v>433</v>
      </c>
      <c r="C1338" s="498">
        <f>'Architecture '!U516</f>
        <v>133</v>
      </c>
      <c r="D1338" s="874" t="s">
        <v>16</v>
      </c>
      <c r="E1338" s="489">
        <v>285</v>
      </c>
      <c r="F1338" s="660">
        <f>E1338*C1338</f>
        <v>37905</v>
      </c>
      <c r="G1338" s="672">
        <v>89</v>
      </c>
      <c r="H1338" s="665">
        <f>G1338*C1338</f>
        <v>11837</v>
      </c>
      <c r="I1338" s="665">
        <f>H1338+F1338</f>
        <v>49742</v>
      </c>
      <c r="J1338" s="489"/>
    </row>
    <row r="1339" spans="1:10">
      <c r="A1339" s="661"/>
      <c r="B1339" s="863" t="s">
        <v>33</v>
      </c>
      <c r="C1339" s="498">
        <f>'Architecture '!AQ516+'Architecture '!AT516</f>
        <v>171</v>
      </c>
      <c r="D1339" s="874" t="s">
        <v>14</v>
      </c>
      <c r="E1339" s="489">
        <v>70</v>
      </c>
      <c r="F1339" s="660">
        <f>E1339*C1339</f>
        <v>11970</v>
      </c>
      <c r="G1339" s="672">
        <v>44</v>
      </c>
      <c r="H1339" s="665">
        <f>G1339*C1339</f>
        <v>7524</v>
      </c>
      <c r="I1339" s="665">
        <f>H1339+F1339</f>
        <v>19494</v>
      </c>
      <c r="J1339" s="489"/>
    </row>
    <row r="1340" spans="1:10">
      <c r="A1340" s="661"/>
      <c r="B1340" s="785" t="s">
        <v>34</v>
      </c>
      <c r="C1340" s="498"/>
      <c r="D1340" s="505"/>
      <c r="E1340" s="489"/>
      <c r="F1340" s="660"/>
      <c r="G1340" s="672"/>
      <c r="H1340" s="665"/>
      <c r="I1340" s="665"/>
      <c r="J1340" s="489"/>
    </row>
    <row r="1341" spans="1:10">
      <c r="A1341" s="661"/>
      <c r="B1341" s="927" t="s">
        <v>1415</v>
      </c>
      <c r="C1341" s="498">
        <f>'Architecture '!AC516</f>
        <v>291</v>
      </c>
      <c r="D1341" s="874" t="s">
        <v>16</v>
      </c>
      <c r="E1341" s="489">
        <v>75</v>
      </c>
      <c r="F1341" s="660">
        <f>E1341*C1341</f>
        <v>21825</v>
      </c>
      <c r="G1341" s="672">
        <v>95</v>
      </c>
      <c r="H1341" s="665">
        <f>G1341*C1341</f>
        <v>27645</v>
      </c>
      <c r="I1341" s="665">
        <f>H1341+F1341</f>
        <v>49470</v>
      </c>
      <c r="J1341" s="489"/>
    </row>
    <row r="1342" spans="1:10">
      <c r="A1342" s="661"/>
      <c r="B1342" s="863" t="s">
        <v>1390</v>
      </c>
      <c r="C1342" s="498">
        <f>'Architecture '!AD516</f>
        <v>454</v>
      </c>
      <c r="D1342" s="874" t="s">
        <v>16</v>
      </c>
      <c r="E1342" s="489">
        <v>75</v>
      </c>
      <c r="F1342" s="660">
        <f>E1342*C1342</f>
        <v>34050</v>
      </c>
      <c r="G1342" s="672">
        <v>82</v>
      </c>
      <c r="H1342" s="665">
        <f>G1342*C1342</f>
        <v>37228</v>
      </c>
      <c r="I1342" s="665">
        <f>H1342+F1342</f>
        <v>71278</v>
      </c>
      <c r="J1342" s="489"/>
    </row>
    <row r="1343" spans="1:10">
      <c r="A1343" s="661" t="s">
        <v>1472</v>
      </c>
      <c r="B1343" s="785" t="s">
        <v>35</v>
      </c>
      <c r="C1343" s="498"/>
      <c r="D1343" s="505"/>
      <c r="E1343" s="489"/>
      <c r="F1343" s="660"/>
      <c r="G1343" s="672"/>
      <c r="H1343" s="665"/>
      <c r="I1343" s="665"/>
      <c r="J1343" s="489"/>
    </row>
    <row r="1344" spans="1:10">
      <c r="A1344" s="685"/>
      <c r="B1344" s="862" t="s">
        <v>1414</v>
      </c>
      <c r="C1344" s="498">
        <f>'Architecture '!BA516</f>
        <v>291</v>
      </c>
      <c r="D1344" s="505" t="s">
        <v>16</v>
      </c>
      <c r="E1344" s="489">
        <v>180</v>
      </c>
      <c r="F1344" s="660">
        <f>E1344*C1344</f>
        <v>52380</v>
      </c>
      <c r="G1344" s="672">
        <v>50</v>
      </c>
      <c r="H1344" s="665">
        <f>G1344*C1344</f>
        <v>14550</v>
      </c>
      <c r="I1344" s="665">
        <f>H1344+F1344</f>
        <v>66930</v>
      </c>
      <c r="J1344" s="489"/>
    </row>
    <row r="1345" spans="1:10">
      <c r="A1345" s="518"/>
      <c r="B1345" s="862" t="s">
        <v>1389</v>
      </c>
      <c r="C1345" s="498">
        <f>'Architecture '!AZ516</f>
        <v>454</v>
      </c>
      <c r="D1345" s="505" t="s">
        <v>16</v>
      </c>
      <c r="E1345" s="489">
        <v>180</v>
      </c>
      <c r="F1345" s="660">
        <f>E1345*C1345</f>
        <v>81720</v>
      </c>
      <c r="G1345" s="672">
        <v>50</v>
      </c>
      <c r="H1345" s="665">
        <f>G1345*C1345</f>
        <v>22700</v>
      </c>
      <c r="I1345" s="665">
        <f>H1345+F1345</f>
        <v>104420</v>
      </c>
      <c r="J1345" s="489"/>
    </row>
    <row r="1346" spans="1:10">
      <c r="A1346" s="661" t="s">
        <v>1752</v>
      </c>
      <c r="B1346" s="785" t="s">
        <v>47</v>
      </c>
      <c r="C1346" s="506"/>
      <c r="D1346" s="505"/>
      <c r="E1346" s="489"/>
      <c r="F1346" s="660"/>
      <c r="G1346" s="672"/>
      <c r="H1346" s="665"/>
      <c r="I1346" s="665"/>
      <c r="J1346" s="489"/>
    </row>
    <row r="1347" spans="1:10">
      <c r="A1347" s="661"/>
      <c r="B1347" s="785" t="s">
        <v>48</v>
      </c>
      <c r="C1347" s="506"/>
      <c r="D1347" s="505"/>
      <c r="E1347" s="489"/>
      <c r="F1347" s="660"/>
      <c r="G1347" s="672"/>
      <c r="H1347" s="665"/>
      <c r="I1347" s="665"/>
      <c r="J1347" s="489"/>
    </row>
    <row r="1348" spans="1:10">
      <c r="A1348" s="661"/>
      <c r="B1348" s="862" t="str">
        <f>'Architecture '!DV509</f>
        <v xml:space="preserve"> - E.D1 ประตูบานเหล็กม้วน วงกบเหล็ก 2"x4" ทำสีตามตัวอย่าง พร้อมระบบมอเตอร์ไฟฟ้า ขนาด 4.55 x 2.60 มม.</v>
      </c>
      <c r="C1348" s="506">
        <f>'Architecture '!BF516</f>
        <v>2</v>
      </c>
      <c r="D1348" s="505" t="s">
        <v>15</v>
      </c>
      <c r="E1348" s="489">
        <f>'Architecture '!DX509</f>
        <v>29575</v>
      </c>
      <c r="F1348" s="660">
        <f>E1348*C1348</f>
        <v>59150</v>
      </c>
      <c r="G1348" s="672">
        <v>0</v>
      </c>
      <c r="H1348" s="665">
        <f>G1348*C1348</f>
        <v>0</v>
      </c>
      <c r="I1348" s="665">
        <f>H1348+F1348</f>
        <v>59150</v>
      </c>
      <c r="J1348" s="489"/>
    </row>
    <row r="1349" spans="1:10">
      <c r="A1349" s="661"/>
      <c r="B1349" s="862" t="str">
        <f>'Architecture '!DV510</f>
        <v xml:space="preserve"> - E.D2 ประตูบานเหล็กม้วน วงกบเหล็ก 2"x4" ทำสีตามตัวอย่าง พร้อมระบบมอเตอร์ไฟฟ้า ขนาด 4.15 x 2.50 มม.</v>
      </c>
      <c r="C1349" s="506">
        <f>'Architecture '!BG516</f>
        <v>2</v>
      </c>
      <c r="D1349" s="505" t="s">
        <v>15</v>
      </c>
      <c r="E1349" s="489">
        <f>'Architecture '!DX510</f>
        <v>25938</v>
      </c>
      <c r="F1349" s="660">
        <f>E1349*C1349</f>
        <v>51876</v>
      </c>
      <c r="G1349" s="672">
        <v>0</v>
      </c>
      <c r="H1349" s="665">
        <f>G1349*C1349</f>
        <v>0</v>
      </c>
      <c r="I1349" s="665">
        <f>H1349+F1349</f>
        <v>51876</v>
      </c>
      <c r="J1349" s="489"/>
    </row>
    <row r="1350" spans="1:10">
      <c r="A1350" s="661"/>
      <c r="B1350" s="862" t="str">
        <f>'Architecture '!DV511</f>
        <v xml:space="preserve"> - E.D3 ประตูบานเหล็กม้วน วงกบเหล็ก 2"x4" ทำสีตามตัวอย่าง พร้อมระบบมอเตอร์ไฟฟ้า ขนาด 4.55 x 2.50 มม.</v>
      </c>
      <c r="C1350" s="506">
        <f>'Architecture '!BH516</f>
        <v>4</v>
      </c>
      <c r="D1350" s="505" t="s">
        <v>15</v>
      </c>
      <c r="E1350" s="489">
        <f>'Architecture '!DX511</f>
        <v>28438</v>
      </c>
      <c r="F1350" s="660">
        <f>E1350*C1350</f>
        <v>113752</v>
      </c>
      <c r="G1350" s="672">
        <v>0</v>
      </c>
      <c r="H1350" s="665">
        <f>G1350*C1350</f>
        <v>0</v>
      </c>
      <c r="I1350" s="665">
        <f>H1350+F1350</f>
        <v>113752</v>
      </c>
      <c r="J1350" s="489"/>
    </row>
    <row r="1351" spans="1:10">
      <c r="A1351" s="661"/>
      <c r="B1351" s="785" t="s">
        <v>49</v>
      </c>
      <c r="C1351" s="506"/>
      <c r="D1351" s="505"/>
      <c r="E1351" s="489"/>
      <c r="F1351" s="660"/>
      <c r="G1351" s="672"/>
      <c r="H1351" s="665"/>
      <c r="I1351" s="665"/>
      <c r="J1351" s="489"/>
    </row>
    <row r="1352" spans="1:10" ht="48">
      <c r="A1352" s="661"/>
      <c r="B1352" s="924" t="str">
        <f>'Architecture '!DV514</f>
        <v xml:space="preserve"> - E.W1 หน้าต่างบานกระทุ้งพร้อมช่องแสงติดตาย วงกบ 2"x4" อบสีดำ ลูกฟัก กระจกลามิเนตเขียวใสตัดแสง 6 มม. ขนาด 4.25 x 1.65 มม.</v>
      </c>
      <c r="C1352" s="867">
        <f>'Architecture '!CE516</f>
        <v>6</v>
      </c>
      <c r="D1352" s="744" t="s">
        <v>15</v>
      </c>
      <c r="E1352" s="527">
        <f>'Architecture '!DX514</f>
        <v>19635</v>
      </c>
      <c r="F1352" s="668">
        <f>E1352*C1352</f>
        <v>117810</v>
      </c>
      <c r="G1352" s="669">
        <v>0</v>
      </c>
      <c r="H1352" s="670">
        <f>G1352*C1352</f>
        <v>0</v>
      </c>
      <c r="I1352" s="670">
        <f>H1352+F1352</f>
        <v>117810</v>
      </c>
      <c r="J1352" s="489"/>
    </row>
    <row r="1353" spans="1:10" ht="48">
      <c r="A1353" s="661"/>
      <c r="B1353" s="924" t="str">
        <f>'Architecture '!DV515</f>
        <v xml:space="preserve"> - E.W2 หน้าต่างบานเปิดพร้อมช่องแสงติดตาย วงกบ 2"x4" อบสีดำ ลูกฟัก กระจกลามิเนตเขียวใสตัดแสง 6 มม. ขนาด 4.25 x 1.65 มม.</v>
      </c>
      <c r="C1353" s="867">
        <f>'Architecture '!CF516</f>
        <v>2</v>
      </c>
      <c r="D1353" s="744" t="s">
        <v>15</v>
      </c>
      <c r="E1353" s="527">
        <f>'Architecture '!DX515</f>
        <v>19635</v>
      </c>
      <c r="F1353" s="668">
        <f>E1353*C1353</f>
        <v>39270</v>
      </c>
      <c r="G1353" s="669">
        <v>0</v>
      </c>
      <c r="H1353" s="670">
        <f>G1353*C1353</f>
        <v>0</v>
      </c>
      <c r="I1353" s="670">
        <f>H1353+F1353</f>
        <v>39270</v>
      </c>
      <c r="J1353" s="489"/>
    </row>
    <row r="1354" spans="1:10">
      <c r="A1354" s="661"/>
      <c r="B1354" s="662" t="s">
        <v>1056</v>
      </c>
      <c r="C1354" s="498">
        <v>1</v>
      </c>
      <c r="D1354" s="499" t="s">
        <v>44</v>
      </c>
      <c r="E1354" s="500">
        <f>SUM(F1347:F1353)*20%</f>
        <v>76371.600000000006</v>
      </c>
      <c r="F1354" s="660">
        <f>E1354*C1354</f>
        <v>76371.600000000006</v>
      </c>
      <c r="G1354" s="672">
        <v>0</v>
      </c>
      <c r="H1354" s="665">
        <f>G1354*C1354</f>
        <v>0</v>
      </c>
      <c r="I1354" s="665">
        <f>H1354+F1354</f>
        <v>76371.600000000006</v>
      </c>
      <c r="J1354" s="489"/>
    </row>
    <row r="1355" spans="1:10">
      <c r="A1355" s="661">
        <v>3.16</v>
      </c>
      <c r="B1355" s="525" t="s">
        <v>1195</v>
      </c>
      <c r="C1355" s="506"/>
      <c r="D1355" s="505"/>
      <c r="E1355" s="489"/>
      <c r="F1355" s="660"/>
      <c r="G1355" s="672"/>
      <c r="H1355" s="665"/>
      <c r="I1355" s="665"/>
      <c r="J1355" s="660"/>
    </row>
    <row r="1356" spans="1:10">
      <c r="A1356" s="661" t="s">
        <v>1753</v>
      </c>
      <c r="B1356" s="919" t="s">
        <v>29</v>
      </c>
      <c r="C1356" s="506"/>
      <c r="D1356" s="505"/>
      <c r="E1356" s="489"/>
      <c r="F1356" s="660"/>
      <c r="G1356" s="672"/>
      <c r="H1356" s="665"/>
      <c r="I1356" s="665"/>
      <c r="J1356" s="660"/>
    </row>
    <row r="1357" spans="1:10">
      <c r="A1357" s="661"/>
      <c r="B1357" s="863" t="s">
        <v>1425</v>
      </c>
      <c r="C1357" s="506">
        <f>'Architecture '!H531</f>
        <v>308</v>
      </c>
      <c r="D1357" s="505" t="s">
        <v>16</v>
      </c>
      <c r="E1357" s="489">
        <v>101</v>
      </c>
      <c r="F1357" s="660">
        <f>E1357*C1357</f>
        <v>31108</v>
      </c>
      <c r="G1357" s="672">
        <v>82</v>
      </c>
      <c r="H1357" s="665">
        <f>G1357*C1357</f>
        <v>25256</v>
      </c>
      <c r="I1357" s="665">
        <f>H1357+F1357</f>
        <v>56364</v>
      </c>
      <c r="J1357" s="660"/>
    </row>
    <row r="1358" spans="1:10">
      <c r="A1358" s="661"/>
      <c r="B1358" s="863"/>
      <c r="C1358" s="682"/>
      <c r="D1358" s="874"/>
      <c r="E1358" s="660"/>
      <c r="F1358" s="660"/>
      <c r="G1358" s="672"/>
      <c r="H1358" s="1125"/>
      <c r="I1358" s="1125"/>
      <c r="J1358" s="660"/>
    </row>
    <row r="1359" spans="1:10">
      <c r="A1359" s="513"/>
      <c r="B1359" s="791"/>
      <c r="C1359" s="570"/>
      <c r="D1359" s="792"/>
      <c r="E1359" s="517"/>
      <c r="F1359" s="1154"/>
      <c r="G1359" s="618"/>
      <c r="H1359" s="516"/>
      <c r="I1359" s="516"/>
      <c r="J1359" s="517"/>
    </row>
    <row r="1360" spans="1:10">
      <c r="A1360" s="838"/>
      <c r="B1360" s="833" t="s">
        <v>1292</v>
      </c>
      <c r="C1360" s="840"/>
      <c r="D1360" s="841"/>
      <c r="E1360" s="837"/>
      <c r="F1360" s="842">
        <f>SUM(F1332:F1359)</f>
        <v>789279.6</v>
      </c>
      <c r="G1360" s="842"/>
      <c r="H1360" s="842">
        <f>SUM(H1332:H1359)</f>
        <v>196268</v>
      </c>
      <c r="I1360" s="842">
        <f>SUM(I1332:I1359)</f>
        <v>985547.6</v>
      </c>
      <c r="J1360" s="837"/>
    </row>
    <row r="1361" spans="1:10">
      <c r="A1361" s="661"/>
      <c r="B1361" s="785"/>
      <c r="C1361" s="506"/>
      <c r="D1361" s="505"/>
      <c r="E1361" s="489"/>
      <c r="F1361" s="660"/>
      <c r="G1361" s="672"/>
      <c r="H1361" s="665"/>
      <c r="I1361" s="665"/>
      <c r="J1361" s="660"/>
    </row>
    <row r="1362" spans="1:10" s="5" customFormat="1">
      <c r="A1362" s="838"/>
      <c r="B1362" s="833" t="s">
        <v>1755</v>
      </c>
      <c r="C1362" s="840"/>
      <c r="D1362" s="841"/>
      <c r="E1362" s="837"/>
      <c r="F1362" s="842">
        <f>SUM(F715+F809+F903+F1329+F1360)</f>
        <v>96091886.956</v>
      </c>
      <c r="G1362" s="842"/>
      <c r="H1362" s="842">
        <f>SUM(H715+H809+H903+H1329+H1360)</f>
        <v>25931431.68</v>
      </c>
      <c r="I1362" s="842">
        <f>SUM(I715+I809+I903+I1329+I1360)</f>
        <v>122023318.63600001</v>
      </c>
      <c r="J1362" s="837"/>
    </row>
    <row r="1363" spans="1:10" s="5" customFormat="1">
      <c r="A1363" s="496">
        <v>4</v>
      </c>
      <c r="B1363" s="535" t="s">
        <v>494</v>
      </c>
      <c r="C1363" s="536"/>
      <c r="D1363" s="499"/>
      <c r="E1363" s="489"/>
      <c r="F1363" s="489"/>
      <c r="G1363" s="507"/>
      <c r="H1363" s="490"/>
      <c r="I1363" s="490"/>
      <c r="J1363" s="489"/>
    </row>
    <row r="1364" spans="1:10">
      <c r="A1364" s="537">
        <v>4.0999999999999996</v>
      </c>
      <c r="B1364" s="937" t="s">
        <v>1191</v>
      </c>
      <c r="C1364" s="506"/>
      <c r="D1364" s="499"/>
      <c r="E1364" s="489"/>
      <c r="F1364" s="489"/>
      <c r="G1364" s="507"/>
      <c r="H1364" s="490"/>
      <c r="I1364" s="490"/>
      <c r="J1364" s="489"/>
    </row>
    <row r="1365" spans="1:10">
      <c r="A1365" s="537" t="s">
        <v>497</v>
      </c>
      <c r="B1365" s="937" t="s">
        <v>495</v>
      </c>
      <c r="C1365" s="506"/>
      <c r="D1365" s="499"/>
      <c r="E1365" s="489"/>
      <c r="F1365" s="489"/>
      <c r="G1365" s="507"/>
      <c r="H1365" s="490"/>
      <c r="I1365" s="490"/>
      <c r="J1365" s="489"/>
    </row>
    <row r="1366" spans="1:10">
      <c r="A1366" s="537" t="s">
        <v>1201</v>
      </c>
      <c r="B1366" s="538" t="s">
        <v>496</v>
      </c>
      <c r="C1366" s="506"/>
      <c r="D1366" s="499"/>
      <c r="E1366" s="489"/>
      <c r="F1366" s="489"/>
      <c r="G1366" s="507"/>
      <c r="H1366" s="490"/>
      <c r="I1366" s="490"/>
      <c r="J1366" s="489"/>
    </row>
    <row r="1367" spans="1:10">
      <c r="A1367" s="539"/>
      <c r="B1367" s="540" t="s">
        <v>498</v>
      </c>
      <c r="C1367" s="506"/>
      <c r="D1367" s="499"/>
      <c r="E1367" s="489"/>
      <c r="F1367" s="489"/>
      <c r="G1367" s="507"/>
      <c r="H1367" s="490"/>
      <c r="I1367" s="490"/>
      <c r="J1367" s="489"/>
    </row>
    <row r="1368" spans="1:10">
      <c r="A1368" s="539"/>
      <c r="B1368" s="540" t="s">
        <v>499</v>
      </c>
      <c r="C1368" s="939">
        <v>120</v>
      </c>
      <c r="D1368" s="499" t="s">
        <v>14</v>
      </c>
      <c r="E1368" s="940">
        <v>35</v>
      </c>
      <c r="F1368" s="940">
        <f>C1368*E1368</f>
        <v>4200</v>
      </c>
      <c r="G1368" s="940">
        <v>30</v>
      </c>
      <c r="H1368" s="940">
        <f t="shared" ref="H1368:H1378" si="103">C1368*G1368</f>
        <v>3600</v>
      </c>
      <c r="I1368" s="940">
        <f t="shared" ref="I1368:I1384" si="104">F1368+H1368</f>
        <v>7800</v>
      </c>
      <c r="J1368" s="489"/>
    </row>
    <row r="1369" spans="1:10">
      <c r="A1369" s="539"/>
      <c r="B1369" s="540" t="s">
        <v>500</v>
      </c>
      <c r="C1369" s="941">
        <v>100</v>
      </c>
      <c r="D1369" s="499" t="s">
        <v>14</v>
      </c>
      <c r="E1369" s="940">
        <v>46</v>
      </c>
      <c r="F1369" s="940">
        <f>C1369*E1369</f>
        <v>4600</v>
      </c>
      <c r="G1369" s="940">
        <v>30</v>
      </c>
      <c r="H1369" s="940">
        <f t="shared" si="103"/>
        <v>3000</v>
      </c>
      <c r="I1369" s="940">
        <f t="shared" si="104"/>
        <v>7600</v>
      </c>
      <c r="J1369" s="489"/>
    </row>
    <row r="1370" spans="1:10">
      <c r="A1370" s="539"/>
      <c r="B1370" s="540" t="s">
        <v>501</v>
      </c>
      <c r="C1370" s="939">
        <v>100</v>
      </c>
      <c r="D1370" s="499" t="s">
        <v>14</v>
      </c>
      <c r="E1370" s="940">
        <v>76</v>
      </c>
      <c r="F1370" s="940">
        <f t="shared" ref="F1370:F1376" si="105">C1370*E1370</f>
        <v>7600</v>
      </c>
      <c r="G1370" s="940">
        <v>30</v>
      </c>
      <c r="H1370" s="940">
        <f t="shared" si="103"/>
        <v>3000</v>
      </c>
      <c r="I1370" s="940">
        <f t="shared" si="104"/>
        <v>10600</v>
      </c>
      <c r="J1370" s="489"/>
    </row>
    <row r="1371" spans="1:10">
      <c r="A1371" s="539"/>
      <c r="B1371" s="540" t="s">
        <v>502</v>
      </c>
      <c r="C1371" s="939">
        <v>80</v>
      </c>
      <c r="D1371" s="499" t="s">
        <v>14</v>
      </c>
      <c r="E1371" s="940">
        <v>180</v>
      </c>
      <c r="F1371" s="940">
        <f t="shared" si="105"/>
        <v>14400</v>
      </c>
      <c r="G1371" s="940">
        <v>50</v>
      </c>
      <c r="H1371" s="940">
        <f t="shared" si="103"/>
        <v>4000</v>
      </c>
      <c r="I1371" s="940">
        <f t="shared" si="104"/>
        <v>18400</v>
      </c>
      <c r="J1371" s="489"/>
    </row>
    <row r="1372" spans="1:10">
      <c r="A1372" s="539"/>
      <c r="B1372" s="540" t="s">
        <v>503</v>
      </c>
      <c r="C1372" s="939">
        <v>60</v>
      </c>
      <c r="D1372" s="499" t="s">
        <v>14</v>
      </c>
      <c r="E1372" s="940">
        <v>287</v>
      </c>
      <c r="F1372" s="940">
        <f t="shared" si="105"/>
        <v>17220</v>
      </c>
      <c r="G1372" s="940">
        <v>75</v>
      </c>
      <c r="H1372" s="940">
        <f t="shared" si="103"/>
        <v>4500</v>
      </c>
      <c r="I1372" s="940">
        <f t="shared" si="104"/>
        <v>21720</v>
      </c>
      <c r="J1372" s="489"/>
    </row>
    <row r="1373" spans="1:10">
      <c r="A1373" s="539"/>
      <c r="B1373" s="540" t="s">
        <v>504</v>
      </c>
      <c r="C1373" s="939">
        <v>50</v>
      </c>
      <c r="D1373" s="499" t="s">
        <v>14</v>
      </c>
      <c r="E1373" s="940">
        <v>402</v>
      </c>
      <c r="F1373" s="940">
        <f t="shared" si="105"/>
        <v>20100</v>
      </c>
      <c r="G1373" s="940">
        <v>100</v>
      </c>
      <c r="H1373" s="940">
        <f t="shared" si="103"/>
        <v>5000</v>
      </c>
      <c r="I1373" s="940">
        <f t="shared" si="104"/>
        <v>25100</v>
      </c>
      <c r="J1373" s="489"/>
    </row>
    <row r="1374" spans="1:10">
      <c r="A1374" s="539"/>
      <c r="B1374" s="540" t="s">
        <v>505</v>
      </c>
      <c r="C1374" s="939">
        <v>80</v>
      </c>
      <c r="D1374" s="499" t="s">
        <v>14</v>
      </c>
      <c r="E1374" s="940">
        <v>562</v>
      </c>
      <c r="F1374" s="940">
        <f t="shared" si="105"/>
        <v>44960</v>
      </c>
      <c r="G1374" s="940">
        <v>120</v>
      </c>
      <c r="H1374" s="940">
        <f t="shared" si="103"/>
        <v>9600</v>
      </c>
      <c r="I1374" s="940">
        <f t="shared" si="104"/>
        <v>54560</v>
      </c>
      <c r="J1374" s="489"/>
    </row>
    <row r="1375" spans="1:10">
      <c r="A1375" s="539"/>
      <c r="B1375" s="540" t="s">
        <v>506</v>
      </c>
      <c r="C1375" s="939">
        <v>50</v>
      </c>
      <c r="D1375" s="499" t="s">
        <v>14</v>
      </c>
      <c r="E1375" s="940">
        <v>834</v>
      </c>
      <c r="F1375" s="940">
        <f t="shared" si="105"/>
        <v>41700</v>
      </c>
      <c r="G1375" s="940">
        <v>150</v>
      </c>
      <c r="H1375" s="940">
        <f t="shared" si="103"/>
        <v>7500</v>
      </c>
      <c r="I1375" s="940">
        <f t="shared" si="104"/>
        <v>49200</v>
      </c>
      <c r="J1375" s="489"/>
    </row>
    <row r="1376" spans="1:10">
      <c r="A1376" s="539"/>
      <c r="B1376" s="938" t="s">
        <v>507</v>
      </c>
      <c r="C1376" s="941">
        <v>1</v>
      </c>
      <c r="D1376" s="942" t="s">
        <v>508</v>
      </c>
      <c r="E1376" s="940">
        <f>ROUNDDOWN(SUM(F1368:F1375)*35%,0)</f>
        <v>54173</v>
      </c>
      <c r="F1376" s="940">
        <f t="shared" si="105"/>
        <v>54173</v>
      </c>
      <c r="G1376" s="940">
        <f>ROUNDDOWN(E1376*0.2,0)</f>
        <v>10834</v>
      </c>
      <c r="H1376" s="940">
        <f t="shared" si="103"/>
        <v>10834</v>
      </c>
      <c r="I1376" s="940">
        <f t="shared" si="104"/>
        <v>65007</v>
      </c>
      <c r="J1376" s="489"/>
    </row>
    <row r="1377" spans="1:10">
      <c r="A1377" s="539"/>
      <c r="B1377" s="938" t="s">
        <v>509</v>
      </c>
      <c r="C1377" s="941">
        <v>1</v>
      </c>
      <c r="D1377" s="942" t="s">
        <v>508</v>
      </c>
      <c r="E1377" s="940">
        <f>ROUNDDOWN(SUM(F1368:F1375)*20%,0)</f>
        <v>30956</v>
      </c>
      <c r="F1377" s="940">
        <f>C1377*E1377</f>
        <v>30956</v>
      </c>
      <c r="G1377" s="940">
        <f>ROUNDDOWN(E1377*0.2,0)</f>
        <v>6191</v>
      </c>
      <c r="H1377" s="940">
        <f t="shared" si="103"/>
        <v>6191</v>
      </c>
      <c r="I1377" s="940">
        <f t="shared" si="104"/>
        <v>37147</v>
      </c>
      <c r="J1377" s="489"/>
    </row>
    <row r="1378" spans="1:10">
      <c r="A1378" s="539"/>
      <c r="B1378" s="938" t="s">
        <v>510</v>
      </c>
      <c r="C1378" s="941">
        <v>1</v>
      </c>
      <c r="D1378" s="943" t="s">
        <v>508</v>
      </c>
      <c r="E1378" s="940">
        <f>ROUNDDOWN(SUM(F1368:F1375)*10%,0)</f>
        <v>15478</v>
      </c>
      <c r="F1378" s="940">
        <f>C1378*E1378</f>
        <v>15478</v>
      </c>
      <c r="G1378" s="940">
        <f>ROUNDDOWN(E1378*0.3,0)</f>
        <v>4643</v>
      </c>
      <c r="H1378" s="940">
        <f t="shared" si="103"/>
        <v>4643</v>
      </c>
      <c r="I1378" s="940">
        <f t="shared" si="104"/>
        <v>20121</v>
      </c>
      <c r="J1378" s="489"/>
    </row>
    <row r="1379" spans="1:10">
      <c r="A1379" s="539"/>
      <c r="B1379" s="944" t="s">
        <v>512</v>
      </c>
      <c r="C1379" s="945"/>
      <c r="D1379" s="541"/>
      <c r="E1379" s="946"/>
      <c r="F1379" s="946"/>
      <c r="G1379" s="542"/>
      <c r="H1379" s="543"/>
      <c r="I1379" s="940"/>
      <c r="J1379" s="489"/>
    </row>
    <row r="1380" spans="1:10">
      <c r="A1380" s="539"/>
      <c r="B1380" s="540" t="s">
        <v>513</v>
      </c>
      <c r="C1380" s="506">
        <v>2</v>
      </c>
      <c r="D1380" s="544" t="s">
        <v>15</v>
      </c>
      <c r="E1380" s="940">
        <v>2674</v>
      </c>
      <c r="F1380" s="940">
        <f>C1380*E1380</f>
        <v>5348</v>
      </c>
      <c r="G1380" s="940">
        <v>500</v>
      </c>
      <c r="H1380" s="490">
        <f>C1380*G1380</f>
        <v>1000</v>
      </c>
      <c r="I1380" s="940">
        <f t="shared" si="104"/>
        <v>6348</v>
      </c>
      <c r="J1380" s="940"/>
    </row>
    <row r="1381" spans="1:10">
      <c r="A1381" s="539"/>
      <c r="B1381" s="540" t="s">
        <v>514</v>
      </c>
      <c r="C1381" s="506">
        <v>2</v>
      </c>
      <c r="D1381" s="544" t="s">
        <v>15</v>
      </c>
      <c r="E1381" s="940">
        <v>3677</v>
      </c>
      <c r="F1381" s="940">
        <f>C1381*E1381</f>
        <v>7354</v>
      </c>
      <c r="G1381" s="940">
        <v>600</v>
      </c>
      <c r="H1381" s="490">
        <f>C1381*G1381</f>
        <v>1200</v>
      </c>
      <c r="I1381" s="940">
        <f t="shared" si="104"/>
        <v>8554</v>
      </c>
      <c r="J1381" s="940"/>
    </row>
    <row r="1382" spans="1:10">
      <c r="A1382" s="539"/>
      <c r="B1382" s="540" t="s">
        <v>515</v>
      </c>
      <c r="C1382" s="506">
        <v>5</v>
      </c>
      <c r="D1382" s="544" t="s">
        <v>15</v>
      </c>
      <c r="E1382" s="940">
        <v>7070</v>
      </c>
      <c r="F1382" s="940">
        <f>C1382*E1382</f>
        <v>35350</v>
      </c>
      <c r="G1382" s="940">
        <v>800</v>
      </c>
      <c r="H1382" s="490">
        <f>C1382*G1382</f>
        <v>4000</v>
      </c>
      <c r="I1382" s="940">
        <f t="shared" si="104"/>
        <v>39350</v>
      </c>
      <c r="J1382" s="940"/>
    </row>
    <row r="1383" spans="1:10">
      <c r="A1383" s="539"/>
      <c r="B1383" s="938" t="s">
        <v>517</v>
      </c>
      <c r="C1383" s="506"/>
      <c r="D1383" s="942"/>
      <c r="E1383" s="946"/>
      <c r="F1383" s="946"/>
      <c r="G1383" s="946"/>
      <c r="H1383" s="490"/>
      <c r="I1383" s="940"/>
      <c r="J1383" s="489"/>
    </row>
    <row r="1384" spans="1:10">
      <c r="A1384" s="539"/>
      <c r="B1384" s="540" t="s">
        <v>499</v>
      </c>
      <c r="C1384" s="506">
        <v>60</v>
      </c>
      <c r="D1384" s="544" t="s">
        <v>15</v>
      </c>
      <c r="E1384" s="489">
        <v>169</v>
      </c>
      <c r="F1384" s="489">
        <f>E1384*C1384</f>
        <v>10140</v>
      </c>
      <c r="G1384" s="489">
        <v>50</v>
      </c>
      <c r="H1384" s="489">
        <f>G1384*C1384</f>
        <v>3000</v>
      </c>
      <c r="I1384" s="940">
        <f t="shared" si="104"/>
        <v>13140</v>
      </c>
      <c r="J1384" s="489"/>
    </row>
    <row r="1385" spans="1:10">
      <c r="A1385" s="539"/>
      <c r="B1385" s="938" t="s">
        <v>519</v>
      </c>
      <c r="C1385" s="506">
        <v>1</v>
      </c>
      <c r="D1385" s="499" t="s">
        <v>508</v>
      </c>
      <c r="E1385" s="672">
        <v>0</v>
      </c>
      <c r="F1385" s="660">
        <f>E1385*A1385</f>
        <v>0</v>
      </c>
      <c r="G1385" s="489">
        <v>62542</v>
      </c>
      <c r="H1385" s="489">
        <f>C1385*G1385</f>
        <v>62542</v>
      </c>
      <c r="I1385" s="489">
        <f>H1385</f>
        <v>62542</v>
      </c>
      <c r="J1385" s="489"/>
    </row>
    <row r="1386" spans="1:10">
      <c r="A1386" s="545" t="s">
        <v>1202</v>
      </c>
      <c r="B1386" s="546" t="s">
        <v>520</v>
      </c>
      <c r="C1386" s="506"/>
      <c r="D1386" s="499"/>
      <c r="E1386" s="489"/>
      <c r="F1386" s="489"/>
      <c r="G1386" s="507"/>
      <c r="H1386" s="490"/>
      <c r="I1386" s="490"/>
      <c r="J1386" s="489"/>
    </row>
    <row r="1387" spans="1:10">
      <c r="A1387" s="539"/>
      <c r="B1387" s="938" t="s">
        <v>522</v>
      </c>
      <c r="C1387" s="506"/>
      <c r="D1387" s="499"/>
      <c r="E1387" s="489"/>
      <c r="F1387" s="489"/>
      <c r="G1387" s="507"/>
      <c r="H1387" s="490"/>
      <c r="I1387" s="490"/>
      <c r="J1387" s="489"/>
    </row>
    <row r="1388" spans="1:10">
      <c r="A1388" s="948"/>
      <c r="B1388" s="938" t="s">
        <v>523</v>
      </c>
      <c r="C1388" s="506">
        <v>80</v>
      </c>
      <c r="D1388" s="499" t="s">
        <v>14</v>
      </c>
      <c r="E1388" s="489">
        <v>24</v>
      </c>
      <c r="F1388" s="489">
        <f>E1388*C1388</f>
        <v>1920</v>
      </c>
      <c r="G1388" s="489">
        <v>30</v>
      </c>
      <c r="H1388" s="489">
        <f>G1388*C1388</f>
        <v>2400</v>
      </c>
      <c r="I1388" s="489">
        <f>H1388+F1388</f>
        <v>4320</v>
      </c>
      <c r="J1388" s="489"/>
    </row>
    <row r="1389" spans="1:10">
      <c r="A1389" s="948"/>
      <c r="B1389" s="938" t="s">
        <v>524</v>
      </c>
      <c r="C1389" s="506">
        <v>100</v>
      </c>
      <c r="D1389" s="499" t="s">
        <v>14</v>
      </c>
      <c r="E1389" s="489">
        <v>50</v>
      </c>
      <c r="F1389" s="489">
        <f t="shared" ref="F1389:F1394" si="106">E1389*C1389</f>
        <v>5000</v>
      </c>
      <c r="G1389" s="489">
        <v>40</v>
      </c>
      <c r="H1389" s="489">
        <f t="shared" ref="H1389:H1394" si="107">G1389*C1389</f>
        <v>4000</v>
      </c>
      <c r="I1389" s="489">
        <f t="shared" ref="I1389:I1394" si="108">H1389+F1389</f>
        <v>9000</v>
      </c>
      <c r="J1389" s="489"/>
    </row>
    <row r="1390" spans="1:10">
      <c r="A1390" s="948"/>
      <c r="B1390" s="938" t="s">
        <v>525</v>
      </c>
      <c r="C1390" s="506">
        <v>85</v>
      </c>
      <c r="D1390" s="499" t="s">
        <v>14</v>
      </c>
      <c r="E1390" s="489">
        <v>109</v>
      </c>
      <c r="F1390" s="489">
        <f t="shared" si="106"/>
        <v>9265</v>
      </c>
      <c r="G1390" s="489">
        <v>75</v>
      </c>
      <c r="H1390" s="489">
        <f t="shared" si="107"/>
        <v>6375</v>
      </c>
      <c r="I1390" s="489">
        <f t="shared" si="108"/>
        <v>15640</v>
      </c>
      <c r="J1390" s="489"/>
    </row>
    <row r="1391" spans="1:10">
      <c r="A1391" s="539"/>
      <c r="B1391" s="938" t="s">
        <v>526</v>
      </c>
      <c r="C1391" s="506">
        <v>90</v>
      </c>
      <c r="D1391" s="499" t="s">
        <v>14</v>
      </c>
      <c r="E1391" s="489">
        <v>177</v>
      </c>
      <c r="F1391" s="489">
        <f t="shared" si="106"/>
        <v>15930</v>
      </c>
      <c r="G1391" s="489">
        <v>100</v>
      </c>
      <c r="H1391" s="489">
        <f t="shared" si="107"/>
        <v>9000</v>
      </c>
      <c r="I1391" s="489">
        <f t="shared" si="108"/>
        <v>24930</v>
      </c>
      <c r="J1391" s="489"/>
    </row>
    <row r="1392" spans="1:10">
      <c r="A1392" s="539"/>
      <c r="B1392" s="938" t="s">
        <v>527</v>
      </c>
      <c r="C1392" s="506">
        <v>80</v>
      </c>
      <c r="D1392" s="499" t="s">
        <v>14</v>
      </c>
      <c r="E1392" s="489">
        <v>291</v>
      </c>
      <c r="F1392" s="489">
        <f t="shared" si="106"/>
        <v>23280</v>
      </c>
      <c r="G1392" s="489">
        <v>200</v>
      </c>
      <c r="H1392" s="489">
        <f t="shared" si="107"/>
        <v>16000</v>
      </c>
      <c r="I1392" s="489">
        <f t="shared" si="108"/>
        <v>39280</v>
      </c>
      <c r="J1392" s="489"/>
    </row>
    <row r="1393" spans="1:10">
      <c r="A1393" s="539"/>
      <c r="B1393" s="938" t="s">
        <v>507</v>
      </c>
      <c r="C1393" s="506">
        <v>1</v>
      </c>
      <c r="D1393" s="499" t="s">
        <v>508</v>
      </c>
      <c r="E1393" s="489">
        <f>FLOOR(SUM(F1388:F1392)*0.4,1)</f>
        <v>22158</v>
      </c>
      <c r="F1393" s="489">
        <f t="shared" si="106"/>
        <v>22158</v>
      </c>
      <c r="G1393" s="489">
        <f>E1393*0.3</f>
        <v>6647.4</v>
      </c>
      <c r="H1393" s="489">
        <f t="shared" si="107"/>
        <v>6647.4</v>
      </c>
      <c r="I1393" s="489">
        <f t="shared" si="108"/>
        <v>28805.4</v>
      </c>
      <c r="J1393" s="489"/>
    </row>
    <row r="1394" spans="1:10">
      <c r="A1394" s="539"/>
      <c r="B1394" s="938" t="s">
        <v>509</v>
      </c>
      <c r="C1394" s="506">
        <v>1</v>
      </c>
      <c r="D1394" s="499" t="s">
        <v>508</v>
      </c>
      <c r="E1394" s="489">
        <f>FLOOR(SUM(F1388:F1392)*0.3,1)</f>
        <v>16618</v>
      </c>
      <c r="F1394" s="489">
        <f t="shared" si="106"/>
        <v>16618</v>
      </c>
      <c r="G1394" s="489">
        <f>E1394*0.3</f>
        <v>4985.3999999999996</v>
      </c>
      <c r="H1394" s="489">
        <f t="shared" si="107"/>
        <v>4985.3999999999996</v>
      </c>
      <c r="I1394" s="489">
        <f t="shared" si="108"/>
        <v>21603.4</v>
      </c>
      <c r="J1394" s="489"/>
    </row>
    <row r="1395" spans="1:10">
      <c r="A1395" s="539"/>
      <c r="B1395" s="938" t="s">
        <v>510</v>
      </c>
      <c r="C1395" s="506">
        <v>1</v>
      </c>
      <c r="D1395" s="943" t="s">
        <v>508</v>
      </c>
      <c r="E1395" s="940">
        <f>ROUNDDOWN(SUM(F1388:F1392)*10%,0)</f>
        <v>5539</v>
      </c>
      <c r="F1395" s="940">
        <f>C1395*E1395</f>
        <v>5539</v>
      </c>
      <c r="G1395" s="940">
        <f>ROUNDDOWN(E1395*0.3,0)</f>
        <v>1661</v>
      </c>
      <c r="H1395" s="940">
        <f>C1395*G1395</f>
        <v>1661</v>
      </c>
      <c r="I1395" s="940">
        <f>F1395+H1395</f>
        <v>7200</v>
      </c>
      <c r="J1395" s="489"/>
    </row>
    <row r="1396" spans="1:10">
      <c r="A1396" s="539"/>
      <c r="B1396" s="938" t="s">
        <v>529</v>
      </c>
      <c r="C1396" s="506"/>
      <c r="D1396" s="499"/>
      <c r="E1396" s="489"/>
      <c r="F1396" s="489"/>
      <c r="G1396" s="507"/>
      <c r="H1396" s="490"/>
      <c r="I1396" s="490"/>
      <c r="J1396" s="489"/>
    </row>
    <row r="1397" spans="1:10">
      <c r="A1397" s="539"/>
      <c r="B1397" s="938" t="s">
        <v>523</v>
      </c>
      <c r="C1397" s="506">
        <v>60</v>
      </c>
      <c r="D1397" s="499" t="s">
        <v>14</v>
      </c>
      <c r="E1397" s="489">
        <v>24</v>
      </c>
      <c r="F1397" s="489">
        <f>E1397*C1397</f>
        <v>1440</v>
      </c>
      <c r="G1397" s="489">
        <v>30</v>
      </c>
      <c r="H1397" s="489">
        <f>G1397*C1397</f>
        <v>1800</v>
      </c>
      <c r="I1397" s="489">
        <f>H1397+F1397</f>
        <v>3240</v>
      </c>
      <c r="J1397" s="489"/>
    </row>
    <row r="1398" spans="1:10">
      <c r="A1398" s="539"/>
      <c r="B1398" s="938" t="s">
        <v>524</v>
      </c>
      <c r="C1398" s="506">
        <v>50</v>
      </c>
      <c r="D1398" s="499" t="s">
        <v>14</v>
      </c>
      <c r="E1398" s="489">
        <v>84</v>
      </c>
      <c r="F1398" s="489">
        <f>E1398*C1398</f>
        <v>4200</v>
      </c>
      <c r="G1398" s="489">
        <v>75</v>
      </c>
      <c r="H1398" s="489">
        <f>G1398*C1398</f>
        <v>3750</v>
      </c>
      <c r="I1398" s="489">
        <f>H1398+F1398</f>
        <v>7950</v>
      </c>
      <c r="J1398" s="489"/>
    </row>
    <row r="1399" spans="1:10">
      <c r="A1399" s="539" t="s">
        <v>1</v>
      </c>
      <c r="B1399" s="938" t="s">
        <v>525</v>
      </c>
      <c r="C1399" s="506">
        <v>40</v>
      </c>
      <c r="D1399" s="499" t="s">
        <v>14</v>
      </c>
      <c r="E1399" s="489">
        <f>FLOOR(SUM(F1397:F1398)*0.4,1)</f>
        <v>2256</v>
      </c>
      <c r="F1399" s="489">
        <f>E1399*C1399</f>
        <v>90240</v>
      </c>
      <c r="G1399" s="489">
        <f>E1399*0.3</f>
        <v>676.8</v>
      </c>
      <c r="H1399" s="489">
        <f>G1399*C1399</f>
        <v>27072</v>
      </c>
      <c r="I1399" s="489">
        <f>H1399+F1399</f>
        <v>117312</v>
      </c>
      <c r="J1399" s="489"/>
    </row>
    <row r="1400" spans="1:10">
      <c r="A1400" s="539"/>
      <c r="B1400" s="938" t="s">
        <v>507</v>
      </c>
      <c r="C1400" s="506">
        <v>1</v>
      </c>
      <c r="D1400" s="499" t="s">
        <v>508</v>
      </c>
      <c r="E1400" s="489">
        <f>FLOOR(SUM(F1397:F1399)*0.4,1)</f>
        <v>38352</v>
      </c>
      <c r="F1400" s="489">
        <f>E1400*C1400</f>
        <v>38352</v>
      </c>
      <c r="G1400" s="489">
        <f>E1400*0.3</f>
        <v>11505.6</v>
      </c>
      <c r="H1400" s="489">
        <f>G1400*C1400</f>
        <v>11505.6</v>
      </c>
      <c r="I1400" s="489">
        <f>H1400+F1400</f>
        <v>49857.599999999999</v>
      </c>
      <c r="J1400" s="489"/>
    </row>
    <row r="1401" spans="1:10">
      <c r="A1401" s="539"/>
      <c r="B1401" s="938" t="s">
        <v>509</v>
      </c>
      <c r="C1401" s="506">
        <v>1</v>
      </c>
      <c r="D1401" s="499" t="s">
        <v>508</v>
      </c>
      <c r="E1401" s="489">
        <f>FLOOR(SUM(F1397:F1399)*0.3,1)</f>
        <v>28764</v>
      </c>
      <c r="F1401" s="489">
        <f>E1401*C1401</f>
        <v>28764</v>
      </c>
      <c r="G1401" s="489">
        <f>E1401*0.3</f>
        <v>8629.1999999999989</v>
      </c>
      <c r="H1401" s="489">
        <f>G1401*C1401</f>
        <v>8629.1999999999989</v>
      </c>
      <c r="I1401" s="489">
        <f>H1401+F1401</f>
        <v>37393.199999999997</v>
      </c>
      <c r="J1401" s="489"/>
    </row>
    <row r="1402" spans="1:10">
      <c r="A1402" s="539"/>
      <c r="B1402" s="938" t="s">
        <v>510</v>
      </c>
      <c r="C1402" s="506">
        <v>1</v>
      </c>
      <c r="D1402" s="943" t="s">
        <v>508</v>
      </c>
      <c r="E1402" s="940">
        <f>ROUNDDOWN(SUM(F1397:F1399)*10%,0)</f>
        <v>9588</v>
      </c>
      <c r="F1402" s="940">
        <f>C1402*E1402</f>
        <v>9588</v>
      </c>
      <c r="G1402" s="940">
        <f>ROUNDDOWN(E1402*0.3,0)</f>
        <v>2876</v>
      </c>
      <c r="H1402" s="940">
        <f>C1402*G1402</f>
        <v>2876</v>
      </c>
      <c r="I1402" s="940">
        <f>F1402+H1402</f>
        <v>12464</v>
      </c>
      <c r="J1402" s="489"/>
    </row>
    <row r="1403" spans="1:10">
      <c r="A1403" s="539"/>
      <c r="B1403" s="938" t="s">
        <v>530</v>
      </c>
      <c r="C1403" s="506"/>
      <c r="D1403" s="499"/>
      <c r="E1403" s="489"/>
      <c r="F1403" s="489"/>
      <c r="G1403" s="489"/>
      <c r="H1403" s="489"/>
      <c r="I1403" s="489"/>
      <c r="J1403" s="489"/>
    </row>
    <row r="1404" spans="1:10">
      <c r="A1404" s="539"/>
      <c r="B1404" s="938" t="s">
        <v>524</v>
      </c>
      <c r="C1404" s="506">
        <v>10</v>
      </c>
      <c r="D1404" s="499" t="s">
        <v>15</v>
      </c>
      <c r="E1404" s="489">
        <v>710</v>
      </c>
      <c r="F1404" s="489">
        <f>C1404*E1404</f>
        <v>7100</v>
      </c>
      <c r="G1404" s="489">
        <v>200</v>
      </c>
      <c r="H1404" s="489">
        <f>C1404*G1404</f>
        <v>2000</v>
      </c>
      <c r="I1404" s="489">
        <f>F1404+H1404</f>
        <v>9100</v>
      </c>
      <c r="J1404" s="489"/>
    </row>
    <row r="1405" spans="1:10">
      <c r="A1405" s="539"/>
      <c r="B1405" s="938" t="s">
        <v>531</v>
      </c>
      <c r="C1405" s="506"/>
      <c r="D1405" s="499"/>
      <c r="E1405" s="489"/>
      <c r="F1405" s="489"/>
      <c r="G1405" s="489"/>
      <c r="H1405" s="489"/>
      <c r="I1405" s="489"/>
      <c r="J1405" s="489"/>
    </row>
    <row r="1406" spans="1:10">
      <c r="A1406" s="539"/>
      <c r="B1406" s="938" t="s">
        <v>524</v>
      </c>
      <c r="C1406" s="506">
        <v>2</v>
      </c>
      <c r="D1406" s="499" t="s">
        <v>15</v>
      </c>
      <c r="E1406" s="489">
        <v>600</v>
      </c>
      <c r="F1406" s="489">
        <f>C1406*E1406</f>
        <v>1200</v>
      </c>
      <c r="G1406" s="489">
        <v>200</v>
      </c>
      <c r="H1406" s="489">
        <f>C1406*G1406</f>
        <v>400</v>
      </c>
      <c r="I1406" s="489">
        <f>F1406+H1406</f>
        <v>1600</v>
      </c>
      <c r="J1406" s="489"/>
    </row>
    <row r="1407" spans="1:10">
      <c r="A1407" s="539"/>
      <c r="B1407" s="938" t="s">
        <v>525</v>
      </c>
      <c r="C1407" s="506">
        <v>5</v>
      </c>
      <c r="D1407" s="499" t="s">
        <v>15</v>
      </c>
      <c r="E1407" s="489">
        <v>680</v>
      </c>
      <c r="F1407" s="489">
        <f>C1407*E1407</f>
        <v>3400</v>
      </c>
      <c r="G1407" s="489">
        <v>300</v>
      </c>
      <c r="H1407" s="489">
        <f>C1407*G1407</f>
        <v>1500</v>
      </c>
      <c r="I1407" s="489">
        <f>F1407+H1407</f>
        <v>4900</v>
      </c>
      <c r="J1407" s="489"/>
    </row>
    <row r="1408" spans="1:10">
      <c r="A1408" s="539"/>
      <c r="B1408" s="938" t="s">
        <v>526</v>
      </c>
      <c r="C1408" s="506">
        <v>4</v>
      </c>
      <c r="D1408" s="499" t="s">
        <v>15</v>
      </c>
      <c r="E1408" s="489">
        <v>750</v>
      </c>
      <c r="F1408" s="489">
        <f>C1408*E1408</f>
        <v>3000</v>
      </c>
      <c r="G1408" s="489">
        <v>400</v>
      </c>
      <c r="H1408" s="489">
        <f>C1408*G1408</f>
        <v>1600</v>
      </c>
      <c r="I1408" s="489">
        <f>F1408+H1408</f>
        <v>4600</v>
      </c>
      <c r="J1408" s="489"/>
    </row>
    <row r="1409" spans="1:10">
      <c r="A1409" s="539"/>
      <c r="B1409" s="938" t="s">
        <v>532</v>
      </c>
      <c r="C1409" s="506"/>
      <c r="D1409" s="499"/>
      <c r="E1409" s="489"/>
      <c r="F1409" s="489"/>
      <c r="G1409" s="489"/>
      <c r="H1409" s="489"/>
      <c r="I1409" s="489"/>
      <c r="J1409" s="489"/>
    </row>
    <row r="1410" spans="1:10">
      <c r="A1410" s="539"/>
      <c r="B1410" s="938" t="s">
        <v>533</v>
      </c>
      <c r="C1410" s="506">
        <v>2</v>
      </c>
      <c r="D1410" s="499" t="s">
        <v>15</v>
      </c>
      <c r="E1410" s="489">
        <v>310</v>
      </c>
      <c r="F1410" s="489">
        <f>E1410*C1410</f>
        <v>620</v>
      </c>
      <c r="G1410" s="489">
        <v>300</v>
      </c>
      <c r="H1410" s="489">
        <f>G1410*C1410</f>
        <v>600</v>
      </c>
      <c r="I1410" s="489">
        <f>H1410+F1410</f>
        <v>1220</v>
      </c>
      <c r="J1410" s="489"/>
    </row>
    <row r="1411" spans="1:10">
      <c r="A1411" s="539"/>
      <c r="B1411" s="938" t="s">
        <v>534</v>
      </c>
      <c r="C1411" s="506">
        <v>2</v>
      </c>
      <c r="D1411" s="499" t="s">
        <v>15</v>
      </c>
      <c r="E1411" s="489">
        <v>580</v>
      </c>
      <c r="F1411" s="489">
        <f>E1411*C1411</f>
        <v>1160</v>
      </c>
      <c r="G1411" s="489">
        <v>300</v>
      </c>
      <c r="H1411" s="489">
        <f>G1411*C1411</f>
        <v>600</v>
      </c>
      <c r="I1411" s="489">
        <f>H1411+F1411</f>
        <v>1760</v>
      </c>
      <c r="J1411" s="489"/>
    </row>
    <row r="1412" spans="1:10">
      <c r="A1412" s="539"/>
      <c r="B1412" s="938" t="s">
        <v>535</v>
      </c>
      <c r="C1412" s="506">
        <v>1</v>
      </c>
      <c r="D1412" s="499" t="s">
        <v>508</v>
      </c>
      <c r="E1412" s="489">
        <f>FLOOR((SUM(F1389:F1392)+SUM(F1410:F1411))*0.1,1)</f>
        <v>5525</v>
      </c>
      <c r="F1412" s="489">
        <f>E1412*C1412</f>
        <v>5525</v>
      </c>
      <c r="G1412" s="489">
        <f>E1412*0.3</f>
        <v>1657.5</v>
      </c>
      <c r="H1412" s="489">
        <f>G1412*C1412</f>
        <v>1657.5</v>
      </c>
      <c r="I1412" s="489">
        <f>F1412+H1412</f>
        <v>7182.5</v>
      </c>
      <c r="J1412" s="489"/>
    </row>
    <row r="1413" spans="1:10">
      <c r="A1413" s="496" t="s">
        <v>1203</v>
      </c>
      <c r="B1413" s="497" t="s">
        <v>536</v>
      </c>
      <c r="C1413" s="506"/>
      <c r="D1413" s="499"/>
      <c r="E1413" s="489"/>
      <c r="F1413" s="489"/>
      <c r="G1413" s="489"/>
      <c r="H1413" s="489"/>
      <c r="I1413" s="489"/>
      <c r="J1413" s="489"/>
    </row>
    <row r="1414" spans="1:10">
      <c r="A1414" s="539"/>
      <c r="B1414" s="938" t="s">
        <v>538</v>
      </c>
      <c r="C1414" s="904"/>
      <c r="D1414" s="499"/>
      <c r="E1414" s="499"/>
      <c r="F1414" s="499"/>
      <c r="G1414" s="499"/>
      <c r="H1414" s="499"/>
      <c r="I1414" s="499"/>
      <c r="J1414" s="489"/>
    </row>
    <row r="1415" spans="1:10">
      <c r="A1415" s="539" t="s">
        <v>1</v>
      </c>
      <c r="B1415" s="938" t="s">
        <v>527</v>
      </c>
      <c r="C1415" s="506">
        <v>150</v>
      </c>
      <c r="D1415" s="499" t="s">
        <v>14</v>
      </c>
      <c r="E1415" s="489">
        <v>291</v>
      </c>
      <c r="F1415" s="489">
        <f>E1415*C1415</f>
        <v>43650</v>
      </c>
      <c r="G1415" s="489">
        <v>100</v>
      </c>
      <c r="H1415" s="489">
        <f>G1415*C1415</f>
        <v>15000</v>
      </c>
      <c r="I1415" s="489">
        <f>H1415+F1415</f>
        <v>58650</v>
      </c>
      <c r="J1415" s="489"/>
    </row>
    <row r="1416" spans="1:10">
      <c r="A1416" s="539"/>
      <c r="B1416" s="938" t="s">
        <v>507</v>
      </c>
      <c r="C1416" s="506">
        <v>1</v>
      </c>
      <c r="D1416" s="499" t="s">
        <v>508</v>
      </c>
      <c r="E1416" s="489">
        <f>FLOOR(SUM(F1415)*0.4,10)</f>
        <v>17460</v>
      </c>
      <c r="F1416" s="489">
        <f>E1416*C1416</f>
        <v>17460</v>
      </c>
      <c r="G1416" s="489">
        <f>E1416*0.3</f>
        <v>5238</v>
      </c>
      <c r="H1416" s="489">
        <f>G1416*C1416</f>
        <v>5238</v>
      </c>
      <c r="I1416" s="489">
        <f>H1416+F1416</f>
        <v>22698</v>
      </c>
      <c r="J1416" s="489"/>
    </row>
    <row r="1417" spans="1:10">
      <c r="A1417" s="539"/>
      <c r="B1417" s="938" t="s">
        <v>509</v>
      </c>
      <c r="C1417" s="506">
        <v>1</v>
      </c>
      <c r="D1417" s="499" t="s">
        <v>508</v>
      </c>
      <c r="E1417" s="489">
        <f>FLOOR(SUM(F1415)*0.3,10)</f>
        <v>13090</v>
      </c>
      <c r="F1417" s="489">
        <f>E1417*C1417</f>
        <v>13090</v>
      </c>
      <c r="G1417" s="489">
        <f>E1417*0.3</f>
        <v>3927</v>
      </c>
      <c r="H1417" s="489">
        <f>G1417*C1417</f>
        <v>3927</v>
      </c>
      <c r="I1417" s="489">
        <f>H1417+F1417</f>
        <v>17017</v>
      </c>
      <c r="J1417" s="489"/>
    </row>
    <row r="1418" spans="1:10">
      <c r="A1418" s="539"/>
      <c r="B1418" s="938" t="s">
        <v>539</v>
      </c>
      <c r="C1418" s="506">
        <v>1</v>
      </c>
      <c r="D1418" s="499" t="s">
        <v>508</v>
      </c>
      <c r="E1418" s="489">
        <f>FLOOR(SUM(F1415)*0.1,10)</f>
        <v>4360</v>
      </c>
      <c r="F1418" s="489">
        <f>E1418*C1418</f>
        <v>4360</v>
      </c>
      <c r="G1418" s="489">
        <f>E1418*0.3</f>
        <v>1308</v>
      </c>
      <c r="H1418" s="489">
        <f>G1418*C1418</f>
        <v>1308</v>
      </c>
      <c r="I1418" s="489">
        <f>H1418+F1418</f>
        <v>5668</v>
      </c>
      <c r="J1418" s="489"/>
    </row>
    <row r="1419" spans="1:10">
      <c r="A1419" s="539"/>
      <c r="B1419" s="938" t="s">
        <v>532</v>
      </c>
      <c r="C1419" s="506"/>
      <c r="D1419" s="499"/>
      <c r="E1419" s="489"/>
      <c r="F1419" s="489"/>
      <c r="G1419" s="489"/>
      <c r="H1419" s="489"/>
      <c r="I1419" s="489"/>
      <c r="J1419" s="489"/>
    </row>
    <row r="1420" spans="1:10">
      <c r="A1420" s="539"/>
      <c r="B1420" s="938" t="s">
        <v>534</v>
      </c>
      <c r="C1420" s="506">
        <v>26</v>
      </c>
      <c r="D1420" s="499" t="s">
        <v>15</v>
      </c>
      <c r="E1420" s="489">
        <v>580</v>
      </c>
      <c r="F1420" s="489">
        <f>E1420*C1420</f>
        <v>15080</v>
      </c>
      <c r="G1420" s="489">
        <v>300</v>
      </c>
      <c r="H1420" s="489">
        <f>G1420*C1420</f>
        <v>7800</v>
      </c>
      <c r="I1420" s="489">
        <f>H1420+F1420</f>
        <v>22880</v>
      </c>
      <c r="J1420" s="489"/>
    </row>
    <row r="1421" spans="1:10">
      <c r="A1421" s="496" t="s">
        <v>1204</v>
      </c>
      <c r="B1421" s="547" t="s">
        <v>543</v>
      </c>
      <c r="C1421" s="506"/>
      <c r="D1421" s="499"/>
      <c r="E1421" s="489"/>
      <c r="F1421" s="489"/>
      <c r="G1421" s="507"/>
      <c r="H1421" s="490"/>
      <c r="I1421" s="490"/>
      <c r="J1421" s="489"/>
    </row>
    <row r="1422" spans="1:10">
      <c r="A1422" s="548"/>
      <c r="B1422" s="938" t="s">
        <v>545</v>
      </c>
      <c r="C1422" s="506">
        <v>3</v>
      </c>
      <c r="D1422" s="499" t="s">
        <v>546</v>
      </c>
      <c r="E1422" s="489">
        <v>14000</v>
      </c>
      <c r="F1422" s="489">
        <f>C1422*E1422</f>
        <v>42000</v>
      </c>
      <c r="G1422" s="507">
        <v>1000</v>
      </c>
      <c r="H1422" s="490">
        <f>C1422*G1422</f>
        <v>3000</v>
      </c>
      <c r="I1422" s="490">
        <f>F1422+H1422</f>
        <v>45000</v>
      </c>
      <c r="J1422" s="489"/>
    </row>
    <row r="1423" spans="1:10">
      <c r="A1423" s="548"/>
      <c r="B1423" s="938" t="s">
        <v>548</v>
      </c>
      <c r="C1423" s="506">
        <v>1</v>
      </c>
      <c r="D1423" s="499" t="s">
        <v>546</v>
      </c>
      <c r="E1423" s="489">
        <v>5800</v>
      </c>
      <c r="F1423" s="489">
        <f>C1423*E1423</f>
        <v>5800</v>
      </c>
      <c r="G1423" s="507">
        <v>100</v>
      </c>
      <c r="H1423" s="490">
        <f>C1423*G1423</f>
        <v>100</v>
      </c>
      <c r="I1423" s="490">
        <f>F1423+H1423</f>
        <v>5900</v>
      </c>
      <c r="J1423" s="489"/>
    </row>
    <row r="1424" spans="1:10">
      <c r="A1424" s="548"/>
      <c r="B1424" s="938" t="s">
        <v>550</v>
      </c>
      <c r="C1424" s="506">
        <v>3</v>
      </c>
      <c r="D1424" s="499" t="s">
        <v>546</v>
      </c>
      <c r="E1424" s="489">
        <v>900</v>
      </c>
      <c r="F1424" s="489">
        <f>C1424*E1424</f>
        <v>2700</v>
      </c>
      <c r="G1424" s="507">
        <v>100</v>
      </c>
      <c r="H1424" s="490">
        <f>C1424*G1424</f>
        <v>300</v>
      </c>
      <c r="I1424" s="490">
        <f>F1424+H1424</f>
        <v>3000</v>
      </c>
      <c r="J1424" s="489"/>
    </row>
    <row r="1425" spans="1:10">
      <c r="A1425" s="548"/>
      <c r="B1425" s="938" t="s">
        <v>552</v>
      </c>
      <c r="C1425" s="506">
        <v>4</v>
      </c>
      <c r="D1425" s="499" t="s">
        <v>546</v>
      </c>
      <c r="E1425" s="489">
        <v>855</v>
      </c>
      <c r="F1425" s="489">
        <f>C1425*E1425</f>
        <v>3420</v>
      </c>
      <c r="G1425" s="507">
        <v>80</v>
      </c>
      <c r="H1425" s="490">
        <f>C1425*G1425</f>
        <v>320</v>
      </c>
      <c r="I1425" s="490">
        <f>F1425+H1425</f>
        <v>3740</v>
      </c>
      <c r="J1425" s="489"/>
    </row>
    <row r="1426" spans="1:10">
      <c r="A1426" s="548"/>
      <c r="B1426" s="938" t="s">
        <v>553</v>
      </c>
      <c r="C1426" s="506"/>
      <c r="D1426" s="499"/>
      <c r="E1426" s="489"/>
      <c r="F1426" s="489"/>
      <c r="G1426" s="507"/>
      <c r="H1426" s="490"/>
      <c r="I1426" s="490"/>
      <c r="J1426" s="489"/>
    </row>
    <row r="1427" spans="1:10">
      <c r="A1427" s="548"/>
      <c r="B1427" s="549" t="s">
        <v>554</v>
      </c>
      <c r="C1427" s="506">
        <v>515</v>
      </c>
      <c r="D1427" s="499" t="s">
        <v>555</v>
      </c>
      <c r="E1427" s="489">
        <v>79</v>
      </c>
      <c r="F1427" s="489">
        <f t="shared" ref="F1427:F1434" si="109">C1427*E1427</f>
        <v>40685</v>
      </c>
      <c r="G1427" s="507">
        <v>60</v>
      </c>
      <c r="H1427" s="490">
        <f t="shared" ref="H1427:H1434" si="110">C1427*G1427</f>
        <v>30900</v>
      </c>
      <c r="I1427" s="490">
        <f t="shared" ref="I1427:I1434" si="111">F1427+H1427</f>
        <v>71585</v>
      </c>
      <c r="J1427" s="489"/>
    </row>
    <row r="1428" spans="1:10">
      <c r="A1428" s="548"/>
      <c r="B1428" s="549" t="s">
        <v>556</v>
      </c>
      <c r="C1428" s="506">
        <v>100</v>
      </c>
      <c r="D1428" s="499" t="s">
        <v>555</v>
      </c>
      <c r="E1428" s="489">
        <v>125</v>
      </c>
      <c r="F1428" s="489">
        <f t="shared" si="109"/>
        <v>12500</v>
      </c>
      <c r="G1428" s="507">
        <v>90</v>
      </c>
      <c r="H1428" s="490">
        <f t="shared" si="110"/>
        <v>9000</v>
      </c>
      <c r="I1428" s="490">
        <f t="shared" si="111"/>
        <v>21500</v>
      </c>
      <c r="J1428" s="489"/>
    </row>
    <row r="1429" spans="1:10">
      <c r="A1429" s="548"/>
      <c r="B1429" s="549" t="s">
        <v>557</v>
      </c>
      <c r="C1429" s="506">
        <v>250</v>
      </c>
      <c r="D1429" s="499" t="s">
        <v>555</v>
      </c>
      <c r="E1429" s="489">
        <v>170</v>
      </c>
      <c r="F1429" s="489">
        <f>C1429*E1429</f>
        <v>42500</v>
      </c>
      <c r="G1429" s="507">
        <v>120</v>
      </c>
      <c r="H1429" s="490">
        <f t="shared" si="110"/>
        <v>30000</v>
      </c>
      <c r="I1429" s="490">
        <f t="shared" si="111"/>
        <v>72500</v>
      </c>
      <c r="J1429" s="489"/>
    </row>
    <row r="1430" spans="1:10">
      <c r="A1430" s="548"/>
      <c r="B1430" s="549" t="s">
        <v>558</v>
      </c>
      <c r="C1430" s="506">
        <v>85</v>
      </c>
      <c r="D1430" s="499" t="s">
        <v>555</v>
      </c>
      <c r="E1430" s="489">
        <v>270</v>
      </c>
      <c r="F1430" s="489">
        <f t="shared" si="109"/>
        <v>22950</v>
      </c>
      <c r="G1430" s="507">
        <v>200</v>
      </c>
      <c r="H1430" s="490">
        <f t="shared" si="110"/>
        <v>17000</v>
      </c>
      <c r="I1430" s="490">
        <f t="shared" si="111"/>
        <v>39950</v>
      </c>
      <c r="J1430" s="489"/>
    </row>
    <row r="1431" spans="1:10">
      <c r="A1431" s="548"/>
      <c r="B1431" s="549" t="s">
        <v>559</v>
      </c>
      <c r="C1431" s="506">
        <v>55</v>
      </c>
      <c r="D1431" s="499" t="s">
        <v>555</v>
      </c>
      <c r="E1431" s="489">
        <v>349</v>
      </c>
      <c r="F1431" s="489">
        <f t="shared" si="109"/>
        <v>19195</v>
      </c>
      <c r="G1431" s="507">
        <v>260</v>
      </c>
      <c r="H1431" s="490">
        <f t="shared" si="110"/>
        <v>14300</v>
      </c>
      <c r="I1431" s="490">
        <f t="shared" si="111"/>
        <v>33495</v>
      </c>
      <c r="J1431" s="489"/>
    </row>
    <row r="1432" spans="1:10">
      <c r="A1432" s="548"/>
      <c r="B1432" s="549" t="s">
        <v>560</v>
      </c>
      <c r="C1432" s="506">
        <v>297</v>
      </c>
      <c r="D1432" s="499" t="s">
        <v>555</v>
      </c>
      <c r="E1432" s="489">
        <v>523</v>
      </c>
      <c r="F1432" s="489">
        <f t="shared" si="109"/>
        <v>155331</v>
      </c>
      <c r="G1432" s="507">
        <v>375</v>
      </c>
      <c r="H1432" s="490">
        <f t="shared" si="110"/>
        <v>111375</v>
      </c>
      <c r="I1432" s="490">
        <f t="shared" si="111"/>
        <v>266706</v>
      </c>
      <c r="J1432" s="489"/>
    </row>
    <row r="1433" spans="1:10">
      <c r="A1433" s="548"/>
      <c r="B1433" s="549" t="s">
        <v>561</v>
      </c>
      <c r="C1433" s="506">
        <v>125</v>
      </c>
      <c r="D1433" s="499" t="s">
        <v>555</v>
      </c>
      <c r="E1433" s="489">
        <v>909</v>
      </c>
      <c r="F1433" s="489">
        <f t="shared" si="109"/>
        <v>113625</v>
      </c>
      <c r="G1433" s="507">
        <v>650</v>
      </c>
      <c r="H1433" s="490">
        <f t="shared" si="110"/>
        <v>81250</v>
      </c>
      <c r="I1433" s="490">
        <f t="shared" si="111"/>
        <v>194875</v>
      </c>
      <c r="J1433" s="489"/>
    </row>
    <row r="1434" spans="1:10">
      <c r="A1434" s="548"/>
      <c r="B1434" s="549" t="s">
        <v>562</v>
      </c>
      <c r="C1434" s="506">
        <v>255</v>
      </c>
      <c r="D1434" s="499" t="s">
        <v>555</v>
      </c>
      <c r="E1434" s="489">
        <v>1404</v>
      </c>
      <c r="F1434" s="489">
        <f t="shared" si="109"/>
        <v>358020</v>
      </c>
      <c r="G1434" s="507">
        <v>800</v>
      </c>
      <c r="H1434" s="490">
        <f t="shared" si="110"/>
        <v>204000</v>
      </c>
      <c r="I1434" s="490">
        <f t="shared" si="111"/>
        <v>562020</v>
      </c>
      <c r="J1434" s="489"/>
    </row>
    <row r="1435" spans="1:10">
      <c r="A1435" s="548"/>
      <c r="B1435" s="938" t="s">
        <v>507</v>
      </c>
      <c r="C1435" s="506">
        <v>1</v>
      </c>
      <c r="D1435" s="499" t="s">
        <v>508</v>
      </c>
      <c r="E1435" s="489">
        <f>FLOOR(SUM(F1427:F1434)*0.5,1)</f>
        <v>382403</v>
      </c>
      <c r="F1435" s="489">
        <f>E1435*C1435</f>
        <v>382403</v>
      </c>
      <c r="G1435" s="489">
        <f>E1435*0.3</f>
        <v>114720.9</v>
      </c>
      <c r="H1435" s="489">
        <f>G1435*C1435</f>
        <v>114720.9</v>
      </c>
      <c r="I1435" s="489">
        <f>H1435+F1435</f>
        <v>497123.9</v>
      </c>
      <c r="J1435" s="489"/>
    </row>
    <row r="1436" spans="1:10">
      <c r="A1436" s="548"/>
      <c r="B1436" s="938" t="s">
        <v>509</v>
      </c>
      <c r="C1436" s="506">
        <v>1</v>
      </c>
      <c r="D1436" s="499" t="s">
        <v>508</v>
      </c>
      <c r="E1436" s="489">
        <f>FLOOR(SUM(F1427:F1434)*0.2,1)</f>
        <v>152961</v>
      </c>
      <c r="F1436" s="489">
        <f>E1436*C1436</f>
        <v>152961</v>
      </c>
      <c r="G1436" s="489">
        <f>E1436*0.3</f>
        <v>45888.299999999996</v>
      </c>
      <c r="H1436" s="489">
        <f>G1436*C1436</f>
        <v>45888.299999999996</v>
      </c>
      <c r="I1436" s="489">
        <f>H1436+F1436</f>
        <v>198849.3</v>
      </c>
      <c r="J1436" s="489"/>
    </row>
    <row r="1437" spans="1:10">
      <c r="A1437" s="548"/>
      <c r="B1437" s="938" t="s">
        <v>510</v>
      </c>
      <c r="C1437" s="506">
        <v>1</v>
      </c>
      <c r="D1437" s="943" t="s">
        <v>508</v>
      </c>
      <c r="E1437" s="940">
        <f>ROUNDDOWN(SUM(F1427:F1434)*10%,0)</f>
        <v>76480</v>
      </c>
      <c r="F1437" s="940">
        <f>C1437*E1437</f>
        <v>76480</v>
      </c>
      <c r="G1437" s="940">
        <f>ROUNDDOWN(E1437*0.3,0)</f>
        <v>22944</v>
      </c>
      <c r="H1437" s="940">
        <f>C1437*G1437</f>
        <v>22944</v>
      </c>
      <c r="I1437" s="940">
        <f>F1437+H1437</f>
        <v>99424</v>
      </c>
      <c r="J1437" s="489"/>
    </row>
    <row r="1438" spans="1:10">
      <c r="A1438" s="548"/>
      <c r="B1438" s="549" t="s">
        <v>563</v>
      </c>
      <c r="C1438" s="506"/>
      <c r="D1438" s="499"/>
      <c r="E1438" s="489"/>
      <c r="F1438" s="489"/>
      <c r="G1438" s="507"/>
      <c r="H1438" s="490"/>
      <c r="I1438" s="490"/>
      <c r="J1438" s="489"/>
    </row>
    <row r="1439" spans="1:10">
      <c r="A1439" s="548"/>
      <c r="B1439" s="549" t="s">
        <v>564</v>
      </c>
      <c r="C1439" s="506">
        <v>205</v>
      </c>
      <c r="D1439" s="499" t="s">
        <v>565</v>
      </c>
      <c r="E1439" s="489">
        <v>390</v>
      </c>
      <c r="F1439" s="489">
        <f>C1439*E1439</f>
        <v>79950</v>
      </c>
      <c r="G1439" s="507">
        <v>50</v>
      </c>
      <c r="H1439" s="490">
        <f>C1439*G1439</f>
        <v>10250</v>
      </c>
      <c r="I1439" s="490">
        <f>F1439+H1439</f>
        <v>90200</v>
      </c>
      <c r="J1439" s="489"/>
    </row>
    <row r="1440" spans="1:10">
      <c r="A1440" s="548"/>
      <c r="B1440" s="549" t="s">
        <v>566</v>
      </c>
      <c r="C1440" s="506"/>
      <c r="D1440" s="499"/>
      <c r="E1440" s="489"/>
      <c r="F1440" s="489"/>
      <c r="G1440" s="507"/>
      <c r="H1440" s="490"/>
      <c r="I1440" s="490">
        <f>F1440+H1440</f>
        <v>0</v>
      </c>
      <c r="J1440" s="489"/>
    </row>
    <row r="1441" spans="1:10">
      <c r="A1441" s="502"/>
      <c r="B1441" s="549" t="s">
        <v>593</v>
      </c>
      <c r="C1441" s="506"/>
      <c r="D1441" s="499"/>
      <c r="E1441" s="489"/>
      <c r="F1441" s="489"/>
      <c r="G1441" s="507"/>
      <c r="H1441" s="490"/>
      <c r="I1441" s="490"/>
      <c r="J1441" s="489"/>
    </row>
    <row r="1442" spans="1:10">
      <c r="A1442" s="548"/>
      <c r="B1442" s="549" t="s">
        <v>578</v>
      </c>
      <c r="C1442" s="506">
        <v>1</v>
      </c>
      <c r="D1442" s="499" t="s">
        <v>546</v>
      </c>
      <c r="E1442" s="489">
        <v>12200</v>
      </c>
      <c r="F1442" s="489">
        <f>C1442*E1442</f>
        <v>12200</v>
      </c>
      <c r="G1442" s="507">
        <v>600</v>
      </c>
      <c r="H1442" s="490">
        <f>C1442*G1442</f>
        <v>600</v>
      </c>
      <c r="I1442" s="490">
        <f>F1442+H1442</f>
        <v>12800</v>
      </c>
      <c r="J1442" s="489"/>
    </row>
    <row r="1443" spans="1:10">
      <c r="A1443" s="548"/>
      <c r="B1443" s="549" t="s">
        <v>596</v>
      </c>
      <c r="C1443" s="506"/>
      <c r="D1443" s="499"/>
      <c r="E1443" s="489"/>
      <c r="F1443" s="489"/>
      <c r="G1443" s="507"/>
      <c r="H1443" s="490"/>
      <c r="I1443" s="490"/>
      <c r="J1443" s="489"/>
    </row>
    <row r="1444" spans="1:10">
      <c r="A1444" s="548"/>
      <c r="B1444" s="549" t="s">
        <v>578</v>
      </c>
      <c r="C1444" s="506">
        <v>1</v>
      </c>
      <c r="D1444" s="499" t="s">
        <v>574</v>
      </c>
      <c r="E1444" s="489">
        <v>20000</v>
      </c>
      <c r="F1444" s="489">
        <f>C1444*E1444</f>
        <v>20000</v>
      </c>
      <c r="G1444" s="507">
        <v>500</v>
      </c>
      <c r="H1444" s="490">
        <f>C1444*G1444</f>
        <v>500</v>
      </c>
      <c r="I1444" s="490">
        <f>F1444+H1444</f>
        <v>20500</v>
      </c>
      <c r="J1444" s="489"/>
    </row>
    <row r="1445" spans="1:10">
      <c r="A1445" s="548"/>
      <c r="B1445" s="549" t="s">
        <v>597</v>
      </c>
      <c r="C1445" s="506">
        <v>1</v>
      </c>
      <c r="D1445" s="499" t="s">
        <v>574</v>
      </c>
      <c r="E1445" s="489">
        <v>9360</v>
      </c>
      <c r="F1445" s="489">
        <f>C1445*E1445</f>
        <v>9360</v>
      </c>
      <c r="G1445" s="507">
        <v>150</v>
      </c>
      <c r="H1445" s="490">
        <f>C1445*G1445</f>
        <v>150</v>
      </c>
      <c r="I1445" s="490">
        <f>F1445+H1445</f>
        <v>9510</v>
      </c>
      <c r="J1445" s="489"/>
    </row>
    <row r="1446" spans="1:10">
      <c r="A1446" s="548"/>
      <c r="B1446" s="549" t="s">
        <v>598</v>
      </c>
      <c r="C1446" s="506"/>
      <c r="D1446" s="499"/>
      <c r="E1446" s="489"/>
      <c r="F1446" s="489"/>
      <c r="G1446" s="507"/>
      <c r="H1446" s="490"/>
      <c r="I1446" s="490"/>
      <c r="J1446" s="489"/>
    </row>
    <row r="1447" spans="1:10">
      <c r="A1447" s="548"/>
      <c r="B1447" s="549" t="s">
        <v>554</v>
      </c>
      <c r="C1447" s="506">
        <v>2</v>
      </c>
      <c r="D1447" s="499" t="s">
        <v>574</v>
      </c>
      <c r="E1447" s="489">
        <v>11400</v>
      </c>
      <c r="F1447" s="489">
        <f>C1447*E1447</f>
        <v>22800</v>
      </c>
      <c r="G1447" s="507">
        <v>300</v>
      </c>
      <c r="H1447" s="490">
        <f>C1447*G1447</f>
        <v>600</v>
      </c>
      <c r="I1447" s="490">
        <f>F1447+H1447</f>
        <v>23400</v>
      </c>
      <c r="J1447" s="489"/>
    </row>
    <row r="1448" spans="1:10">
      <c r="A1448" s="548"/>
      <c r="B1448" s="549" t="s">
        <v>600</v>
      </c>
      <c r="C1448" s="506"/>
      <c r="D1448" s="499"/>
      <c r="E1448" s="489"/>
      <c r="F1448" s="489"/>
      <c r="G1448" s="507"/>
      <c r="H1448" s="490"/>
      <c r="I1448" s="490"/>
      <c r="J1448" s="489"/>
    </row>
    <row r="1449" spans="1:10">
      <c r="A1449" s="548"/>
      <c r="B1449" s="549" t="s">
        <v>554</v>
      </c>
      <c r="C1449" s="506">
        <v>1</v>
      </c>
      <c r="D1449" s="499" t="s">
        <v>565</v>
      </c>
      <c r="E1449" s="489">
        <v>500</v>
      </c>
      <c r="F1449" s="489">
        <f>C1449*E1449</f>
        <v>500</v>
      </c>
      <c r="G1449" s="507">
        <v>200</v>
      </c>
      <c r="H1449" s="490">
        <f>C1449*G1449</f>
        <v>200</v>
      </c>
      <c r="I1449" s="490">
        <f>F1449+H1449</f>
        <v>700</v>
      </c>
      <c r="J1449" s="489"/>
    </row>
    <row r="1450" spans="1:10">
      <c r="A1450" s="548"/>
      <c r="B1450" s="549" t="s">
        <v>519</v>
      </c>
      <c r="C1450" s="506">
        <v>1</v>
      </c>
      <c r="D1450" s="499" t="s">
        <v>567</v>
      </c>
      <c r="E1450" s="672">
        <v>0</v>
      </c>
      <c r="F1450" s="660">
        <f>E1450*A1450</f>
        <v>0</v>
      </c>
      <c r="G1450" s="507">
        <v>40000</v>
      </c>
      <c r="H1450" s="490">
        <f>C1450*G1450</f>
        <v>40000</v>
      </c>
      <c r="I1450" s="490">
        <f>H1450</f>
        <v>40000</v>
      </c>
      <c r="J1450" s="489"/>
    </row>
    <row r="1451" spans="1:10">
      <c r="A1451" s="947"/>
      <c r="B1451" s="537"/>
      <c r="C1451" s="506"/>
      <c r="D1451" s="499"/>
      <c r="E1451" s="489"/>
      <c r="F1451" s="489"/>
      <c r="G1451" s="489"/>
      <c r="H1451" s="489"/>
      <c r="I1451" s="489"/>
      <c r="J1451" s="489"/>
    </row>
    <row r="1452" spans="1:10">
      <c r="A1452" s="537" t="s">
        <v>511</v>
      </c>
      <c r="B1452" s="937" t="s">
        <v>568</v>
      </c>
      <c r="C1452" s="506"/>
      <c r="D1452" s="499"/>
      <c r="E1452" s="489"/>
      <c r="F1452" s="489"/>
      <c r="G1452" s="507"/>
      <c r="H1452" s="490"/>
      <c r="I1452" s="490"/>
      <c r="J1452" s="489"/>
    </row>
    <row r="1453" spans="1:10">
      <c r="A1453" s="537" t="s">
        <v>1205</v>
      </c>
      <c r="B1453" s="538" t="s">
        <v>496</v>
      </c>
      <c r="C1453" s="506"/>
      <c r="D1453" s="499"/>
      <c r="E1453" s="489"/>
      <c r="F1453" s="489"/>
      <c r="G1453" s="507"/>
      <c r="H1453" s="490"/>
      <c r="I1453" s="490"/>
      <c r="J1453" s="489"/>
    </row>
    <row r="1454" spans="1:10">
      <c r="A1454" s="539"/>
      <c r="B1454" s="540" t="s">
        <v>498</v>
      </c>
      <c r="C1454" s="506"/>
      <c r="D1454" s="499"/>
      <c r="E1454" s="489"/>
      <c r="F1454" s="489"/>
      <c r="G1454" s="507"/>
      <c r="H1454" s="490"/>
      <c r="I1454" s="490"/>
      <c r="J1454" s="489"/>
    </row>
    <row r="1455" spans="1:10">
      <c r="A1455" s="539"/>
      <c r="B1455" s="540" t="s">
        <v>499</v>
      </c>
      <c r="C1455" s="939">
        <v>120</v>
      </c>
      <c r="D1455" s="499" t="s">
        <v>14</v>
      </c>
      <c r="E1455" s="940">
        <v>35</v>
      </c>
      <c r="F1455" s="940">
        <f>C1455*E1455</f>
        <v>4200</v>
      </c>
      <c r="G1455" s="940">
        <v>30</v>
      </c>
      <c r="H1455" s="940">
        <f t="shared" ref="H1455:H1465" si="112">C1455*G1455</f>
        <v>3600</v>
      </c>
      <c r="I1455" s="940">
        <f>F1455+H1455</f>
        <v>7800</v>
      </c>
      <c r="J1455" s="489"/>
    </row>
    <row r="1456" spans="1:10">
      <c r="A1456" s="539"/>
      <c r="B1456" s="540" t="s">
        <v>500</v>
      </c>
      <c r="C1456" s="941">
        <v>100</v>
      </c>
      <c r="D1456" s="499" t="s">
        <v>14</v>
      </c>
      <c r="E1456" s="940">
        <v>46</v>
      </c>
      <c r="F1456" s="940">
        <f>C1456*E1456</f>
        <v>4600</v>
      </c>
      <c r="G1456" s="940">
        <v>30</v>
      </c>
      <c r="H1456" s="940">
        <f t="shared" si="112"/>
        <v>3000</v>
      </c>
      <c r="I1456" s="940">
        <f>F1456+H1456</f>
        <v>7600</v>
      </c>
      <c r="J1456" s="489"/>
    </row>
    <row r="1457" spans="1:10">
      <c r="A1457" s="539"/>
      <c r="B1457" s="540" t="s">
        <v>501</v>
      </c>
      <c r="C1457" s="939">
        <v>100</v>
      </c>
      <c r="D1457" s="499" t="s">
        <v>14</v>
      </c>
      <c r="E1457" s="940">
        <v>76</v>
      </c>
      <c r="F1457" s="940">
        <f t="shared" ref="F1457:F1463" si="113">C1457*E1457</f>
        <v>7600</v>
      </c>
      <c r="G1457" s="940">
        <v>30</v>
      </c>
      <c r="H1457" s="940">
        <f t="shared" si="112"/>
        <v>3000</v>
      </c>
      <c r="I1457" s="940">
        <f t="shared" ref="I1457:I1465" si="114">F1457+H1457</f>
        <v>10600</v>
      </c>
      <c r="J1457" s="489"/>
    </row>
    <row r="1458" spans="1:10">
      <c r="A1458" s="539"/>
      <c r="B1458" s="540" t="s">
        <v>502</v>
      </c>
      <c r="C1458" s="939">
        <v>80</v>
      </c>
      <c r="D1458" s="499" t="s">
        <v>14</v>
      </c>
      <c r="E1458" s="940">
        <v>180</v>
      </c>
      <c r="F1458" s="940">
        <f t="shared" si="113"/>
        <v>14400</v>
      </c>
      <c r="G1458" s="940">
        <v>50</v>
      </c>
      <c r="H1458" s="940">
        <f t="shared" si="112"/>
        <v>4000</v>
      </c>
      <c r="I1458" s="940">
        <f t="shared" si="114"/>
        <v>18400</v>
      </c>
      <c r="J1458" s="489"/>
    </row>
    <row r="1459" spans="1:10">
      <c r="A1459" s="539"/>
      <c r="B1459" s="540" t="s">
        <v>503</v>
      </c>
      <c r="C1459" s="939">
        <v>60</v>
      </c>
      <c r="D1459" s="499" t="s">
        <v>14</v>
      </c>
      <c r="E1459" s="940">
        <v>287</v>
      </c>
      <c r="F1459" s="940">
        <f t="shared" si="113"/>
        <v>17220</v>
      </c>
      <c r="G1459" s="940">
        <v>75</v>
      </c>
      <c r="H1459" s="940">
        <f t="shared" si="112"/>
        <v>4500</v>
      </c>
      <c r="I1459" s="940">
        <f t="shared" si="114"/>
        <v>21720</v>
      </c>
      <c r="J1459" s="489"/>
    </row>
    <row r="1460" spans="1:10">
      <c r="A1460" s="539"/>
      <c r="B1460" s="540" t="s">
        <v>504</v>
      </c>
      <c r="C1460" s="939">
        <v>50</v>
      </c>
      <c r="D1460" s="499" t="s">
        <v>14</v>
      </c>
      <c r="E1460" s="940">
        <v>402</v>
      </c>
      <c r="F1460" s="940">
        <f t="shared" si="113"/>
        <v>20100</v>
      </c>
      <c r="G1460" s="940">
        <v>100</v>
      </c>
      <c r="H1460" s="940">
        <f t="shared" si="112"/>
        <v>5000</v>
      </c>
      <c r="I1460" s="940">
        <f t="shared" si="114"/>
        <v>25100</v>
      </c>
      <c r="J1460" s="489"/>
    </row>
    <row r="1461" spans="1:10">
      <c r="A1461" s="539"/>
      <c r="B1461" s="540" t="s">
        <v>505</v>
      </c>
      <c r="C1461" s="939">
        <v>80</v>
      </c>
      <c r="D1461" s="499" t="s">
        <v>14</v>
      </c>
      <c r="E1461" s="940">
        <v>562</v>
      </c>
      <c r="F1461" s="940">
        <f t="shared" si="113"/>
        <v>44960</v>
      </c>
      <c r="G1461" s="940">
        <v>120</v>
      </c>
      <c r="H1461" s="940">
        <f t="shared" si="112"/>
        <v>9600</v>
      </c>
      <c r="I1461" s="940">
        <f t="shared" si="114"/>
        <v>54560</v>
      </c>
      <c r="J1461" s="489"/>
    </row>
    <row r="1462" spans="1:10">
      <c r="A1462" s="539"/>
      <c r="B1462" s="540" t="s">
        <v>506</v>
      </c>
      <c r="C1462" s="939">
        <v>50</v>
      </c>
      <c r="D1462" s="499" t="s">
        <v>14</v>
      </c>
      <c r="E1462" s="940">
        <v>834</v>
      </c>
      <c r="F1462" s="940">
        <f t="shared" si="113"/>
        <v>41700</v>
      </c>
      <c r="G1462" s="940">
        <v>150</v>
      </c>
      <c r="H1462" s="940">
        <f t="shared" si="112"/>
        <v>7500</v>
      </c>
      <c r="I1462" s="940">
        <f t="shared" si="114"/>
        <v>49200</v>
      </c>
      <c r="J1462" s="489"/>
    </row>
    <row r="1463" spans="1:10">
      <c r="A1463" s="539"/>
      <c r="B1463" s="938" t="s">
        <v>507</v>
      </c>
      <c r="C1463" s="941">
        <v>1</v>
      </c>
      <c r="D1463" s="942" t="s">
        <v>508</v>
      </c>
      <c r="E1463" s="940">
        <f>ROUNDDOWN(SUM(F1455:F1462)*35%,0)</f>
        <v>54173</v>
      </c>
      <c r="F1463" s="940">
        <f t="shared" si="113"/>
        <v>54173</v>
      </c>
      <c r="G1463" s="940">
        <f>ROUNDDOWN(E1463*0.2,0)</f>
        <v>10834</v>
      </c>
      <c r="H1463" s="940">
        <f t="shared" si="112"/>
        <v>10834</v>
      </c>
      <c r="I1463" s="940">
        <f t="shared" si="114"/>
        <v>65007</v>
      </c>
      <c r="J1463" s="489"/>
    </row>
    <row r="1464" spans="1:10">
      <c r="A1464" s="539"/>
      <c r="B1464" s="938" t="s">
        <v>509</v>
      </c>
      <c r="C1464" s="941">
        <v>1</v>
      </c>
      <c r="D1464" s="942" t="s">
        <v>508</v>
      </c>
      <c r="E1464" s="940">
        <f>ROUNDDOWN(SUM(F1455:F1462)*20%,0)</f>
        <v>30956</v>
      </c>
      <c r="F1464" s="940">
        <f>C1464*E1464</f>
        <v>30956</v>
      </c>
      <c r="G1464" s="940">
        <f>ROUNDDOWN(E1464*0.2,0)</f>
        <v>6191</v>
      </c>
      <c r="H1464" s="940">
        <f t="shared" si="112"/>
        <v>6191</v>
      </c>
      <c r="I1464" s="940">
        <f t="shared" si="114"/>
        <v>37147</v>
      </c>
      <c r="J1464" s="489"/>
    </row>
    <row r="1465" spans="1:10">
      <c r="A1465" s="539"/>
      <c r="B1465" s="938" t="s">
        <v>510</v>
      </c>
      <c r="C1465" s="941">
        <v>1</v>
      </c>
      <c r="D1465" s="943" t="s">
        <v>508</v>
      </c>
      <c r="E1465" s="940">
        <f>ROUNDDOWN(SUM(F1455:F1462)*10%,0)</f>
        <v>15478</v>
      </c>
      <c r="F1465" s="940">
        <f>C1465*E1465</f>
        <v>15478</v>
      </c>
      <c r="G1465" s="940">
        <f>ROUNDDOWN(E1465*0.3,0)</f>
        <v>4643</v>
      </c>
      <c r="H1465" s="940">
        <f t="shared" si="112"/>
        <v>4643</v>
      </c>
      <c r="I1465" s="940">
        <f t="shared" si="114"/>
        <v>20121</v>
      </c>
      <c r="J1465" s="489"/>
    </row>
    <row r="1466" spans="1:10">
      <c r="A1466" s="539"/>
      <c r="B1466" s="944" t="s">
        <v>512</v>
      </c>
      <c r="C1466" s="945"/>
      <c r="D1466" s="541"/>
      <c r="E1466" s="946"/>
      <c r="F1466" s="946"/>
      <c r="G1466" s="542"/>
      <c r="H1466" s="543"/>
      <c r="I1466" s="543"/>
      <c r="J1466" s="489"/>
    </row>
    <row r="1467" spans="1:10">
      <c r="A1467" s="539"/>
      <c r="B1467" s="540" t="s">
        <v>513</v>
      </c>
      <c r="C1467" s="506">
        <v>2</v>
      </c>
      <c r="D1467" s="544" t="s">
        <v>15</v>
      </c>
      <c r="E1467" s="940">
        <v>2674</v>
      </c>
      <c r="F1467" s="940">
        <f>C1467*E1467</f>
        <v>5348</v>
      </c>
      <c r="G1467" s="940">
        <v>500</v>
      </c>
      <c r="H1467" s="490">
        <f>C1467*G1467</f>
        <v>1000</v>
      </c>
      <c r="I1467" s="490">
        <f>F1467+H1467</f>
        <v>6348</v>
      </c>
      <c r="J1467" s="940"/>
    </row>
    <row r="1468" spans="1:10">
      <c r="A1468" s="539"/>
      <c r="B1468" s="540" t="s">
        <v>514</v>
      </c>
      <c r="C1468" s="506">
        <v>2</v>
      </c>
      <c r="D1468" s="544" t="s">
        <v>15</v>
      </c>
      <c r="E1468" s="940">
        <v>3677</v>
      </c>
      <c r="F1468" s="940">
        <f>C1468*E1468</f>
        <v>7354</v>
      </c>
      <c r="G1468" s="940">
        <v>600</v>
      </c>
      <c r="H1468" s="490">
        <f>C1468*G1468</f>
        <v>1200</v>
      </c>
      <c r="I1468" s="490">
        <f>F1468+H1468</f>
        <v>8554</v>
      </c>
      <c r="J1468" s="940"/>
    </row>
    <row r="1469" spans="1:10">
      <c r="A1469" s="539"/>
      <c r="B1469" s="540" t="s">
        <v>515</v>
      </c>
      <c r="C1469" s="506">
        <v>5</v>
      </c>
      <c r="D1469" s="544" t="s">
        <v>15</v>
      </c>
      <c r="E1469" s="940">
        <v>7070</v>
      </c>
      <c r="F1469" s="940">
        <f>C1469*E1469</f>
        <v>35350</v>
      </c>
      <c r="G1469" s="940">
        <v>800</v>
      </c>
      <c r="H1469" s="490">
        <f>C1469*G1469</f>
        <v>4000</v>
      </c>
      <c r="I1469" s="490">
        <f>F1469+H1469</f>
        <v>39350</v>
      </c>
      <c r="J1469" s="940"/>
    </row>
    <row r="1470" spans="1:10">
      <c r="A1470" s="539"/>
      <c r="B1470" s="938" t="s">
        <v>517</v>
      </c>
      <c r="C1470" s="506"/>
      <c r="D1470" s="942"/>
      <c r="E1470" s="946"/>
      <c r="F1470" s="946"/>
      <c r="G1470" s="946"/>
      <c r="H1470" s="490"/>
      <c r="I1470" s="490"/>
      <c r="J1470" s="489"/>
    </row>
    <row r="1471" spans="1:10">
      <c r="A1471" s="539"/>
      <c r="B1471" s="540" t="s">
        <v>499</v>
      </c>
      <c r="C1471" s="506">
        <v>60</v>
      </c>
      <c r="D1471" s="544" t="s">
        <v>15</v>
      </c>
      <c r="E1471" s="489">
        <v>169</v>
      </c>
      <c r="F1471" s="489">
        <f>E1471*C1471</f>
        <v>10140</v>
      </c>
      <c r="G1471" s="489">
        <v>50</v>
      </c>
      <c r="H1471" s="489">
        <f>G1471*C1471</f>
        <v>3000</v>
      </c>
      <c r="I1471" s="489">
        <f>H1471+F1471</f>
        <v>13140</v>
      </c>
      <c r="J1471" s="489"/>
    </row>
    <row r="1472" spans="1:10">
      <c r="A1472" s="539"/>
      <c r="B1472" s="938" t="s">
        <v>519</v>
      </c>
      <c r="C1472" s="506">
        <v>1</v>
      </c>
      <c r="D1472" s="499" t="s">
        <v>508</v>
      </c>
      <c r="E1472" s="866" t="s">
        <v>332</v>
      </c>
      <c r="F1472" s="866" t="s">
        <v>332</v>
      </c>
      <c r="G1472" s="489">
        <v>40000</v>
      </c>
      <c r="H1472" s="489">
        <f>C1472*G1472</f>
        <v>40000</v>
      </c>
      <c r="I1472" s="489">
        <f>H1472</f>
        <v>40000</v>
      </c>
      <c r="J1472" s="489"/>
    </row>
    <row r="1473" spans="1:10">
      <c r="A1473" s="545" t="s">
        <v>1206</v>
      </c>
      <c r="B1473" s="546" t="s">
        <v>520</v>
      </c>
      <c r="C1473" s="506"/>
      <c r="D1473" s="499"/>
      <c r="E1473" s="489"/>
      <c r="F1473" s="489"/>
      <c r="G1473" s="507"/>
      <c r="H1473" s="490"/>
      <c r="I1473" s="490"/>
      <c r="J1473" s="489"/>
    </row>
    <row r="1474" spans="1:10">
      <c r="A1474" s="539"/>
      <c r="B1474" s="938" t="s">
        <v>522</v>
      </c>
      <c r="C1474" s="506"/>
      <c r="D1474" s="499"/>
      <c r="E1474" s="489"/>
      <c r="F1474" s="489"/>
      <c r="G1474" s="507"/>
      <c r="H1474" s="490"/>
      <c r="I1474" s="490"/>
      <c r="J1474" s="489"/>
    </row>
    <row r="1475" spans="1:10">
      <c r="A1475" s="948"/>
      <c r="B1475" s="938" t="s">
        <v>523</v>
      </c>
      <c r="C1475" s="506">
        <v>80</v>
      </c>
      <c r="D1475" s="499" t="s">
        <v>14</v>
      </c>
      <c r="E1475" s="489">
        <v>24</v>
      </c>
      <c r="F1475" s="489">
        <f>E1475*C1475</f>
        <v>1920</v>
      </c>
      <c r="G1475" s="489">
        <v>30</v>
      </c>
      <c r="H1475" s="489">
        <f>G1475*C1475</f>
        <v>2400</v>
      </c>
      <c r="I1475" s="489">
        <f>H1475+F1475</f>
        <v>4320</v>
      </c>
      <c r="J1475" s="489"/>
    </row>
    <row r="1476" spans="1:10">
      <c r="A1476" s="948"/>
      <c r="B1476" s="938" t="s">
        <v>524</v>
      </c>
      <c r="C1476" s="506">
        <v>100</v>
      </c>
      <c r="D1476" s="499" t="s">
        <v>14</v>
      </c>
      <c r="E1476" s="489">
        <v>50</v>
      </c>
      <c r="F1476" s="489">
        <f t="shared" ref="F1476:F1481" si="115">E1476*C1476</f>
        <v>5000</v>
      </c>
      <c r="G1476" s="489">
        <v>40</v>
      </c>
      <c r="H1476" s="489">
        <f t="shared" ref="H1476:H1481" si="116">G1476*C1476</f>
        <v>4000</v>
      </c>
      <c r="I1476" s="489">
        <f t="shared" ref="I1476:I1481" si="117">H1476+F1476</f>
        <v>9000</v>
      </c>
      <c r="J1476" s="489"/>
    </row>
    <row r="1477" spans="1:10">
      <c r="A1477" s="948"/>
      <c r="B1477" s="938" t="s">
        <v>525</v>
      </c>
      <c r="C1477" s="506">
        <v>85</v>
      </c>
      <c r="D1477" s="499" t="s">
        <v>14</v>
      </c>
      <c r="E1477" s="489">
        <v>109</v>
      </c>
      <c r="F1477" s="489">
        <f t="shared" si="115"/>
        <v>9265</v>
      </c>
      <c r="G1477" s="489">
        <v>75</v>
      </c>
      <c r="H1477" s="489">
        <f t="shared" si="116"/>
        <v>6375</v>
      </c>
      <c r="I1477" s="489">
        <f t="shared" si="117"/>
        <v>15640</v>
      </c>
      <c r="J1477" s="489"/>
    </row>
    <row r="1478" spans="1:10">
      <c r="A1478" s="539"/>
      <c r="B1478" s="938" t="s">
        <v>526</v>
      </c>
      <c r="C1478" s="506">
        <v>90</v>
      </c>
      <c r="D1478" s="499" t="s">
        <v>14</v>
      </c>
      <c r="E1478" s="489">
        <v>177</v>
      </c>
      <c r="F1478" s="489">
        <f t="shared" si="115"/>
        <v>15930</v>
      </c>
      <c r="G1478" s="489">
        <v>100</v>
      </c>
      <c r="H1478" s="489">
        <f t="shared" si="116"/>
        <v>9000</v>
      </c>
      <c r="I1478" s="489">
        <f t="shared" si="117"/>
        <v>24930</v>
      </c>
      <c r="J1478" s="489"/>
    </row>
    <row r="1479" spans="1:10">
      <c r="A1479" s="539"/>
      <c r="B1479" s="938" t="s">
        <v>527</v>
      </c>
      <c r="C1479" s="506">
        <v>80</v>
      </c>
      <c r="D1479" s="499" t="s">
        <v>14</v>
      </c>
      <c r="E1479" s="489">
        <v>291</v>
      </c>
      <c r="F1479" s="489">
        <f t="shared" si="115"/>
        <v>23280</v>
      </c>
      <c r="G1479" s="489">
        <v>200</v>
      </c>
      <c r="H1479" s="489">
        <f t="shared" si="116"/>
        <v>16000</v>
      </c>
      <c r="I1479" s="489">
        <f t="shared" si="117"/>
        <v>39280</v>
      </c>
      <c r="J1479" s="489"/>
    </row>
    <row r="1480" spans="1:10">
      <c r="A1480" s="539"/>
      <c r="B1480" s="938" t="s">
        <v>507</v>
      </c>
      <c r="C1480" s="506">
        <v>1</v>
      </c>
      <c r="D1480" s="499" t="s">
        <v>508</v>
      </c>
      <c r="E1480" s="489">
        <f>FLOOR(SUM(F1475:F1479)*0.4,1)</f>
        <v>22158</v>
      </c>
      <c r="F1480" s="489">
        <f t="shared" si="115"/>
        <v>22158</v>
      </c>
      <c r="G1480" s="489">
        <f>E1480*0.3</f>
        <v>6647.4</v>
      </c>
      <c r="H1480" s="489">
        <f t="shared" si="116"/>
        <v>6647.4</v>
      </c>
      <c r="I1480" s="489">
        <f t="shared" si="117"/>
        <v>28805.4</v>
      </c>
      <c r="J1480" s="489"/>
    </row>
    <row r="1481" spans="1:10">
      <c r="A1481" s="539"/>
      <c r="B1481" s="938" t="s">
        <v>509</v>
      </c>
      <c r="C1481" s="506">
        <v>1</v>
      </c>
      <c r="D1481" s="499" t="s">
        <v>508</v>
      </c>
      <c r="E1481" s="489">
        <f>FLOOR(SUM(F1475:F1479)*0.3,1)</f>
        <v>16618</v>
      </c>
      <c r="F1481" s="489">
        <f t="shared" si="115"/>
        <v>16618</v>
      </c>
      <c r="G1481" s="489">
        <f>E1481*0.3</f>
        <v>4985.3999999999996</v>
      </c>
      <c r="H1481" s="489">
        <f t="shared" si="116"/>
        <v>4985.3999999999996</v>
      </c>
      <c r="I1481" s="489">
        <f t="shared" si="117"/>
        <v>21603.4</v>
      </c>
      <c r="J1481" s="489"/>
    </row>
    <row r="1482" spans="1:10">
      <c r="A1482" s="539"/>
      <c r="B1482" s="938" t="s">
        <v>510</v>
      </c>
      <c r="C1482" s="506">
        <v>1</v>
      </c>
      <c r="D1482" s="943" t="s">
        <v>508</v>
      </c>
      <c r="E1482" s="940">
        <f>ROUNDDOWN(SUM(F1475:F1479)*10%,0)</f>
        <v>5539</v>
      </c>
      <c r="F1482" s="940">
        <f>C1482*E1482</f>
        <v>5539</v>
      </c>
      <c r="G1482" s="940">
        <f>ROUNDDOWN(E1482*0.3,0)</f>
        <v>1661</v>
      </c>
      <c r="H1482" s="940">
        <f>C1482*G1482</f>
        <v>1661</v>
      </c>
      <c r="I1482" s="940">
        <f>F1482+H1482</f>
        <v>7200</v>
      </c>
      <c r="J1482" s="489"/>
    </row>
    <row r="1483" spans="1:10">
      <c r="A1483" s="539"/>
      <c r="B1483" s="938" t="s">
        <v>529</v>
      </c>
      <c r="C1483" s="506"/>
      <c r="D1483" s="499"/>
      <c r="E1483" s="489"/>
      <c r="F1483" s="489"/>
      <c r="G1483" s="507"/>
      <c r="H1483" s="490"/>
      <c r="I1483" s="490"/>
      <c r="J1483" s="489"/>
    </row>
    <row r="1484" spans="1:10">
      <c r="A1484" s="539"/>
      <c r="B1484" s="938" t="s">
        <v>523</v>
      </c>
      <c r="C1484" s="506">
        <v>60</v>
      </c>
      <c r="D1484" s="499" t="s">
        <v>14</v>
      </c>
      <c r="E1484" s="489">
        <v>24</v>
      </c>
      <c r="F1484" s="489">
        <f>E1484*C1484</f>
        <v>1440</v>
      </c>
      <c r="G1484" s="489">
        <v>30</v>
      </c>
      <c r="H1484" s="489">
        <f>G1484*C1484</f>
        <v>1800</v>
      </c>
      <c r="I1484" s="489">
        <f>H1484+F1484</f>
        <v>3240</v>
      </c>
      <c r="J1484" s="489"/>
    </row>
    <row r="1485" spans="1:10">
      <c r="A1485" s="539"/>
      <c r="B1485" s="938" t="s">
        <v>524</v>
      </c>
      <c r="C1485" s="506">
        <v>50</v>
      </c>
      <c r="D1485" s="499" t="s">
        <v>14</v>
      </c>
      <c r="E1485" s="489">
        <v>84</v>
      </c>
      <c r="F1485" s="489">
        <f>E1485*C1485</f>
        <v>4200</v>
      </c>
      <c r="G1485" s="489">
        <v>75</v>
      </c>
      <c r="H1485" s="489">
        <f>G1485*C1485</f>
        <v>3750</v>
      </c>
      <c r="I1485" s="489">
        <f>H1485+F1485</f>
        <v>7950</v>
      </c>
      <c r="J1485" s="489"/>
    </row>
    <row r="1486" spans="1:10">
      <c r="A1486" s="539"/>
      <c r="B1486" s="938" t="s">
        <v>525</v>
      </c>
      <c r="C1486" s="506">
        <v>40</v>
      </c>
      <c r="D1486" s="499" t="s">
        <v>14</v>
      </c>
      <c r="E1486" s="489">
        <f>FLOOR(SUM(F1484:F1485)*0.4,1)</f>
        <v>2256</v>
      </c>
      <c r="F1486" s="489">
        <f>E1486*C1486</f>
        <v>90240</v>
      </c>
      <c r="G1486" s="489">
        <f>E1486*0.3</f>
        <v>676.8</v>
      </c>
      <c r="H1486" s="489">
        <f>G1486*C1486</f>
        <v>27072</v>
      </c>
      <c r="I1486" s="489">
        <f>H1486+F1486</f>
        <v>117312</v>
      </c>
      <c r="J1486" s="489"/>
    </row>
    <row r="1487" spans="1:10">
      <c r="A1487" s="539"/>
      <c r="B1487" s="938" t="s">
        <v>507</v>
      </c>
      <c r="C1487" s="506">
        <v>1</v>
      </c>
      <c r="D1487" s="499" t="s">
        <v>508</v>
      </c>
      <c r="E1487" s="489">
        <f>FLOOR(SUM(F1484:F1486)*0.4,1)</f>
        <v>38352</v>
      </c>
      <c r="F1487" s="489">
        <f>E1487*C1487</f>
        <v>38352</v>
      </c>
      <c r="G1487" s="489">
        <f>E1487*0.3</f>
        <v>11505.6</v>
      </c>
      <c r="H1487" s="489">
        <f>G1487*C1487</f>
        <v>11505.6</v>
      </c>
      <c r="I1487" s="489">
        <f>H1487+F1487</f>
        <v>49857.599999999999</v>
      </c>
      <c r="J1487" s="489"/>
    </row>
    <row r="1488" spans="1:10">
      <c r="A1488" s="539"/>
      <c r="B1488" s="938" t="s">
        <v>509</v>
      </c>
      <c r="C1488" s="506">
        <v>1</v>
      </c>
      <c r="D1488" s="499" t="s">
        <v>508</v>
      </c>
      <c r="E1488" s="489">
        <f>FLOOR(SUM(F1484:F1486)*0.3,1)</f>
        <v>28764</v>
      </c>
      <c r="F1488" s="489">
        <f>E1488*C1488</f>
        <v>28764</v>
      </c>
      <c r="G1488" s="489">
        <f>E1488*0.3</f>
        <v>8629.1999999999989</v>
      </c>
      <c r="H1488" s="489">
        <f>G1488*C1488</f>
        <v>8629.1999999999989</v>
      </c>
      <c r="I1488" s="489">
        <f>H1488+F1488</f>
        <v>37393.199999999997</v>
      </c>
      <c r="J1488" s="489"/>
    </row>
    <row r="1489" spans="1:10">
      <c r="A1489" s="539"/>
      <c r="B1489" s="938" t="s">
        <v>510</v>
      </c>
      <c r="C1489" s="506">
        <v>1</v>
      </c>
      <c r="D1489" s="943" t="s">
        <v>508</v>
      </c>
      <c r="E1489" s="940">
        <f>ROUNDDOWN(SUM(F1484:F1486)*10%,0)</f>
        <v>9588</v>
      </c>
      <c r="F1489" s="940">
        <f>C1489*E1489</f>
        <v>9588</v>
      </c>
      <c r="G1489" s="940">
        <f>ROUNDDOWN(E1489*0.3,0)</f>
        <v>2876</v>
      </c>
      <c r="H1489" s="940">
        <f>C1489*G1489</f>
        <v>2876</v>
      </c>
      <c r="I1489" s="940">
        <f>F1489+H1489</f>
        <v>12464</v>
      </c>
      <c r="J1489" s="489"/>
    </row>
    <row r="1490" spans="1:10">
      <c r="A1490" s="539"/>
      <c r="B1490" s="938" t="s">
        <v>530</v>
      </c>
      <c r="C1490" s="506"/>
      <c r="D1490" s="499"/>
      <c r="E1490" s="489"/>
      <c r="F1490" s="489"/>
      <c r="G1490" s="489"/>
      <c r="H1490" s="489"/>
      <c r="I1490" s="489"/>
      <c r="J1490" s="489"/>
    </row>
    <row r="1491" spans="1:10">
      <c r="A1491" s="539"/>
      <c r="B1491" s="938" t="s">
        <v>524</v>
      </c>
      <c r="C1491" s="506">
        <v>10</v>
      </c>
      <c r="D1491" s="499" t="s">
        <v>15</v>
      </c>
      <c r="E1491" s="489">
        <v>710</v>
      </c>
      <c r="F1491" s="489">
        <f>C1491*E1491</f>
        <v>7100</v>
      </c>
      <c r="G1491" s="489">
        <v>200</v>
      </c>
      <c r="H1491" s="489">
        <f>C1491*G1491</f>
        <v>2000</v>
      </c>
      <c r="I1491" s="489">
        <f>F1491+H1491</f>
        <v>9100</v>
      </c>
      <c r="J1491" s="489"/>
    </row>
    <row r="1492" spans="1:10">
      <c r="A1492" s="539"/>
      <c r="B1492" s="938" t="s">
        <v>531</v>
      </c>
      <c r="C1492" s="506"/>
      <c r="D1492" s="499"/>
      <c r="E1492" s="489"/>
      <c r="F1492" s="489"/>
      <c r="G1492" s="489"/>
      <c r="H1492" s="489"/>
      <c r="I1492" s="489"/>
      <c r="J1492" s="489"/>
    </row>
    <row r="1493" spans="1:10">
      <c r="A1493" s="539"/>
      <c r="B1493" s="938" t="s">
        <v>524</v>
      </c>
      <c r="C1493" s="506">
        <v>2</v>
      </c>
      <c r="D1493" s="499" t="s">
        <v>15</v>
      </c>
      <c r="E1493" s="489">
        <v>600</v>
      </c>
      <c r="F1493" s="489">
        <f>C1493*E1493</f>
        <v>1200</v>
      </c>
      <c r="G1493" s="489">
        <v>200</v>
      </c>
      <c r="H1493" s="489">
        <f>C1493*G1493</f>
        <v>400</v>
      </c>
      <c r="I1493" s="489">
        <f>F1493+H1493</f>
        <v>1600</v>
      </c>
      <c r="J1493" s="489"/>
    </row>
    <row r="1494" spans="1:10">
      <c r="A1494" s="539"/>
      <c r="B1494" s="938" t="s">
        <v>525</v>
      </c>
      <c r="C1494" s="506">
        <v>5</v>
      </c>
      <c r="D1494" s="499" t="s">
        <v>15</v>
      </c>
      <c r="E1494" s="489">
        <v>680</v>
      </c>
      <c r="F1494" s="489">
        <f>C1494*E1494</f>
        <v>3400</v>
      </c>
      <c r="G1494" s="489">
        <v>300</v>
      </c>
      <c r="H1494" s="489">
        <f>C1494*G1494</f>
        <v>1500</v>
      </c>
      <c r="I1494" s="489">
        <f>F1494+H1494</f>
        <v>4900</v>
      </c>
      <c r="J1494" s="489"/>
    </row>
    <row r="1495" spans="1:10">
      <c r="A1495" s="539"/>
      <c r="B1495" s="938" t="s">
        <v>526</v>
      </c>
      <c r="C1495" s="506">
        <v>4</v>
      </c>
      <c r="D1495" s="499" t="s">
        <v>15</v>
      </c>
      <c r="E1495" s="489">
        <v>750</v>
      </c>
      <c r="F1495" s="489">
        <f>C1495*E1495</f>
        <v>3000</v>
      </c>
      <c r="G1495" s="489">
        <v>400</v>
      </c>
      <c r="H1495" s="489">
        <f>C1495*G1495</f>
        <v>1600</v>
      </c>
      <c r="I1495" s="489">
        <f>F1495+H1495</f>
        <v>4600</v>
      </c>
      <c r="J1495" s="489"/>
    </row>
    <row r="1496" spans="1:10">
      <c r="A1496" s="539"/>
      <c r="B1496" s="938" t="s">
        <v>535</v>
      </c>
      <c r="C1496" s="506">
        <v>1</v>
      </c>
      <c r="D1496" s="499" t="s">
        <v>508</v>
      </c>
      <c r="E1496" s="489">
        <f>FLOOR((SUM(F1476:F1479))*0.1,1)</f>
        <v>5347</v>
      </c>
      <c r="F1496" s="489">
        <f>E1496*C1496</f>
        <v>5347</v>
      </c>
      <c r="G1496" s="489">
        <f>E1496*0.3</f>
        <v>1604.1</v>
      </c>
      <c r="H1496" s="489">
        <f>G1496*C1496</f>
        <v>1604.1</v>
      </c>
      <c r="I1496" s="489">
        <f>F1496+H1496</f>
        <v>6951.1</v>
      </c>
      <c r="J1496" s="489"/>
    </row>
    <row r="1497" spans="1:10">
      <c r="A1497" s="496" t="s">
        <v>1207</v>
      </c>
      <c r="B1497" s="497" t="s">
        <v>536</v>
      </c>
      <c r="C1497" s="506"/>
      <c r="D1497" s="499"/>
      <c r="E1497" s="489"/>
      <c r="F1497" s="489"/>
      <c r="G1497" s="489"/>
      <c r="H1497" s="489"/>
      <c r="I1497" s="489"/>
      <c r="J1497" s="489"/>
    </row>
    <row r="1498" spans="1:10">
      <c r="A1498" s="539"/>
      <c r="B1498" s="549" t="s">
        <v>569</v>
      </c>
      <c r="C1498" s="506"/>
      <c r="D1498" s="499"/>
      <c r="E1498" s="489"/>
      <c r="F1498" s="940"/>
      <c r="G1498" s="507"/>
      <c r="H1498" s="940"/>
      <c r="I1498" s="940"/>
      <c r="J1498" s="489"/>
    </row>
    <row r="1499" spans="1:10">
      <c r="A1499" s="539"/>
      <c r="B1499" s="549" t="s">
        <v>570</v>
      </c>
      <c r="C1499" s="506">
        <v>40</v>
      </c>
      <c r="D1499" s="942" t="s">
        <v>565</v>
      </c>
      <c r="E1499" s="940">
        <v>865</v>
      </c>
      <c r="F1499" s="940">
        <f>C1499*E1499</f>
        <v>34600</v>
      </c>
      <c r="G1499" s="940">
        <v>600</v>
      </c>
      <c r="H1499" s="940">
        <f>C1499*G1499</f>
        <v>24000</v>
      </c>
      <c r="I1499" s="940">
        <f>F1499+H1499</f>
        <v>58600</v>
      </c>
      <c r="J1499" s="489"/>
    </row>
    <row r="1500" spans="1:10">
      <c r="A1500" s="539"/>
      <c r="B1500" s="938" t="s">
        <v>538</v>
      </c>
      <c r="C1500" s="904"/>
      <c r="D1500" s="499"/>
      <c r="E1500" s="499"/>
      <c r="F1500" s="499"/>
      <c r="G1500" s="499"/>
      <c r="H1500" s="499"/>
      <c r="I1500" s="499"/>
      <c r="J1500" s="489"/>
    </row>
    <row r="1501" spans="1:10">
      <c r="A1501" s="537"/>
      <c r="B1501" s="938" t="s">
        <v>527</v>
      </c>
      <c r="C1501" s="506">
        <v>150</v>
      </c>
      <c r="D1501" s="499" t="s">
        <v>14</v>
      </c>
      <c r="E1501" s="489">
        <v>291</v>
      </c>
      <c r="F1501" s="489">
        <f>E1501*C1501</f>
        <v>43650</v>
      </c>
      <c r="G1501" s="489">
        <v>100</v>
      </c>
      <c r="H1501" s="489">
        <f>G1501*C1501</f>
        <v>15000</v>
      </c>
      <c r="I1501" s="489">
        <f>H1501+F1501</f>
        <v>58650</v>
      </c>
      <c r="J1501" s="489"/>
    </row>
    <row r="1502" spans="1:10">
      <c r="A1502" s="537"/>
      <c r="B1502" s="938" t="s">
        <v>507</v>
      </c>
      <c r="C1502" s="506">
        <v>1</v>
      </c>
      <c r="D1502" s="499" t="s">
        <v>508</v>
      </c>
      <c r="E1502" s="489">
        <f>FLOOR(SUM(F1501)*0.4,10)</f>
        <v>17460</v>
      </c>
      <c r="F1502" s="489">
        <f>E1502*C1502</f>
        <v>17460</v>
      </c>
      <c r="G1502" s="489">
        <f>E1502*0.3</f>
        <v>5238</v>
      </c>
      <c r="H1502" s="489">
        <f>G1502*C1502</f>
        <v>5238</v>
      </c>
      <c r="I1502" s="489">
        <f>H1502+F1502</f>
        <v>22698</v>
      </c>
      <c r="J1502" s="489"/>
    </row>
    <row r="1503" spans="1:10">
      <c r="A1503" s="537"/>
      <c r="B1503" s="938" t="s">
        <v>509</v>
      </c>
      <c r="C1503" s="506">
        <v>1</v>
      </c>
      <c r="D1503" s="499" t="s">
        <v>508</v>
      </c>
      <c r="E1503" s="489">
        <f>FLOOR(SUM(F1501)*0.3,10)</f>
        <v>13090</v>
      </c>
      <c r="F1503" s="489">
        <f>E1503*C1503</f>
        <v>13090</v>
      </c>
      <c r="G1503" s="489">
        <f>E1503*0.3</f>
        <v>3927</v>
      </c>
      <c r="H1503" s="489">
        <f>G1503*C1503</f>
        <v>3927</v>
      </c>
      <c r="I1503" s="489">
        <f>H1503+F1503</f>
        <v>17017</v>
      </c>
      <c r="J1503" s="489"/>
    </row>
    <row r="1504" spans="1:10">
      <c r="A1504" s="537"/>
      <c r="B1504" s="938" t="s">
        <v>539</v>
      </c>
      <c r="C1504" s="506">
        <v>1</v>
      </c>
      <c r="D1504" s="499" t="s">
        <v>508</v>
      </c>
      <c r="E1504" s="489">
        <f>FLOOR(SUM(F1501)*0.1,10)</f>
        <v>4360</v>
      </c>
      <c r="F1504" s="489">
        <f>E1504*C1504</f>
        <v>4360</v>
      </c>
      <c r="G1504" s="489">
        <f>E1504*0.3</f>
        <v>1308</v>
      </c>
      <c r="H1504" s="489">
        <f>G1504*C1504</f>
        <v>1308</v>
      </c>
      <c r="I1504" s="489">
        <f>H1504+F1504</f>
        <v>5668</v>
      </c>
      <c r="J1504" s="489"/>
    </row>
    <row r="1505" spans="1:10">
      <c r="A1505" s="496" t="s">
        <v>1208</v>
      </c>
      <c r="B1505" s="547" t="s">
        <v>543</v>
      </c>
      <c r="C1505" s="506"/>
      <c r="D1505" s="499"/>
      <c r="E1505" s="489"/>
      <c r="F1505" s="489"/>
      <c r="G1505" s="507"/>
      <c r="H1505" s="490"/>
      <c r="I1505" s="490"/>
      <c r="J1505" s="489"/>
    </row>
    <row r="1506" spans="1:10">
      <c r="A1506" s="548"/>
      <c r="B1506" s="938" t="s">
        <v>545</v>
      </c>
      <c r="C1506" s="506">
        <v>3</v>
      </c>
      <c r="D1506" s="499" t="s">
        <v>546</v>
      </c>
      <c r="E1506" s="489">
        <v>14000</v>
      </c>
      <c r="F1506" s="489">
        <f>C1506*E1506</f>
        <v>42000</v>
      </c>
      <c r="G1506" s="507">
        <v>1000</v>
      </c>
      <c r="H1506" s="490">
        <f>C1506*G1506</f>
        <v>3000</v>
      </c>
      <c r="I1506" s="490">
        <f>F1506+H1506</f>
        <v>45000</v>
      </c>
      <c r="J1506" s="489"/>
    </row>
    <row r="1507" spans="1:10">
      <c r="A1507" s="548"/>
      <c r="B1507" s="938" t="s">
        <v>548</v>
      </c>
      <c r="C1507" s="506">
        <v>1</v>
      </c>
      <c r="D1507" s="499" t="s">
        <v>546</v>
      </c>
      <c r="E1507" s="489">
        <v>5800</v>
      </c>
      <c r="F1507" s="489">
        <f>C1507*E1507</f>
        <v>5800</v>
      </c>
      <c r="G1507" s="507">
        <v>100</v>
      </c>
      <c r="H1507" s="490">
        <f>C1507*G1507</f>
        <v>100</v>
      </c>
      <c r="I1507" s="490">
        <f t="shared" ref="I1507:I1522" si="118">F1507+H1507</f>
        <v>5900</v>
      </c>
      <c r="J1507" s="489"/>
    </row>
    <row r="1508" spans="1:10">
      <c r="A1508" s="548"/>
      <c r="B1508" s="938" t="s">
        <v>550</v>
      </c>
      <c r="C1508" s="506">
        <v>3</v>
      </c>
      <c r="D1508" s="499" t="s">
        <v>546</v>
      </c>
      <c r="E1508" s="489">
        <v>900</v>
      </c>
      <c r="F1508" s="489">
        <f>C1508*E1508</f>
        <v>2700</v>
      </c>
      <c r="G1508" s="507">
        <v>100</v>
      </c>
      <c r="H1508" s="490">
        <f>C1508*G1508</f>
        <v>300</v>
      </c>
      <c r="I1508" s="490">
        <f t="shared" si="118"/>
        <v>3000</v>
      </c>
      <c r="J1508" s="489"/>
    </row>
    <row r="1509" spans="1:10">
      <c r="A1509" s="548"/>
      <c r="B1509" s="938" t="s">
        <v>552</v>
      </c>
      <c r="C1509" s="506">
        <v>4</v>
      </c>
      <c r="D1509" s="499" t="s">
        <v>546</v>
      </c>
      <c r="E1509" s="489">
        <v>855</v>
      </c>
      <c r="F1509" s="489">
        <f>C1509*E1509</f>
        <v>3420</v>
      </c>
      <c r="G1509" s="507">
        <v>80</v>
      </c>
      <c r="H1509" s="490">
        <f>C1509*G1509</f>
        <v>320</v>
      </c>
      <c r="I1509" s="490">
        <f t="shared" si="118"/>
        <v>3740</v>
      </c>
      <c r="J1509" s="489"/>
    </row>
    <row r="1510" spans="1:10">
      <c r="A1510" s="548"/>
      <c r="B1510" s="938" t="s">
        <v>553</v>
      </c>
      <c r="C1510" s="506"/>
      <c r="D1510" s="499"/>
      <c r="E1510" s="489"/>
      <c r="F1510" s="489"/>
      <c r="G1510" s="507"/>
      <c r="H1510" s="490"/>
      <c r="I1510" s="490"/>
      <c r="J1510" s="489"/>
    </row>
    <row r="1511" spans="1:10">
      <c r="A1511" s="548"/>
      <c r="B1511" s="549" t="s">
        <v>554</v>
      </c>
      <c r="C1511" s="506">
        <v>560</v>
      </c>
      <c r="D1511" s="499" t="s">
        <v>555</v>
      </c>
      <c r="E1511" s="489">
        <v>79</v>
      </c>
      <c r="F1511" s="489">
        <f t="shared" ref="F1511:F1517" si="119">C1511*E1511</f>
        <v>44240</v>
      </c>
      <c r="G1511" s="507">
        <v>60</v>
      </c>
      <c r="H1511" s="490">
        <f t="shared" ref="H1511:H1517" si="120">C1511*G1511</f>
        <v>33600</v>
      </c>
      <c r="I1511" s="490">
        <f t="shared" si="118"/>
        <v>77840</v>
      </c>
      <c r="J1511" s="489"/>
    </row>
    <row r="1512" spans="1:10">
      <c r="A1512" s="548"/>
      <c r="B1512" s="549" t="s">
        <v>556</v>
      </c>
      <c r="C1512" s="506">
        <v>10</v>
      </c>
      <c r="D1512" s="499" t="s">
        <v>555</v>
      </c>
      <c r="E1512" s="489">
        <v>108</v>
      </c>
      <c r="F1512" s="489">
        <f t="shared" si="119"/>
        <v>1080</v>
      </c>
      <c r="G1512" s="507">
        <v>80</v>
      </c>
      <c r="H1512" s="490">
        <f t="shared" si="120"/>
        <v>800</v>
      </c>
      <c r="I1512" s="490">
        <f t="shared" si="118"/>
        <v>1880</v>
      </c>
      <c r="J1512" s="489"/>
    </row>
    <row r="1513" spans="1:10">
      <c r="A1513" s="548"/>
      <c r="B1513" s="549" t="s">
        <v>557</v>
      </c>
      <c r="C1513" s="506">
        <v>85</v>
      </c>
      <c r="D1513" s="499" t="s">
        <v>555</v>
      </c>
      <c r="E1513" s="489">
        <v>125</v>
      </c>
      <c r="F1513" s="489">
        <f t="shared" si="119"/>
        <v>10625</v>
      </c>
      <c r="G1513" s="507">
        <v>90</v>
      </c>
      <c r="H1513" s="490">
        <f t="shared" si="120"/>
        <v>7650</v>
      </c>
      <c r="I1513" s="490">
        <f t="shared" si="118"/>
        <v>18275</v>
      </c>
      <c r="J1513" s="489"/>
    </row>
    <row r="1514" spans="1:10">
      <c r="A1514" s="548"/>
      <c r="B1514" s="549" t="s">
        <v>558</v>
      </c>
      <c r="C1514" s="506">
        <v>33</v>
      </c>
      <c r="D1514" s="499" t="s">
        <v>555</v>
      </c>
      <c r="E1514" s="489">
        <v>170</v>
      </c>
      <c r="F1514" s="489">
        <f t="shared" si="119"/>
        <v>5610</v>
      </c>
      <c r="G1514" s="507">
        <v>120</v>
      </c>
      <c r="H1514" s="490">
        <f t="shared" si="120"/>
        <v>3960</v>
      </c>
      <c r="I1514" s="490">
        <f t="shared" si="118"/>
        <v>9570</v>
      </c>
      <c r="J1514" s="489"/>
    </row>
    <row r="1515" spans="1:10">
      <c r="A1515" s="548"/>
      <c r="B1515" s="549" t="s">
        <v>559</v>
      </c>
      <c r="C1515" s="506">
        <v>65</v>
      </c>
      <c r="D1515" s="499" t="s">
        <v>555</v>
      </c>
      <c r="E1515" s="489">
        <v>270</v>
      </c>
      <c r="F1515" s="489">
        <f t="shared" si="119"/>
        <v>17550</v>
      </c>
      <c r="G1515" s="507">
        <v>200</v>
      </c>
      <c r="H1515" s="490">
        <f t="shared" si="120"/>
        <v>13000</v>
      </c>
      <c r="I1515" s="490">
        <f t="shared" si="118"/>
        <v>30550</v>
      </c>
      <c r="J1515" s="489"/>
    </row>
    <row r="1516" spans="1:10">
      <c r="A1516" s="548"/>
      <c r="B1516" s="549" t="s">
        <v>560</v>
      </c>
      <c r="C1516" s="506">
        <v>75</v>
      </c>
      <c r="D1516" s="499" t="s">
        <v>555</v>
      </c>
      <c r="E1516" s="489">
        <v>349</v>
      </c>
      <c r="F1516" s="489">
        <f t="shared" si="119"/>
        <v>26175</v>
      </c>
      <c r="G1516" s="507">
        <v>260</v>
      </c>
      <c r="H1516" s="490">
        <f t="shared" si="120"/>
        <v>19500</v>
      </c>
      <c r="I1516" s="490">
        <f t="shared" si="118"/>
        <v>45675</v>
      </c>
      <c r="J1516" s="489"/>
    </row>
    <row r="1517" spans="1:10">
      <c r="A1517" s="548"/>
      <c r="B1517" s="549" t="s">
        <v>561</v>
      </c>
      <c r="C1517" s="506">
        <v>95</v>
      </c>
      <c r="D1517" s="499" t="s">
        <v>555</v>
      </c>
      <c r="E1517" s="489">
        <v>523</v>
      </c>
      <c r="F1517" s="489">
        <f t="shared" si="119"/>
        <v>49685</v>
      </c>
      <c r="G1517" s="507">
        <v>375</v>
      </c>
      <c r="H1517" s="490">
        <f t="shared" si="120"/>
        <v>35625</v>
      </c>
      <c r="I1517" s="490">
        <f t="shared" si="118"/>
        <v>85310</v>
      </c>
      <c r="J1517" s="489"/>
    </row>
    <row r="1518" spans="1:10">
      <c r="A1518" s="548"/>
      <c r="B1518" s="938" t="s">
        <v>507</v>
      </c>
      <c r="C1518" s="506">
        <v>1</v>
      </c>
      <c r="D1518" s="499" t="s">
        <v>508</v>
      </c>
      <c r="E1518" s="489">
        <f>FLOOR(SUM(F1511:F1517)*0.5,1)</f>
        <v>77482</v>
      </c>
      <c r="F1518" s="489">
        <f>E1518*C1518</f>
        <v>77482</v>
      </c>
      <c r="G1518" s="489">
        <f>E1518*0.3</f>
        <v>23244.6</v>
      </c>
      <c r="H1518" s="489">
        <f>G1518*C1518</f>
        <v>23244.6</v>
      </c>
      <c r="I1518" s="490">
        <f t="shared" si="118"/>
        <v>100726.6</v>
      </c>
      <c r="J1518" s="489"/>
    </row>
    <row r="1519" spans="1:10">
      <c r="A1519" s="548"/>
      <c r="B1519" s="938" t="s">
        <v>509</v>
      </c>
      <c r="C1519" s="506">
        <v>1</v>
      </c>
      <c r="D1519" s="499" t="s">
        <v>508</v>
      </c>
      <c r="E1519" s="489">
        <f>FLOOR(SUM(F1511:F1517)*0.2,1)</f>
        <v>30993</v>
      </c>
      <c r="F1519" s="489">
        <f>E1519*C1519</f>
        <v>30993</v>
      </c>
      <c r="G1519" s="489">
        <f>E1519*0.3</f>
        <v>9297.9</v>
      </c>
      <c r="H1519" s="489">
        <f>G1519*C1519</f>
        <v>9297.9</v>
      </c>
      <c r="I1519" s="490">
        <f t="shared" si="118"/>
        <v>40290.9</v>
      </c>
      <c r="J1519" s="489"/>
    </row>
    <row r="1520" spans="1:10">
      <c r="A1520" s="548"/>
      <c r="B1520" s="938" t="s">
        <v>510</v>
      </c>
      <c r="C1520" s="506">
        <v>1</v>
      </c>
      <c r="D1520" s="943" t="s">
        <v>508</v>
      </c>
      <c r="E1520" s="940">
        <f>ROUNDDOWN(SUM(F1511:F1517)*10%,0)</f>
        <v>15496</v>
      </c>
      <c r="F1520" s="940">
        <f>C1520*E1520</f>
        <v>15496</v>
      </c>
      <c r="G1520" s="940">
        <f>ROUNDDOWN(E1520*0.3,0)</f>
        <v>4648</v>
      </c>
      <c r="H1520" s="940">
        <f>C1520*G1520</f>
        <v>4648</v>
      </c>
      <c r="I1520" s="490">
        <f t="shared" si="118"/>
        <v>20144</v>
      </c>
      <c r="J1520" s="489"/>
    </row>
    <row r="1521" spans="1:10">
      <c r="A1521" s="548"/>
      <c r="B1521" s="549" t="s">
        <v>563</v>
      </c>
      <c r="C1521" s="506"/>
      <c r="D1521" s="499"/>
      <c r="E1521" s="489"/>
      <c r="F1521" s="489"/>
      <c r="G1521" s="507"/>
      <c r="H1521" s="490"/>
      <c r="I1521" s="490"/>
      <c r="J1521" s="489"/>
    </row>
    <row r="1522" spans="1:10">
      <c r="A1522" s="548"/>
      <c r="B1522" s="549" t="s">
        <v>564</v>
      </c>
      <c r="C1522" s="506">
        <v>167</v>
      </c>
      <c r="D1522" s="499" t="s">
        <v>565</v>
      </c>
      <c r="E1522" s="489">
        <v>580</v>
      </c>
      <c r="F1522" s="489">
        <f>C1522*E1522</f>
        <v>96860</v>
      </c>
      <c r="G1522" s="507">
        <v>50</v>
      </c>
      <c r="H1522" s="490">
        <f>C1522*G1522</f>
        <v>8350</v>
      </c>
      <c r="I1522" s="490">
        <f t="shared" si="118"/>
        <v>105210</v>
      </c>
      <c r="J1522" s="489"/>
    </row>
    <row r="1523" spans="1:10">
      <c r="A1523" s="548"/>
      <c r="B1523" s="549" t="s">
        <v>593</v>
      </c>
      <c r="C1523" s="506"/>
      <c r="D1523" s="499"/>
      <c r="E1523" s="489"/>
      <c r="F1523" s="489"/>
      <c r="G1523" s="507"/>
      <c r="H1523" s="490"/>
      <c r="I1523" s="490"/>
      <c r="J1523" s="489"/>
    </row>
    <row r="1524" spans="1:10">
      <c r="A1524" s="548"/>
      <c r="B1524" s="549" t="s">
        <v>578</v>
      </c>
      <c r="C1524" s="506">
        <v>1</v>
      </c>
      <c r="D1524" s="499" t="s">
        <v>546</v>
      </c>
      <c r="E1524" s="489">
        <v>12200</v>
      </c>
      <c r="F1524" s="489">
        <f>C1524*E1524</f>
        <v>12200</v>
      </c>
      <c r="G1524" s="507">
        <v>600</v>
      </c>
      <c r="H1524" s="490">
        <f>C1524*G1524</f>
        <v>600</v>
      </c>
      <c r="I1524" s="490">
        <f>F1524+H1524</f>
        <v>12800</v>
      </c>
      <c r="J1524" s="489"/>
    </row>
    <row r="1525" spans="1:10">
      <c r="A1525" s="548"/>
      <c r="B1525" s="549" t="s">
        <v>596</v>
      </c>
      <c r="C1525" s="506"/>
      <c r="D1525" s="499"/>
      <c r="E1525" s="489"/>
      <c r="F1525" s="489"/>
      <c r="G1525" s="507"/>
      <c r="H1525" s="490"/>
      <c r="I1525" s="490"/>
      <c r="J1525" s="489"/>
    </row>
    <row r="1526" spans="1:10">
      <c r="A1526" s="548"/>
      <c r="B1526" s="549" t="s">
        <v>578</v>
      </c>
      <c r="C1526" s="506">
        <v>1</v>
      </c>
      <c r="D1526" s="499" t="s">
        <v>574</v>
      </c>
      <c r="E1526" s="489">
        <v>20000</v>
      </c>
      <c r="F1526" s="489">
        <f>C1526*E1526</f>
        <v>20000</v>
      </c>
      <c r="G1526" s="507">
        <v>500</v>
      </c>
      <c r="H1526" s="490">
        <f>C1526*G1526</f>
        <v>500</v>
      </c>
      <c r="I1526" s="490">
        <f>F1526+H1526</f>
        <v>20500</v>
      </c>
      <c r="J1526" s="489"/>
    </row>
    <row r="1527" spans="1:10">
      <c r="A1527" s="548"/>
      <c r="B1527" s="549" t="s">
        <v>597</v>
      </c>
      <c r="C1527" s="506">
        <v>1</v>
      </c>
      <c r="D1527" s="499" t="s">
        <v>574</v>
      </c>
      <c r="E1527" s="489">
        <v>9360</v>
      </c>
      <c r="F1527" s="489">
        <f>C1527*E1527</f>
        <v>9360</v>
      </c>
      <c r="G1527" s="507">
        <v>150</v>
      </c>
      <c r="H1527" s="490">
        <f>C1527*G1527</f>
        <v>150</v>
      </c>
      <c r="I1527" s="490">
        <f>F1527+H1527</f>
        <v>9510</v>
      </c>
      <c r="J1527" s="489"/>
    </row>
    <row r="1528" spans="1:10">
      <c r="A1528" s="548"/>
      <c r="B1528" s="549" t="s">
        <v>598</v>
      </c>
      <c r="C1528" s="506"/>
      <c r="D1528" s="499"/>
      <c r="E1528" s="489"/>
      <c r="F1528" s="489"/>
      <c r="G1528" s="507"/>
      <c r="H1528" s="490"/>
      <c r="I1528" s="490"/>
      <c r="J1528" s="489"/>
    </row>
    <row r="1529" spans="1:10">
      <c r="A1529" s="548"/>
      <c r="B1529" s="549" t="s">
        <v>554</v>
      </c>
      <c r="C1529" s="506">
        <v>2</v>
      </c>
      <c r="D1529" s="499" t="s">
        <v>574</v>
      </c>
      <c r="E1529" s="489">
        <v>11400</v>
      </c>
      <c r="F1529" s="489">
        <f>C1529*E1529</f>
        <v>22800</v>
      </c>
      <c r="G1529" s="507">
        <v>300</v>
      </c>
      <c r="H1529" s="490">
        <f>C1529*G1529</f>
        <v>600</v>
      </c>
      <c r="I1529" s="490">
        <f>F1529+H1529</f>
        <v>23400</v>
      </c>
      <c r="J1529" s="489"/>
    </row>
    <row r="1530" spans="1:10">
      <c r="A1530" s="548"/>
      <c r="B1530" s="549" t="s">
        <v>600</v>
      </c>
      <c r="C1530" s="506"/>
      <c r="D1530" s="499"/>
      <c r="E1530" s="489"/>
      <c r="F1530" s="489"/>
      <c r="G1530" s="507"/>
      <c r="H1530" s="490"/>
      <c r="I1530" s="490"/>
      <c r="J1530" s="489"/>
    </row>
    <row r="1531" spans="1:10">
      <c r="A1531" s="548"/>
      <c r="B1531" s="549" t="s">
        <v>554</v>
      </c>
      <c r="C1531" s="506">
        <v>1</v>
      </c>
      <c r="D1531" s="499" t="s">
        <v>565</v>
      </c>
      <c r="E1531" s="489">
        <v>500</v>
      </c>
      <c r="F1531" s="489">
        <f>C1531*E1531</f>
        <v>500</v>
      </c>
      <c r="G1531" s="507">
        <v>200</v>
      </c>
      <c r="H1531" s="490">
        <f>C1531*G1531</f>
        <v>200</v>
      </c>
      <c r="I1531" s="490">
        <f>F1531+H1531</f>
        <v>700</v>
      </c>
      <c r="J1531" s="489"/>
    </row>
    <row r="1532" spans="1:10">
      <c r="A1532" s="548"/>
      <c r="B1532" s="549"/>
      <c r="C1532" s="506"/>
      <c r="D1532" s="499"/>
      <c r="E1532" s="489"/>
      <c r="F1532" s="489"/>
      <c r="G1532" s="507"/>
      <c r="H1532" s="490"/>
      <c r="I1532" s="490"/>
      <c r="J1532" s="489"/>
    </row>
    <row r="1533" spans="1:10">
      <c r="A1533" s="537" t="s">
        <v>516</v>
      </c>
      <c r="B1533" s="937" t="s">
        <v>571</v>
      </c>
      <c r="C1533" s="506"/>
      <c r="D1533" s="499"/>
      <c r="E1533" s="489"/>
      <c r="F1533" s="489"/>
      <c r="G1533" s="507"/>
      <c r="H1533" s="490"/>
      <c r="I1533" s="490"/>
      <c r="J1533" s="489"/>
    </row>
    <row r="1534" spans="1:10">
      <c r="A1534" s="537" t="s">
        <v>1209</v>
      </c>
      <c r="B1534" s="538" t="s">
        <v>496</v>
      </c>
      <c r="C1534" s="506"/>
      <c r="D1534" s="499"/>
      <c r="E1534" s="489"/>
      <c r="F1534" s="489"/>
      <c r="G1534" s="507"/>
      <c r="H1534" s="490"/>
      <c r="I1534" s="490"/>
      <c r="J1534" s="489"/>
    </row>
    <row r="1535" spans="1:10">
      <c r="A1535" s="539"/>
      <c r="B1535" s="540" t="s">
        <v>498</v>
      </c>
      <c r="C1535" s="506"/>
      <c r="D1535" s="499"/>
      <c r="E1535" s="489"/>
      <c r="F1535" s="489"/>
      <c r="G1535" s="507"/>
      <c r="H1535" s="490"/>
      <c r="I1535" s="490"/>
      <c r="J1535" s="489"/>
    </row>
    <row r="1536" spans="1:10">
      <c r="A1536" s="539"/>
      <c r="B1536" s="540" t="s">
        <v>499</v>
      </c>
      <c r="C1536" s="506">
        <v>120</v>
      </c>
      <c r="D1536" s="499" t="s">
        <v>14</v>
      </c>
      <c r="E1536" s="940">
        <v>35</v>
      </c>
      <c r="F1536" s="940">
        <f>C1536*E1536</f>
        <v>4200</v>
      </c>
      <c r="G1536" s="940">
        <v>30</v>
      </c>
      <c r="H1536" s="940">
        <f t="shared" ref="H1536:H1546" si="121">C1536*G1536</f>
        <v>3600</v>
      </c>
      <c r="I1536" s="940">
        <f>F1536+H1536</f>
        <v>7800</v>
      </c>
      <c r="J1536" s="489"/>
    </row>
    <row r="1537" spans="1:10">
      <c r="A1537" s="539"/>
      <c r="B1537" s="540" t="s">
        <v>500</v>
      </c>
      <c r="C1537" s="506">
        <v>100</v>
      </c>
      <c r="D1537" s="499" t="s">
        <v>14</v>
      </c>
      <c r="E1537" s="940">
        <v>46</v>
      </c>
      <c r="F1537" s="940">
        <f>C1537*E1537</f>
        <v>4600</v>
      </c>
      <c r="G1537" s="940">
        <v>30</v>
      </c>
      <c r="H1537" s="940">
        <f t="shared" si="121"/>
        <v>3000</v>
      </c>
      <c r="I1537" s="940">
        <f>F1537+H1537</f>
        <v>7600</v>
      </c>
      <c r="J1537" s="489"/>
    </row>
    <row r="1538" spans="1:10">
      <c r="A1538" s="539"/>
      <c r="B1538" s="540" t="s">
        <v>501</v>
      </c>
      <c r="C1538" s="506">
        <v>100</v>
      </c>
      <c r="D1538" s="499" t="s">
        <v>14</v>
      </c>
      <c r="E1538" s="940">
        <v>76</v>
      </c>
      <c r="F1538" s="940">
        <f t="shared" ref="F1538:F1544" si="122">C1538*E1538</f>
        <v>7600</v>
      </c>
      <c r="G1538" s="940">
        <v>30</v>
      </c>
      <c r="H1538" s="940">
        <f t="shared" si="121"/>
        <v>3000</v>
      </c>
      <c r="I1538" s="940">
        <f t="shared" ref="I1538:I1546" si="123">F1538+H1538</f>
        <v>10600</v>
      </c>
      <c r="J1538" s="489"/>
    </row>
    <row r="1539" spans="1:10">
      <c r="A1539" s="539"/>
      <c r="B1539" s="540" t="s">
        <v>502</v>
      </c>
      <c r="C1539" s="506">
        <v>80</v>
      </c>
      <c r="D1539" s="499" t="s">
        <v>14</v>
      </c>
      <c r="E1539" s="940">
        <v>180</v>
      </c>
      <c r="F1539" s="940">
        <f t="shared" si="122"/>
        <v>14400</v>
      </c>
      <c r="G1539" s="940">
        <v>50</v>
      </c>
      <c r="H1539" s="940">
        <f t="shared" si="121"/>
        <v>4000</v>
      </c>
      <c r="I1539" s="940">
        <f t="shared" si="123"/>
        <v>18400</v>
      </c>
      <c r="J1539" s="489"/>
    </row>
    <row r="1540" spans="1:10">
      <c r="A1540" s="539"/>
      <c r="B1540" s="540" t="s">
        <v>503</v>
      </c>
      <c r="C1540" s="506">
        <v>60</v>
      </c>
      <c r="D1540" s="499" t="s">
        <v>14</v>
      </c>
      <c r="E1540" s="940">
        <v>287</v>
      </c>
      <c r="F1540" s="940">
        <f t="shared" si="122"/>
        <v>17220</v>
      </c>
      <c r="G1540" s="940">
        <v>75</v>
      </c>
      <c r="H1540" s="940">
        <f t="shared" si="121"/>
        <v>4500</v>
      </c>
      <c r="I1540" s="940">
        <f t="shared" si="123"/>
        <v>21720</v>
      </c>
      <c r="J1540" s="489"/>
    </row>
    <row r="1541" spans="1:10">
      <c r="A1541" s="539"/>
      <c r="B1541" s="540" t="s">
        <v>504</v>
      </c>
      <c r="C1541" s="506">
        <v>50</v>
      </c>
      <c r="D1541" s="499" t="s">
        <v>14</v>
      </c>
      <c r="E1541" s="940">
        <v>402</v>
      </c>
      <c r="F1541" s="940">
        <f t="shared" si="122"/>
        <v>20100</v>
      </c>
      <c r="G1541" s="940">
        <v>100</v>
      </c>
      <c r="H1541" s="940">
        <f t="shared" si="121"/>
        <v>5000</v>
      </c>
      <c r="I1541" s="940">
        <f t="shared" si="123"/>
        <v>25100</v>
      </c>
      <c r="J1541" s="489"/>
    </row>
    <row r="1542" spans="1:10">
      <c r="A1542" s="539"/>
      <c r="B1542" s="540" t="s">
        <v>505</v>
      </c>
      <c r="C1542" s="506">
        <v>80</v>
      </c>
      <c r="D1542" s="499" t="s">
        <v>14</v>
      </c>
      <c r="E1542" s="940">
        <v>562</v>
      </c>
      <c r="F1542" s="940">
        <f t="shared" si="122"/>
        <v>44960</v>
      </c>
      <c r="G1542" s="940">
        <v>120</v>
      </c>
      <c r="H1542" s="940">
        <f t="shared" si="121"/>
        <v>9600</v>
      </c>
      <c r="I1542" s="940">
        <f t="shared" si="123"/>
        <v>54560</v>
      </c>
      <c r="J1542" s="489"/>
    </row>
    <row r="1543" spans="1:10">
      <c r="A1543" s="539"/>
      <c r="B1543" s="540" t="s">
        <v>506</v>
      </c>
      <c r="C1543" s="939">
        <v>50</v>
      </c>
      <c r="D1543" s="499" t="s">
        <v>14</v>
      </c>
      <c r="E1543" s="940">
        <v>834</v>
      </c>
      <c r="F1543" s="940">
        <f t="shared" si="122"/>
        <v>41700</v>
      </c>
      <c r="G1543" s="940">
        <v>150</v>
      </c>
      <c r="H1543" s="940">
        <f t="shared" si="121"/>
        <v>7500</v>
      </c>
      <c r="I1543" s="940">
        <f t="shared" si="123"/>
        <v>49200</v>
      </c>
      <c r="J1543" s="489"/>
    </row>
    <row r="1544" spans="1:10">
      <c r="A1544" s="539"/>
      <c r="B1544" s="938" t="s">
        <v>507</v>
      </c>
      <c r="C1544" s="941">
        <v>1</v>
      </c>
      <c r="D1544" s="942" t="s">
        <v>508</v>
      </c>
      <c r="E1544" s="940">
        <f>ROUNDDOWN(SUM(F1536:F1543)*35%,0)</f>
        <v>54173</v>
      </c>
      <c r="F1544" s="940">
        <f t="shared" si="122"/>
        <v>54173</v>
      </c>
      <c r="G1544" s="940">
        <f>ROUNDDOWN(E1544*0.2,0)</f>
        <v>10834</v>
      </c>
      <c r="H1544" s="940">
        <f t="shared" si="121"/>
        <v>10834</v>
      </c>
      <c r="I1544" s="940">
        <f t="shared" si="123"/>
        <v>65007</v>
      </c>
      <c r="J1544" s="489"/>
    </row>
    <row r="1545" spans="1:10">
      <c r="A1545" s="539"/>
      <c r="B1545" s="938" t="s">
        <v>509</v>
      </c>
      <c r="C1545" s="941">
        <v>1</v>
      </c>
      <c r="D1545" s="942" t="s">
        <v>508</v>
      </c>
      <c r="E1545" s="940">
        <f>ROUNDDOWN(SUM(F1536:F1543)*20%,0)</f>
        <v>30956</v>
      </c>
      <c r="F1545" s="940">
        <f>C1545*E1545</f>
        <v>30956</v>
      </c>
      <c r="G1545" s="940">
        <f>ROUNDDOWN(E1545*0.2,0)</f>
        <v>6191</v>
      </c>
      <c r="H1545" s="940">
        <f t="shared" si="121"/>
        <v>6191</v>
      </c>
      <c r="I1545" s="940">
        <f t="shared" si="123"/>
        <v>37147</v>
      </c>
      <c r="J1545" s="489"/>
    </row>
    <row r="1546" spans="1:10">
      <c r="A1546" s="539"/>
      <c r="B1546" s="938" t="s">
        <v>510</v>
      </c>
      <c r="C1546" s="941">
        <v>1</v>
      </c>
      <c r="D1546" s="943" t="s">
        <v>508</v>
      </c>
      <c r="E1546" s="940">
        <f>ROUNDDOWN(SUM(F1536:F1543)*10%,0)</f>
        <v>15478</v>
      </c>
      <c r="F1546" s="940">
        <f>C1546*E1546</f>
        <v>15478</v>
      </c>
      <c r="G1546" s="940">
        <f>ROUNDDOWN(E1546*0.3,0)</f>
        <v>4643</v>
      </c>
      <c r="H1546" s="940">
        <f t="shared" si="121"/>
        <v>4643</v>
      </c>
      <c r="I1546" s="940">
        <f t="shared" si="123"/>
        <v>20121</v>
      </c>
      <c r="J1546" s="489"/>
    </row>
    <row r="1547" spans="1:10">
      <c r="A1547" s="539"/>
      <c r="B1547" s="944" t="s">
        <v>512</v>
      </c>
      <c r="C1547" s="945"/>
      <c r="D1547" s="541"/>
      <c r="E1547" s="946"/>
      <c r="F1547" s="946"/>
      <c r="G1547" s="542"/>
      <c r="H1547" s="543"/>
      <c r="I1547" s="543"/>
      <c r="J1547" s="489"/>
    </row>
    <row r="1548" spans="1:10">
      <c r="A1548" s="539"/>
      <c r="B1548" s="540" t="s">
        <v>513</v>
      </c>
      <c r="C1548" s="506">
        <v>2</v>
      </c>
      <c r="D1548" s="544" t="s">
        <v>15</v>
      </c>
      <c r="E1548" s="940">
        <v>2674</v>
      </c>
      <c r="F1548" s="940">
        <f>C1548*E1548</f>
        <v>5348</v>
      </c>
      <c r="G1548" s="940">
        <v>500</v>
      </c>
      <c r="H1548" s="490">
        <f>C1548*G1548</f>
        <v>1000</v>
      </c>
      <c r="I1548" s="490">
        <f>F1548+H1548</f>
        <v>6348</v>
      </c>
      <c r="J1548" s="940"/>
    </row>
    <row r="1549" spans="1:10">
      <c r="A1549" s="539"/>
      <c r="B1549" s="540" t="s">
        <v>514</v>
      </c>
      <c r="C1549" s="506">
        <v>2</v>
      </c>
      <c r="D1549" s="544" t="s">
        <v>15</v>
      </c>
      <c r="E1549" s="940">
        <v>3677</v>
      </c>
      <c r="F1549" s="940">
        <f>C1549*E1549</f>
        <v>7354</v>
      </c>
      <c r="G1549" s="940">
        <v>600</v>
      </c>
      <c r="H1549" s="490">
        <f>C1549*G1549</f>
        <v>1200</v>
      </c>
      <c r="I1549" s="490">
        <f>F1549+H1549</f>
        <v>8554</v>
      </c>
      <c r="J1549" s="940"/>
    </row>
    <row r="1550" spans="1:10">
      <c r="A1550" s="539"/>
      <c r="B1550" s="540" t="s">
        <v>515</v>
      </c>
      <c r="C1550" s="506">
        <v>5</v>
      </c>
      <c r="D1550" s="544" t="s">
        <v>15</v>
      </c>
      <c r="E1550" s="940">
        <v>7070</v>
      </c>
      <c r="F1550" s="940">
        <f>C1550*E1550</f>
        <v>35350</v>
      </c>
      <c r="G1550" s="940">
        <v>800</v>
      </c>
      <c r="H1550" s="490">
        <f>C1550*G1550</f>
        <v>4000</v>
      </c>
      <c r="I1550" s="490">
        <f>F1550+H1550</f>
        <v>39350</v>
      </c>
      <c r="J1550" s="940"/>
    </row>
    <row r="1551" spans="1:10">
      <c r="A1551" s="539"/>
      <c r="B1551" s="938" t="s">
        <v>517</v>
      </c>
      <c r="C1551" s="506"/>
      <c r="D1551" s="942"/>
      <c r="E1551" s="946"/>
      <c r="F1551" s="946"/>
      <c r="G1551" s="946"/>
      <c r="H1551" s="490"/>
      <c r="I1551" s="490"/>
      <c r="J1551" s="489"/>
    </row>
    <row r="1552" spans="1:10">
      <c r="A1552" s="539"/>
      <c r="B1552" s="540" t="s">
        <v>499</v>
      </c>
      <c r="C1552" s="506">
        <v>60</v>
      </c>
      <c r="D1552" s="544" t="s">
        <v>15</v>
      </c>
      <c r="E1552" s="489">
        <v>169</v>
      </c>
      <c r="F1552" s="489">
        <f>E1552*C1552</f>
        <v>10140</v>
      </c>
      <c r="G1552" s="489">
        <v>50</v>
      </c>
      <c r="H1552" s="489">
        <f>G1552*C1552</f>
        <v>3000</v>
      </c>
      <c r="I1552" s="489">
        <f>H1552+F1552</f>
        <v>13140</v>
      </c>
      <c r="J1552" s="489"/>
    </row>
    <row r="1553" spans="1:10">
      <c r="A1553" s="545" t="s">
        <v>1210</v>
      </c>
      <c r="B1553" s="546" t="s">
        <v>520</v>
      </c>
      <c r="C1553" s="506"/>
      <c r="D1553" s="499"/>
      <c r="E1553" s="489"/>
      <c r="F1553" s="489"/>
      <c r="G1553" s="507"/>
      <c r="H1553" s="490"/>
      <c r="I1553" s="490"/>
      <c r="J1553" s="489"/>
    </row>
    <row r="1554" spans="1:10">
      <c r="A1554" s="539"/>
      <c r="B1554" s="938" t="s">
        <v>522</v>
      </c>
      <c r="C1554" s="506"/>
      <c r="D1554" s="499"/>
      <c r="E1554" s="489"/>
      <c r="F1554" s="489"/>
      <c r="G1554" s="507"/>
      <c r="H1554" s="490"/>
      <c r="I1554" s="490"/>
      <c r="J1554" s="489"/>
    </row>
    <row r="1555" spans="1:10">
      <c r="A1555" s="948"/>
      <c r="B1555" s="938" t="s">
        <v>523</v>
      </c>
      <c r="C1555" s="506">
        <v>80</v>
      </c>
      <c r="D1555" s="499" t="s">
        <v>14</v>
      </c>
      <c r="E1555" s="489">
        <v>24</v>
      </c>
      <c r="F1555" s="489">
        <f>E1555*C1555</f>
        <v>1920</v>
      </c>
      <c r="G1555" s="489">
        <v>30</v>
      </c>
      <c r="H1555" s="489">
        <f>G1555*C1555</f>
        <v>2400</v>
      </c>
      <c r="I1555" s="489">
        <f>H1555+F1555</f>
        <v>4320</v>
      </c>
      <c r="J1555" s="489"/>
    </row>
    <row r="1556" spans="1:10">
      <c r="A1556" s="948"/>
      <c r="B1556" s="938" t="s">
        <v>524</v>
      </c>
      <c r="C1556" s="506">
        <v>100</v>
      </c>
      <c r="D1556" s="499" t="s">
        <v>14</v>
      </c>
      <c r="E1556" s="489">
        <v>50</v>
      </c>
      <c r="F1556" s="489">
        <f t="shared" ref="F1556:F1561" si="124">E1556*C1556</f>
        <v>5000</v>
      </c>
      <c r="G1556" s="489">
        <v>40</v>
      </c>
      <c r="H1556" s="489">
        <f t="shared" ref="H1556:H1561" si="125">G1556*C1556</f>
        <v>4000</v>
      </c>
      <c r="I1556" s="489">
        <f t="shared" ref="I1556:I1561" si="126">H1556+F1556</f>
        <v>9000</v>
      </c>
      <c r="J1556" s="489"/>
    </row>
    <row r="1557" spans="1:10">
      <c r="A1557" s="948"/>
      <c r="B1557" s="938" t="s">
        <v>525</v>
      </c>
      <c r="C1557" s="506">
        <v>85</v>
      </c>
      <c r="D1557" s="499" t="s">
        <v>14</v>
      </c>
      <c r="E1557" s="489">
        <v>109</v>
      </c>
      <c r="F1557" s="489">
        <f t="shared" si="124"/>
        <v>9265</v>
      </c>
      <c r="G1557" s="489">
        <v>75</v>
      </c>
      <c r="H1557" s="489">
        <f t="shared" si="125"/>
        <v>6375</v>
      </c>
      <c r="I1557" s="489">
        <f t="shared" si="126"/>
        <v>15640</v>
      </c>
      <c r="J1557" s="489"/>
    </row>
    <row r="1558" spans="1:10">
      <c r="A1558" s="539"/>
      <c r="B1558" s="938" t="s">
        <v>526</v>
      </c>
      <c r="C1558" s="506">
        <v>90</v>
      </c>
      <c r="D1558" s="499" t="s">
        <v>14</v>
      </c>
      <c r="E1558" s="489">
        <v>177</v>
      </c>
      <c r="F1558" s="489">
        <f t="shared" si="124"/>
        <v>15930</v>
      </c>
      <c r="G1558" s="489">
        <v>100</v>
      </c>
      <c r="H1558" s="489">
        <f t="shared" si="125"/>
        <v>9000</v>
      </c>
      <c r="I1558" s="489">
        <f t="shared" si="126"/>
        <v>24930</v>
      </c>
      <c r="J1558" s="489"/>
    </row>
    <row r="1559" spans="1:10">
      <c r="A1559" s="539"/>
      <c r="B1559" s="938" t="s">
        <v>527</v>
      </c>
      <c r="C1559" s="506">
        <v>80</v>
      </c>
      <c r="D1559" s="499" t="s">
        <v>14</v>
      </c>
      <c r="E1559" s="489">
        <v>291</v>
      </c>
      <c r="F1559" s="489">
        <f t="shared" si="124"/>
        <v>23280</v>
      </c>
      <c r="G1559" s="489">
        <v>200</v>
      </c>
      <c r="H1559" s="489">
        <f t="shared" si="125"/>
        <v>16000</v>
      </c>
      <c r="I1559" s="489">
        <f t="shared" si="126"/>
        <v>39280</v>
      </c>
      <c r="J1559" s="489"/>
    </row>
    <row r="1560" spans="1:10">
      <c r="A1560" s="539"/>
      <c r="B1560" s="938" t="s">
        <v>507</v>
      </c>
      <c r="C1560" s="506">
        <v>1</v>
      </c>
      <c r="D1560" s="499" t="s">
        <v>508</v>
      </c>
      <c r="E1560" s="489">
        <f>FLOOR(SUM(F1555:F1559)*0.4,1)</f>
        <v>22158</v>
      </c>
      <c r="F1560" s="489">
        <f t="shared" si="124"/>
        <v>22158</v>
      </c>
      <c r="G1560" s="489">
        <f>E1560*0.3</f>
        <v>6647.4</v>
      </c>
      <c r="H1560" s="489">
        <f t="shared" si="125"/>
        <v>6647.4</v>
      </c>
      <c r="I1560" s="489">
        <f t="shared" si="126"/>
        <v>28805.4</v>
      </c>
      <c r="J1560" s="489"/>
    </row>
    <row r="1561" spans="1:10">
      <c r="A1561" s="539"/>
      <c r="B1561" s="938" t="s">
        <v>509</v>
      </c>
      <c r="C1561" s="506">
        <v>1</v>
      </c>
      <c r="D1561" s="499" t="s">
        <v>508</v>
      </c>
      <c r="E1561" s="489">
        <f>FLOOR(SUM(F1555:F1559)*0.3,1)</f>
        <v>16618</v>
      </c>
      <c r="F1561" s="489">
        <f t="shared" si="124"/>
        <v>16618</v>
      </c>
      <c r="G1561" s="489">
        <f>E1561*0.3</f>
        <v>4985.3999999999996</v>
      </c>
      <c r="H1561" s="489">
        <f t="shared" si="125"/>
        <v>4985.3999999999996</v>
      </c>
      <c r="I1561" s="489">
        <f t="shared" si="126"/>
        <v>21603.4</v>
      </c>
      <c r="J1561" s="489"/>
    </row>
    <row r="1562" spans="1:10">
      <c r="A1562" s="539"/>
      <c r="B1562" s="938" t="s">
        <v>510</v>
      </c>
      <c r="C1562" s="506">
        <v>1</v>
      </c>
      <c r="D1562" s="943" t="s">
        <v>508</v>
      </c>
      <c r="E1562" s="940">
        <f>ROUNDDOWN(SUM(F1555:F1559)*10%,0)</f>
        <v>5539</v>
      </c>
      <c r="F1562" s="940">
        <f>C1562*E1562</f>
        <v>5539</v>
      </c>
      <c r="G1562" s="940">
        <f>ROUNDDOWN(E1562*0.3,0)</f>
        <v>1661</v>
      </c>
      <c r="H1562" s="940">
        <f>C1562*G1562</f>
        <v>1661</v>
      </c>
      <c r="I1562" s="940">
        <f>F1562+H1562</f>
        <v>7200</v>
      </c>
      <c r="J1562" s="489"/>
    </row>
    <row r="1563" spans="1:10">
      <c r="A1563" s="539"/>
      <c r="B1563" s="938" t="s">
        <v>529</v>
      </c>
      <c r="C1563" s="506"/>
      <c r="D1563" s="499"/>
      <c r="E1563" s="489"/>
      <c r="F1563" s="489"/>
      <c r="G1563" s="507"/>
      <c r="H1563" s="490"/>
      <c r="I1563" s="490"/>
      <c r="J1563" s="489"/>
    </row>
    <row r="1564" spans="1:10">
      <c r="A1564" s="539"/>
      <c r="B1564" s="938" t="s">
        <v>523</v>
      </c>
      <c r="C1564" s="506">
        <v>60</v>
      </c>
      <c r="D1564" s="499" t="s">
        <v>14</v>
      </c>
      <c r="E1564" s="489">
        <v>24</v>
      </c>
      <c r="F1564" s="489">
        <f>E1564*C1564</f>
        <v>1440</v>
      </c>
      <c r="G1564" s="489">
        <v>30</v>
      </c>
      <c r="H1564" s="489">
        <f>G1564*C1564</f>
        <v>1800</v>
      </c>
      <c r="I1564" s="489">
        <f>H1564+F1564</f>
        <v>3240</v>
      </c>
      <c r="J1564" s="489"/>
    </row>
    <row r="1565" spans="1:10">
      <c r="A1565" s="537"/>
      <c r="B1565" s="938" t="s">
        <v>524</v>
      </c>
      <c r="C1565" s="506">
        <v>50</v>
      </c>
      <c r="D1565" s="499" t="s">
        <v>14</v>
      </c>
      <c r="E1565" s="489">
        <v>84</v>
      </c>
      <c r="F1565" s="489">
        <f>E1565*C1565</f>
        <v>4200</v>
      </c>
      <c r="G1565" s="489">
        <v>75</v>
      </c>
      <c r="H1565" s="489">
        <f>G1565*C1565</f>
        <v>3750</v>
      </c>
      <c r="I1565" s="489">
        <f>H1565+F1565</f>
        <v>7950</v>
      </c>
      <c r="J1565" s="489"/>
    </row>
    <row r="1566" spans="1:10">
      <c r="A1566" s="537"/>
      <c r="B1566" s="938" t="s">
        <v>525</v>
      </c>
      <c r="C1566" s="506">
        <v>40</v>
      </c>
      <c r="D1566" s="499" t="s">
        <v>14</v>
      </c>
      <c r="E1566" s="489">
        <f>FLOOR(SUM(F1564:F1565)*0.4,1)</f>
        <v>2256</v>
      </c>
      <c r="F1566" s="489">
        <f>E1566*C1566</f>
        <v>90240</v>
      </c>
      <c r="G1566" s="489">
        <f>E1566*0.3</f>
        <v>676.8</v>
      </c>
      <c r="H1566" s="489">
        <f>G1566*C1566</f>
        <v>27072</v>
      </c>
      <c r="I1566" s="489">
        <f>H1566+F1566</f>
        <v>117312</v>
      </c>
      <c r="J1566" s="489"/>
    </row>
    <row r="1567" spans="1:10">
      <c r="A1567" s="537"/>
      <c r="B1567" s="938" t="s">
        <v>507</v>
      </c>
      <c r="C1567" s="506">
        <v>1</v>
      </c>
      <c r="D1567" s="499" t="s">
        <v>508</v>
      </c>
      <c r="E1567" s="489">
        <f>FLOOR(SUM(F1564:F1566)*0.4,1)</f>
        <v>38352</v>
      </c>
      <c r="F1567" s="489">
        <f>E1567*C1567</f>
        <v>38352</v>
      </c>
      <c r="G1567" s="489">
        <f>E1567*0.3</f>
        <v>11505.6</v>
      </c>
      <c r="H1567" s="489">
        <f>G1567*C1567</f>
        <v>11505.6</v>
      </c>
      <c r="I1567" s="489">
        <f>H1567+F1567</f>
        <v>49857.599999999999</v>
      </c>
      <c r="J1567" s="489"/>
    </row>
    <row r="1568" spans="1:10">
      <c r="A1568" s="537"/>
      <c r="B1568" s="938" t="s">
        <v>509</v>
      </c>
      <c r="C1568" s="506">
        <v>1</v>
      </c>
      <c r="D1568" s="499" t="s">
        <v>508</v>
      </c>
      <c r="E1568" s="489">
        <f>FLOOR(SUM(F1564:F1566)*0.3,1)</f>
        <v>28764</v>
      </c>
      <c r="F1568" s="489">
        <f>E1568*C1568</f>
        <v>28764</v>
      </c>
      <c r="G1568" s="489">
        <f>E1568*0.3</f>
        <v>8629.1999999999989</v>
      </c>
      <c r="H1568" s="489">
        <f>G1568*C1568</f>
        <v>8629.1999999999989</v>
      </c>
      <c r="I1568" s="489">
        <f>H1568+F1568</f>
        <v>37393.199999999997</v>
      </c>
      <c r="J1568" s="489"/>
    </row>
    <row r="1569" spans="1:10">
      <c r="A1569" s="537"/>
      <c r="B1569" s="938" t="s">
        <v>510</v>
      </c>
      <c r="C1569" s="506">
        <v>1</v>
      </c>
      <c r="D1569" s="943" t="s">
        <v>508</v>
      </c>
      <c r="E1569" s="940">
        <f>ROUNDDOWN(SUM(F1564:F1566)*10%,0)</f>
        <v>9588</v>
      </c>
      <c r="F1569" s="940">
        <f>C1569*E1569</f>
        <v>9588</v>
      </c>
      <c r="G1569" s="940">
        <f>ROUNDDOWN(E1569*0.3,0)</f>
        <v>2876</v>
      </c>
      <c r="H1569" s="940">
        <f>C1569*G1569</f>
        <v>2876</v>
      </c>
      <c r="I1569" s="940">
        <f>F1569+H1569</f>
        <v>12464</v>
      </c>
      <c r="J1569" s="489"/>
    </row>
    <row r="1570" spans="1:10">
      <c r="A1570" s="539"/>
      <c r="B1570" s="938" t="s">
        <v>530</v>
      </c>
      <c r="C1570" s="506"/>
      <c r="D1570" s="499"/>
      <c r="E1570" s="489"/>
      <c r="F1570" s="489"/>
      <c r="G1570" s="489"/>
      <c r="H1570" s="489"/>
      <c r="I1570" s="489"/>
      <c r="J1570" s="489"/>
    </row>
    <row r="1571" spans="1:10">
      <c r="A1571" s="537"/>
      <c r="B1571" s="938" t="s">
        <v>524</v>
      </c>
      <c r="C1571" s="506">
        <v>10</v>
      </c>
      <c r="D1571" s="499" t="s">
        <v>15</v>
      </c>
      <c r="E1571" s="489">
        <v>710</v>
      </c>
      <c r="F1571" s="489">
        <f>C1571*E1571</f>
        <v>7100</v>
      </c>
      <c r="G1571" s="489">
        <v>200</v>
      </c>
      <c r="H1571" s="489">
        <f>C1571*G1571</f>
        <v>2000</v>
      </c>
      <c r="I1571" s="489">
        <f>F1571+H1571</f>
        <v>9100</v>
      </c>
      <c r="J1571" s="489"/>
    </row>
    <row r="1572" spans="1:10">
      <c r="A1572" s="539"/>
      <c r="B1572" s="938" t="s">
        <v>531</v>
      </c>
      <c r="C1572" s="506"/>
      <c r="D1572" s="499"/>
      <c r="E1572" s="489"/>
      <c r="F1572" s="489"/>
      <c r="G1572" s="489"/>
      <c r="H1572" s="489"/>
      <c r="I1572" s="489"/>
      <c r="J1572" s="489"/>
    </row>
    <row r="1573" spans="1:10">
      <c r="A1573" s="537"/>
      <c r="B1573" s="938" t="s">
        <v>524</v>
      </c>
      <c r="C1573" s="506">
        <v>2</v>
      </c>
      <c r="D1573" s="499" t="s">
        <v>15</v>
      </c>
      <c r="E1573" s="489">
        <v>600</v>
      </c>
      <c r="F1573" s="489">
        <f>C1573*E1573</f>
        <v>1200</v>
      </c>
      <c r="G1573" s="489">
        <v>200</v>
      </c>
      <c r="H1573" s="489">
        <f>C1573*G1573</f>
        <v>400</v>
      </c>
      <c r="I1573" s="489">
        <f>F1573+H1573</f>
        <v>1600</v>
      </c>
      <c r="J1573" s="489"/>
    </row>
    <row r="1574" spans="1:10">
      <c r="A1574" s="537"/>
      <c r="B1574" s="938" t="s">
        <v>525</v>
      </c>
      <c r="C1574" s="506">
        <v>5</v>
      </c>
      <c r="D1574" s="499" t="s">
        <v>15</v>
      </c>
      <c r="E1574" s="489">
        <v>680</v>
      </c>
      <c r="F1574" s="489">
        <f>C1574*E1574</f>
        <v>3400</v>
      </c>
      <c r="G1574" s="489">
        <v>300</v>
      </c>
      <c r="H1574" s="489">
        <f>C1574*G1574</f>
        <v>1500</v>
      </c>
      <c r="I1574" s="489">
        <f>F1574+H1574</f>
        <v>4900</v>
      </c>
      <c r="J1574" s="489"/>
    </row>
    <row r="1575" spans="1:10">
      <c r="A1575" s="537"/>
      <c r="B1575" s="938" t="s">
        <v>526</v>
      </c>
      <c r="C1575" s="506">
        <v>4</v>
      </c>
      <c r="D1575" s="499" t="s">
        <v>15</v>
      </c>
      <c r="E1575" s="489">
        <v>750</v>
      </c>
      <c r="F1575" s="489">
        <f>C1575*E1575</f>
        <v>3000</v>
      </c>
      <c r="G1575" s="489">
        <v>400</v>
      </c>
      <c r="H1575" s="489">
        <f>C1575*G1575</f>
        <v>1600</v>
      </c>
      <c r="I1575" s="489">
        <f>F1575+H1575</f>
        <v>4600</v>
      </c>
      <c r="J1575" s="489"/>
    </row>
    <row r="1576" spans="1:10">
      <c r="A1576" s="539"/>
      <c r="B1576" s="938" t="s">
        <v>535</v>
      </c>
      <c r="C1576" s="506">
        <v>1</v>
      </c>
      <c r="D1576" s="499" t="s">
        <v>508</v>
      </c>
      <c r="E1576" s="489">
        <f>FLOOR((SUM(F1556:F1559))*0.1,1)</f>
        <v>5347</v>
      </c>
      <c r="F1576" s="489">
        <f>E1576*C1576</f>
        <v>5347</v>
      </c>
      <c r="G1576" s="489">
        <f>E1576*0.3</f>
        <v>1604.1</v>
      </c>
      <c r="H1576" s="489">
        <f>G1576*C1576</f>
        <v>1604.1</v>
      </c>
      <c r="I1576" s="489">
        <f>F1576+H1576</f>
        <v>6951.1</v>
      </c>
      <c r="J1576" s="489"/>
    </row>
    <row r="1577" spans="1:10">
      <c r="A1577" s="496" t="s">
        <v>1211</v>
      </c>
      <c r="B1577" s="497" t="s">
        <v>536</v>
      </c>
      <c r="C1577" s="506"/>
      <c r="D1577" s="499"/>
      <c r="E1577" s="489"/>
      <c r="F1577" s="489"/>
      <c r="G1577" s="489"/>
      <c r="H1577" s="489"/>
      <c r="I1577" s="489"/>
      <c r="J1577" s="489"/>
    </row>
    <row r="1578" spans="1:10">
      <c r="A1578" s="539"/>
      <c r="B1578" s="549" t="s">
        <v>569</v>
      </c>
      <c r="C1578" s="506"/>
      <c r="D1578" s="499"/>
      <c r="E1578" s="489"/>
      <c r="F1578" s="940"/>
      <c r="G1578" s="507"/>
      <c r="H1578" s="940"/>
      <c r="I1578" s="940"/>
      <c r="J1578" s="489"/>
    </row>
    <row r="1579" spans="1:10">
      <c r="A1579" s="539"/>
      <c r="B1579" s="549" t="s">
        <v>570</v>
      </c>
      <c r="C1579" s="506">
        <v>28</v>
      </c>
      <c r="D1579" s="942" t="s">
        <v>565</v>
      </c>
      <c r="E1579" s="940">
        <v>865</v>
      </c>
      <c r="F1579" s="940">
        <f>C1579*E1579</f>
        <v>24220</v>
      </c>
      <c r="G1579" s="940">
        <v>600</v>
      </c>
      <c r="H1579" s="940">
        <f>C1579*G1579</f>
        <v>16800</v>
      </c>
      <c r="I1579" s="940">
        <f>F1579+H1579</f>
        <v>41020</v>
      </c>
      <c r="J1579" s="489"/>
    </row>
    <row r="1580" spans="1:10">
      <c r="A1580" s="539"/>
      <c r="B1580" s="938" t="s">
        <v>538</v>
      </c>
      <c r="C1580" s="904"/>
      <c r="D1580" s="499"/>
      <c r="E1580" s="499"/>
      <c r="F1580" s="499"/>
      <c r="G1580" s="499"/>
      <c r="H1580" s="499"/>
      <c r="I1580" s="499"/>
      <c r="J1580" s="489"/>
    </row>
    <row r="1581" spans="1:10">
      <c r="A1581" s="539"/>
      <c r="B1581" s="938" t="s">
        <v>527</v>
      </c>
      <c r="C1581" s="506">
        <v>150</v>
      </c>
      <c r="D1581" s="499" t="s">
        <v>14</v>
      </c>
      <c r="E1581" s="489">
        <v>291</v>
      </c>
      <c r="F1581" s="489">
        <f>E1581*C1581</f>
        <v>43650</v>
      </c>
      <c r="G1581" s="489">
        <v>100</v>
      </c>
      <c r="H1581" s="489">
        <f>G1581*C1581</f>
        <v>15000</v>
      </c>
      <c r="I1581" s="489">
        <f>H1581+F1581</f>
        <v>58650</v>
      </c>
      <c r="J1581" s="489"/>
    </row>
    <row r="1582" spans="1:10">
      <c r="A1582" s="539"/>
      <c r="B1582" s="938" t="s">
        <v>507</v>
      </c>
      <c r="C1582" s="506">
        <v>1</v>
      </c>
      <c r="D1582" s="499" t="s">
        <v>508</v>
      </c>
      <c r="E1582" s="489">
        <f>FLOOR(SUM(F1581)*0.4,10)</f>
        <v>17460</v>
      </c>
      <c r="F1582" s="489">
        <f>E1582*C1582</f>
        <v>17460</v>
      </c>
      <c r="G1582" s="489">
        <f>E1582*0.3</f>
        <v>5238</v>
      </c>
      <c r="H1582" s="489">
        <f>G1582*C1582</f>
        <v>5238</v>
      </c>
      <c r="I1582" s="489">
        <f>H1582+F1582</f>
        <v>22698</v>
      </c>
      <c r="J1582" s="489"/>
    </row>
    <row r="1583" spans="1:10">
      <c r="A1583" s="539"/>
      <c r="B1583" s="938" t="s">
        <v>509</v>
      </c>
      <c r="C1583" s="506">
        <v>1</v>
      </c>
      <c r="D1583" s="499" t="s">
        <v>508</v>
      </c>
      <c r="E1583" s="489">
        <f>FLOOR(SUM(F1581)*0.3,10)</f>
        <v>13090</v>
      </c>
      <c r="F1583" s="489">
        <f>E1583*C1583</f>
        <v>13090</v>
      </c>
      <c r="G1583" s="489">
        <f>E1583*0.3</f>
        <v>3927</v>
      </c>
      <c r="H1583" s="489">
        <f>G1583*C1583</f>
        <v>3927</v>
      </c>
      <c r="I1583" s="489">
        <f>H1583+F1583</f>
        <v>17017</v>
      </c>
      <c r="J1583" s="489"/>
    </row>
    <row r="1584" spans="1:10">
      <c r="A1584" s="539"/>
      <c r="B1584" s="938" t="s">
        <v>539</v>
      </c>
      <c r="C1584" s="506">
        <v>1</v>
      </c>
      <c r="D1584" s="499" t="s">
        <v>508</v>
      </c>
      <c r="E1584" s="489">
        <f>FLOOR(SUM(F1581)*0.1,10)</f>
        <v>4360</v>
      </c>
      <c r="F1584" s="489">
        <f>E1584*C1584</f>
        <v>4360</v>
      </c>
      <c r="G1584" s="489">
        <f>E1584*0.3</f>
        <v>1308</v>
      </c>
      <c r="H1584" s="489">
        <f>G1584*C1584</f>
        <v>1308</v>
      </c>
      <c r="I1584" s="489">
        <f>H1584+F1584</f>
        <v>5668</v>
      </c>
      <c r="J1584" s="489"/>
    </row>
    <row r="1585" spans="1:10">
      <c r="A1585" s="496" t="s">
        <v>1212</v>
      </c>
      <c r="B1585" s="547" t="s">
        <v>543</v>
      </c>
      <c r="C1585" s="506"/>
      <c r="D1585" s="499"/>
      <c r="E1585" s="489"/>
      <c r="F1585" s="489"/>
      <c r="G1585" s="507"/>
      <c r="H1585" s="490"/>
      <c r="I1585" s="490"/>
      <c r="J1585" s="489"/>
    </row>
    <row r="1586" spans="1:10">
      <c r="A1586" s="548"/>
      <c r="B1586" s="938" t="s">
        <v>545</v>
      </c>
      <c r="C1586" s="506">
        <v>3</v>
      </c>
      <c r="D1586" s="499" t="s">
        <v>546</v>
      </c>
      <c r="E1586" s="489">
        <v>14000</v>
      </c>
      <c r="F1586" s="489">
        <f>C1586*E1586</f>
        <v>42000</v>
      </c>
      <c r="G1586" s="507">
        <v>1000</v>
      </c>
      <c r="H1586" s="490">
        <f>C1586*G1586</f>
        <v>3000</v>
      </c>
      <c r="I1586" s="490">
        <f>F1586+H1586</f>
        <v>45000</v>
      </c>
      <c r="J1586" s="489"/>
    </row>
    <row r="1587" spans="1:10">
      <c r="A1587" s="548"/>
      <c r="B1587" s="938" t="s">
        <v>548</v>
      </c>
      <c r="C1587" s="506">
        <v>1</v>
      </c>
      <c r="D1587" s="499" t="s">
        <v>546</v>
      </c>
      <c r="E1587" s="489">
        <v>5800</v>
      </c>
      <c r="F1587" s="489">
        <f>C1587*E1587</f>
        <v>5800</v>
      </c>
      <c r="G1587" s="507">
        <v>100</v>
      </c>
      <c r="H1587" s="490">
        <f>C1587*G1587</f>
        <v>100</v>
      </c>
      <c r="I1587" s="490">
        <f t="shared" ref="I1587:I1602" si="127">F1587+H1587</f>
        <v>5900</v>
      </c>
      <c r="J1587" s="489"/>
    </row>
    <row r="1588" spans="1:10">
      <c r="A1588" s="548"/>
      <c r="B1588" s="938" t="s">
        <v>550</v>
      </c>
      <c r="C1588" s="506">
        <v>3</v>
      </c>
      <c r="D1588" s="499" t="s">
        <v>546</v>
      </c>
      <c r="E1588" s="489">
        <v>900</v>
      </c>
      <c r="F1588" s="489">
        <f>C1588*E1588</f>
        <v>2700</v>
      </c>
      <c r="G1588" s="507">
        <v>100</v>
      </c>
      <c r="H1588" s="490">
        <f>C1588*G1588</f>
        <v>300</v>
      </c>
      <c r="I1588" s="490">
        <f t="shared" si="127"/>
        <v>3000</v>
      </c>
      <c r="J1588" s="489"/>
    </row>
    <row r="1589" spans="1:10">
      <c r="A1589" s="548"/>
      <c r="B1589" s="938" t="s">
        <v>552</v>
      </c>
      <c r="C1589" s="506">
        <v>4</v>
      </c>
      <c r="D1589" s="499" t="s">
        <v>546</v>
      </c>
      <c r="E1589" s="489">
        <v>855</v>
      </c>
      <c r="F1589" s="489">
        <f>C1589*E1589</f>
        <v>3420</v>
      </c>
      <c r="G1589" s="507">
        <v>80</v>
      </c>
      <c r="H1589" s="490">
        <f>C1589*G1589</f>
        <v>320</v>
      </c>
      <c r="I1589" s="490">
        <f t="shared" si="127"/>
        <v>3740</v>
      </c>
      <c r="J1589" s="489"/>
    </row>
    <row r="1590" spans="1:10">
      <c r="A1590" s="548"/>
      <c r="B1590" s="938" t="s">
        <v>553</v>
      </c>
      <c r="C1590" s="506"/>
      <c r="D1590" s="499"/>
      <c r="E1590" s="489"/>
      <c r="F1590" s="489"/>
      <c r="G1590" s="507"/>
      <c r="H1590" s="490"/>
      <c r="I1590" s="490">
        <f t="shared" si="127"/>
        <v>0</v>
      </c>
      <c r="J1590" s="489"/>
    </row>
    <row r="1591" spans="1:10">
      <c r="A1591" s="548"/>
      <c r="B1591" s="549" t="s">
        <v>554</v>
      </c>
      <c r="C1591" s="506">
        <v>560</v>
      </c>
      <c r="D1591" s="499" t="s">
        <v>555</v>
      </c>
      <c r="E1591" s="489">
        <v>79</v>
      </c>
      <c r="F1591" s="489">
        <f t="shared" ref="F1591:F1597" si="128">C1591*E1591</f>
        <v>44240</v>
      </c>
      <c r="G1591" s="507">
        <v>60</v>
      </c>
      <c r="H1591" s="490">
        <f t="shared" ref="H1591:H1597" si="129">C1591*G1591</f>
        <v>33600</v>
      </c>
      <c r="I1591" s="490">
        <f t="shared" si="127"/>
        <v>77840</v>
      </c>
      <c r="J1591" s="489"/>
    </row>
    <row r="1592" spans="1:10">
      <c r="A1592" s="548"/>
      <c r="B1592" s="549" t="s">
        <v>556</v>
      </c>
      <c r="C1592" s="506">
        <v>10</v>
      </c>
      <c r="D1592" s="499" t="s">
        <v>555</v>
      </c>
      <c r="E1592" s="489">
        <v>108</v>
      </c>
      <c r="F1592" s="489">
        <f t="shared" si="128"/>
        <v>1080</v>
      </c>
      <c r="G1592" s="507">
        <v>80</v>
      </c>
      <c r="H1592" s="490">
        <f t="shared" si="129"/>
        <v>800</v>
      </c>
      <c r="I1592" s="490">
        <f t="shared" si="127"/>
        <v>1880</v>
      </c>
      <c r="J1592" s="489"/>
    </row>
    <row r="1593" spans="1:10">
      <c r="A1593" s="548"/>
      <c r="B1593" s="549" t="s">
        <v>557</v>
      </c>
      <c r="C1593" s="506">
        <v>85</v>
      </c>
      <c r="D1593" s="499" t="s">
        <v>555</v>
      </c>
      <c r="E1593" s="489">
        <v>125</v>
      </c>
      <c r="F1593" s="489">
        <f t="shared" si="128"/>
        <v>10625</v>
      </c>
      <c r="G1593" s="507">
        <v>90</v>
      </c>
      <c r="H1593" s="490">
        <f t="shared" si="129"/>
        <v>7650</v>
      </c>
      <c r="I1593" s="490">
        <f t="shared" si="127"/>
        <v>18275</v>
      </c>
      <c r="J1593" s="489"/>
    </row>
    <row r="1594" spans="1:10">
      <c r="A1594" s="548"/>
      <c r="B1594" s="549" t="s">
        <v>558</v>
      </c>
      <c r="C1594" s="506">
        <v>33</v>
      </c>
      <c r="D1594" s="499" t="s">
        <v>555</v>
      </c>
      <c r="E1594" s="489">
        <v>170</v>
      </c>
      <c r="F1594" s="489">
        <f t="shared" si="128"/>
        <v>5610</v>
      </c>
      <c r="G1594" s="507">
        <v>120</v>
      </c>
      <c r="H1594" s="490">
        <f t="shared" si="129"/>
        <v>3960</v>
      </c>
      <c r="I1594" s="490">
        <f t="shared" si="127"/>
        <v>9570</v>
      </c>
      <c r="J1594" s="489"/>
    </row>
    <row r="1595" spans="1:10">
      <c r="A1595" s="548"/>
      <c r="B1595" s="549" t="s">
        <v>559</v>
      </c>
      <c r="C1595" s="506">
        <v>65</v>
      </c>
      <c r="D1595" s="499" t="s">
        <v>555</v>
      </c>
      <c r="E1595" s="489">
        <v>270</v>
      </c>
      <c r="F1595" s="489">
        <f t="shared" si="128"/>
        <v>17550</v>
      </c>
      <c r="G1595" s="507">
        <v>200</v>
      </c>
      <c r="H1595" s="490">
        <f t="shared" si="129"/>
        <v>13000</v>
      </c>
      <c r="I1595" s="490">
        <f t="shared" si="127"/>
        <v>30550</v>
      </c>
      <c r="J1595" s="489"/>
    </row>
    <row r="1596" spans="1:10">
      <c r="A1596" s="548"/>
      <c r="B1596" s="549" t="s">
        <v>560</v>
      </c>
      <c r="C1596" s="506">
        <v>75</v>
      </c>
      <c r="D1596" s="499" t="s">
        <v>555</v>
      </c>
      <c r="E1596" s="489">
        <v>349</v>
      </c>
      <c r="F1596" s="489">
        <f t="shared" si="128"/>
        <v>26175</v>
      </c>
      <c r="G1596" s="507">
        <v>260</v>
      </c>
      <c r="H1596" s="490">
        <f t="shared" si="129"/>
        <v>19500</v>
      </c>
      <c r="I1596" s="490">
        <f t="shared" si="127"/>
        <v>45675</v>
      </c>
      <c r="J1596" s="489"/>
    </row>
    <row r="1597" spans="1:10">
      <c r="A1597" s="548"/>
      <c r="B1597" s="549" t="s">
        <v>561</v>
      </c>
      <c r="C1597" s="506">
        <v>95</v>
      </c>
      <c r="D1597" s="499" t="s">
        <v>555</v>
      </c>
      <c r="E1597" s="489">
        <v>523</v>
      </c>
      <c r="F1597" s="489">
        <f t="shared" si="128"/>
        <v>49685</v>
      </c>
      <c r="G1597" s="507">
        <v>375</v>
      </c>
      <c r="H1597" s="490">
        <f t="shared" si="129"/>
        <v>35625</v>
      </c>
      <c r="I1597" s="490">
        <f t="shared" si="127"/>
        <v>85310</v>
      </c>
      <c r="J1597" s="489"/>
    </row>
    <row r="1598" spans="1:10">
      <c r="A1598" s="548"/>
      <c r="B1598" s="938" t="s">
        <v>507</v>
      </c>
      <c r="C1598" s="506">
        <v>1</v>
      </c>
      <c r="D1598" s="499" t="s">
        <v>508</v>
      </c>
      <c r="E1598" s="489">
        <f>FLOOR(SUM(F1591:F1597)*0.5,1)</f>
        <v>77482</v>
      </c>
      <c r="F1598" s="489">
        <f>E1598*C1598</f>
        <v>77482</v>
      </c>
      <c r="G1598" s="489">
        <f>E1598*0.3</f>
        <v>23244.6</v>
      </c>
      <c r="H1598" s="489">
        <f>G1598*C1598</f>
        <v>23244.6</v>
      </c>
      <c r="I1598" s="490">
        <f t="shared" si="127"/>
        <v>100726.6</v>
      </c>
      <c r="J1598" s="489"/>
    </row>
    <row r="1599" spans="1:10">
      <c r="A1599" s="548"/>
      <c r="B1599" s="938" t="s">
        <v>509</v>
      </c>
      <c r="C1599" s="506">
        <v>1</v>
      </c>
      <c r="D1599" s="499" t="s">
        <v>508</v>
      </c>
      <c r="E1599" s="489">
        <f>FLOOR(SUM(F1591:F1597)*0.2,1)</f>
        <v>30993</v>
      </c>
      <c r="F1599" s="489">
        <f>E1599*C1599</f>
        <v>30993</v>
      </c>
      <c r="G1599" s="489">
        <f>E1599*0.3</f>
        <v>9297.9</v>
      </c>
      <c r="H1599" s="489">
        <f>G1599*C1599</f>
        <v>9297.9</v>
      </c>
      <c r="I1599" s="490">
        <f t="shared" si="127"/>
        <v>40290.9</v>
      </c>
      <c r="J1599" s="489"/>
    </row>
    <row r="1600" spans="1:10">
      <c r="A1600" s="548"/>
      <c r="B1600" s="938" t="s">
        <v>510</v>
      </c>
      <c r="C1600" s="506">
        <v>1</v>
      </c>
      <c r="D1600" s="943" t="s">
        <v>508</v>
      </c>
      <c r="E1600" s="940">
        <f>ROUNDDOWN(SUM(F1591:F1597)*10%,0)</f>
        <v>15496</v>
      </c>
      <c r="F1600" s="940">
        <f>C1600*E1600</f>
        <v>15496</v>
      </c>
      <c r="G1600" s="940">
        <f>ROUNDDOWN(E1600*0.3,0)</f>
        <v>4648</v>
      </c>
      <c r="H1600" s="940">
        <f>C1600*G1600</f>
        <v>4648</v>
      </c>
      <c r="I1600" s="490">
        <f t="shared" si="127"/>
        <v>20144</v>
      </c>
      <c r="J1600" s="489"/>
    </row>
    <row r="1601" spans="1:10">
      <c r="A1601" s="548"/>
      <c r="B1601" s="549" t="s">
        <v>563</v>
      </c>
      <c r="C1601" s="506"/>
      <c r="D1601" s="499"/>
      <c r="E1601" s="489"/>
      <c r="F1601" s="489"/>
      <c r="G1601" s="507"/>
      <c r="H1601" s="490"/>
      <c r="I1601" s="490"/>
      <c r="J1601" s="489"/>
    </row>
    <row r="1602" spans="1:10">
      <c r="A1602" s="548"/>
      <c r="B1602" s="549" t="s">
        <v>564</v>
      </c>
      <c r="C1602" s="506">
        <v>175</v>
      </c>
      <c r="D1602" s="499" t="s">
        <v>565</v>
      </c>
      <c r="E1602" s="489">
        <v>580</v>
      </c>
      <c r="F1602" s="489">
        <f>C1602*E1602</f>
        <v>101500</v>
      </c>
      <c r="G1602" s="507">
        <v>50</v>
      </c>
      <c r="H1602" s="490">
        <f>C1602*G1602</f>
        <v>8750</v>
      </c>
      <c r="I1602" s="490">
        <f t="shared" si="127"/>
        <v>110250</v>
      </c>
      <c r="J1602" s="489"/>
    </row>
    <row r="1603" spans="1:10">
      <c r="A1603" s="548"/>
      <c r="B1603" s="549" t="s">
        <v>593</v>
      </c>
      <c r="C1603" s="506"/>
      <c r="D1603" s="499"/>
      <c r="E1603" s="489"/>
      <c r="F1603" s="489"/>
      <c r="G1603" s="507"/>
      <c r="H1603" s="490"/>
      <c r="I1603" s="490"/>
      <c r="J1603" s="489"/>
    </row>
    <row r="1604" spans="1:10">
      <c r="A1604" s="548"/>
      <c r="B1604" s="549" t="s">
        <v>578</v>
      </c>
      <c r="C1604" s="506">
        <v>1</v>
      </c>
      <c r="D1604" s="499" t="s">
        <v>546</v>
      </c>
      <c r="E1604" s="489">
        <v>12200</v>
      </c>
      <c r="F1604" s="489">
        <f>C1604*E1604</f>
        <v>12200</v>
      </c>
      <c r="G1604" s="507">
        <v>600</v>
      </c>
      <c r="H1604" s="490">
        <f>C1604*G1604</f>
        <v>600</v>
      </c>
      <c r="I1604" s="490">
        <f>F1604+H1604</f>
        <v>12800</v>
      </c>
      <c r="J1604" s="489"/>
    </row>
    <row r="1605" spans="1:10">
      <c r="A1605" s="548"/>
      <c r="B1605" s="549" t="s">
        <v>596</v>
      </c>
      <c r="C1605" s="506"/>
      <c r="D1605" s="499"/>
      <c r="E1605" s="489"/>
      <c r="F1605" s="489"/>
      <c r="G1605" s="507"/>
      <c r="H1605" s="490"/>
      <c r="I1605" s="490"/>
      <c r="J1605" s="489"/>
    </row>
    <row r="1606" spans="1:10">
      <c r="A1606" s="548"/>
      <c r="B1606" s="549" t="s">
        <v>578</v>
      </c>
      <c r="C1606" s="506">
        <v>1</v>
      </c>
      <c r="D1606" s="499" t="s">
        <v>574</v>
      </c>
      <c r="E1606" s="489">
        <v>20000</v>
      </c>
      <c r="F1606" s="489">
        <f>C1606*E1606</f>
        <v>20000</v>
      </c>
      <c r="G1606" s="507">
        <v>500</v>
      </c>
      <c r="H1606" s="490">
        <f>C1606*G1606</f>
        <v>500</v>
      </c>
      <c r="I1606" s="490">
        <f>F1606+H1606</f>
        <v>20500</v>
      </c>
      <c r="J1606" s="489"/>
    </row>
    <row r="1607" spans="1:10">
      <c r="A1607" s="548"/>
      <c r="B1607" s="549" t="s">
        <v>597</v>
      </c>
      <c r="C1607" s="506">
        <v>1</v>
      </c>
      <c r="D1607" s="499" t="s">
        <v>574</v>
      </c>
      <c r="E1607" s="489">
        <v>9360</v>
      </c>
      <c r="F1607" s="489">
        <f>C1607*E1607</f>
        <v>9360</v>
      </c>
      <c r="G1607" s="507">
        <v>150</v>
      </c>
      <c r="H1607" s="490">
        <f>C1607*G1607</f>
        <v>150</v>
      </c>
      <c r="I1607" s="490">
        <f>F1607+H1607</f>
        <v>9510</v>
      </c>
      <c r="J1607" s="489"/>
    </row>
    <row r="1608" spans="1:10">
      <c r="A1608" s="548"/>
      <c r="B1608" s="549" t="s">
        <v>598</v>
      </c>
      <c r="C1608" s="506"/>
      <c r="D1608" s="499"/>
      <c r="E1608" s="489"/>
      <c r="F1608" s="489"/>
      <c r="G1608" s="507"/>
      <c r="H1608" s="490"/>
      <c r="I1608" s="490"/>
      <c r="J1608" s="489"/>
    </row>
    <row r="1609" spans="1:10">
      <c r="A1609" s="548"/>
      <c r="B1609" s="549" t="s">
        <v>554</v>
      </c>
      <c r="C1609" s="506">
        <v>2</v>
      </c>
      <c r="D1609" s="499" t="s">
        <v>574</v>
      </c>
      <c r="E1609" s="489">
        <v>11400</v>
      </c>
      <c r="F1609" s="489">
        <f>C1609*E1609</f>
        <v>22800</v>
      </c>
      <c r="G1609" s="507">
        <v>300</v>
      </c>
      <c r="H1609" s="490">
        <f>C1609*G1609</f>
        <v>600</v>
      </c>
      <c r="I1609" s="490">
        <f>F1609+H1609</f>
        <v>23400</v>
      </c>
      <c r="J1609" s="489"/>
    </row>
    <row r="1610" spans="1:10">
      <c r="A1610" s="548"/>
      <c r="B1610" s="549" t="s">
        <v>600</v>
      </c>
      <c r="C1610" s="506"/>
      <c r="D1610" s="499"/>
      <c r="E1610" s="489"/>
      <c r="F1610" s="489"/>
      <c r="G1610" s="507"/>
      <c r="H1610" s="490"/>
      <c r="I1610" s="490"/>
      <c r="J1610" s="489"/>
    </row>
    <row r="1611" spans="1:10">
      <c r="A1611" s="548"/>
      <c r="B1611" s="549" t="s">
        <v>554</v>
      </c>
      <c r="C1611" s="506">
        <v>1</v>
      </c>
      <c r="D1611" s="499" t="s">
        <v>565</v>
      </c>
      <c r="E1611" s="489">
        <v>500</v>
      </c>
      <c r="F1611" s="489">
        <f>C1611*E1611</f>
        <v>500</v>
      </c>
      <c r="G1611" s="507">
        <v>200</v>
      </c>
      <c r="H1611" s="490">
        <f>C1611*G1611</f>
        <v>200</v>
      </c>
      <c r="I1611" s="490">
        <f>F1611+H1611</f>
        <v>700</v>
      </c>
      <c r="J1611" s="489"/>
    </row>
    <row r="1612" spans="1:10">
      <c r="A1612" s="548"/>
      <c r="B1612" s="549"/>
      <c r="C1612" s="506"/>
      <c r="D1612" s="499"/>
      <c r="E1612" s="489"/>
      <c r="F1612" s="489"/>
      <c r="G1612" s="507"/>
      <c r="H1612" s="490"/>
      <c r="I1612" s="490"/>
      <c r="J1612" s="489"/>
    </row>
    <row r="1613" spans="1:10">
      <c r="A1613" s="551" t="s">
        <v>518</v>
      </c>
      <c r="B1613" s="1155" t="s">
        <v>572</v>
      </c>
      <c r="C1613" s="506"/>
      <c r="D1613" s="499"/>
      <c r="E1613" s="489"/>
      <c r="F1613" s="489"/>
      <c r="G1613" s="507"/>
      <c r="H1613" s="490"/>
      <c r="I1613" s="490"/>
      <c r="J1613" s="489"/>
    </row>
    <row r="1614" spans="1:10">
      <c r="A1614" s="551" t="s">
        <v>1213</v>
      </c>
      <c r="B1614" s="552" t="s">
        <v>520</v>
      </c>
      <c r="C1614" s="506"/>
      <c r="D1614" s="499"/>
      <c r="E1614" s="489"/>
      <c r="F1614" s="489"/>
      <c r="G1614" s="507"/>
      <c r="H1614" s="490"/>
      <c r="I1614" s="490"/>
      <c r="J1614" s="489"/>
    </row>
    <row r="1615" spans="1:10">
      <c r="A1615" s="548"/>
      <c r="B1615" s="549" t="s">
        <v>529</v>
      </c>
      <c r="C1615" s="506"/>
      <c r="D1615" s="499"/>
      <c r="E1615" s="489"/>
      <c r="F1615" s="489"/>
      <c r="G1615" s="507"/>
      <c r="H1615" s="490"/>
      <c r="I1615" s="490"/>
      <c r="J1615" s="489"/>
    </row>
    <row r="1616" spans="1:10">
      <c r="A1616" s="548"/>
      <c r="B1616" s="549" t="s">
        <v>524</v>
      </c>
      <c r="C1616" s="506">
        <v>20</v>
      </c>
      <c r="D1616" s="499" t="s">
        <v>14</v>
      </c>
      <c r="E1616" s="489">
        <v>84</v>
      </c>
      <c r="F1616" s="489">
        <f>E1616*C1616</f>
        <v>1680</v>
      </c>
      <c r="G1616" s="507">
        <v>75</v>
      </c>
      <c r="H1616" s="490">
        <f>G1616*C1616</f>
        <v>1500</v>
      </c>
      <c r="I1616" s="490">
        <f>H1616+F1616</f>
        <v>3180</v>
      </c>
      <c r="J1616" s="489"/>
    </row>
    <row r="1617" spans="1:10">
      <c r="A1617" s="548"/>
      <c r="B1617" s="549" t="s">
        <v>525</v>
      </c>
      <c r="C1617" s="506">
        <v>20</v>
      </c>
      <c r="D1617" s="499" t="s">
        <v>14</v>
      </c>
      <c r="E1617" s="489">
        <f>FLOOR(SUM(F1616:F1616)*0.4,1)</f>
        <v>672</v>
      </c>
      <c r="F1617" s="489">
        <f>E1617*C1617</f>
        <v>13440</v>
      </c>
      <c r="G1617" s="507">
        <f>E1617*0.3</f>
        <v>201.6</v>
      </c>
      <c r="H1617" s="490">
        <f>G1617*C1617</f>
        <v>4032</v>
      </c>
      <c r="I1617" s="490">
        <f t="shared" ref="I1617:I1622" si="130">H1617+F1617</f>
        <v>17472</v>
      </c>
      <c r="J1617" s="489"/>
    </row>
    <row r="1618" spans="1:10">
      <c r="A1618" s="548"/>
      <c r="B1618" s="549" t="s">
        <v>507</v>
      </c>
      <c r="C1618" s="506">
        <v>1</v>
      </c>
      <c r="D1618" s="499" t="s">
        <v>508</v>
      </c>
      <c r="E1618" s="489">
        <f>FLOOR(SUM(F1616:F1617)*0.4,1)</f>
        <v>6048</v>
      </c>
      <c r="F1618" s="489">
        <f>E1618*C1618</f>
        <v>6048</v>
      </c>
      <c r="G1618" s="507">
        <f>E1618*0.3</f>
        <v>1814.3999999999999</v>
      </c>
      <c r="H1618" s="490">
        <f>G1618*C1618</f>
        <v>1814.3999999999999</v>
      </c>
      <c r="I1618" s="490">
        <f t="shared" si="130"/>
        <v>7862.4</v>
      </c>
      <c r="J1618" s="489"/>
    </row>
    <row r="1619" spans="1:10">
      <c r="A1619" s="548"/>
      <c r="B1619" s="549" t="s">
        <v>509</v>
      </c>
      <c r="C1619" s="506">
        <v>1</v>
      </c>
      <c r="D1619" s="499" t="s">
        <v>508</v>
      </c>
      <c r="E1619" s="489">
        <f>FLOOR(SUM(F1616:F1617)*0.3,1)</f>
        <v>4536</v>
      </c>
      <c r="F1619" s="489">
        <f>E1619*C1619</f>
        <v>4536</v>
      </c>
      <c r="G1619" s="507">
        <f>E1619*0.3</f>
        <v>1360.8</v>
      </c>
      <c r="H1619" s="490">
        <f>G1619*C1619</f>
        <v>1360.8</v>
      </c>
      <c r="I1619" s="490">
        <f t="shared" si="130"/>
        <v>5896.8</v>
      </c>
      <c r="J1619" s="489"/>
    </row>
    <row r="1620" spans="1:10">
      <c r="A1620" s="548"/>
      <c r="B1620" s="549" t="s">
        <v>510</v>
      </c>
      <c r="C1620" s="506">
        <v>1</v>
      </c>
      <c r="D1620" s="499" t="s">
        <v>508</v>
      </c>
      <c r="E1620" s="489">
        <f>ROUNDDOWN(SUM(F1616:F1617)*10%,0)</f>
        <v>1512</v>
      </c>
      <c r="F1620" s="489">
        <f>C1620*E1620</f>
        <v>1512</v>
      </c>
      <c r="G1620" s="507">
        <f>ROUNDDOWN(E1620*0.3,0)</f>
        <v>453</v>
      </c>
      <c r="H1620" s="490">
        <f>C1620*G1620</f>
        <v>453</v>
      </c>
      <c r="I1620" s="490">
        <f t="shared" si="130"/>
        <v>1965</v>
      </c>
      <c r="J1620" s="489"/>
    </row>
    <row r="1621" spans="1:10">
      <c r="A1621" s="548"/>
      <c r="B1621" s="549" t="s">
        <v>573</v>
      </c>
      <c r="C1621" s="506"/>
      <c r="D1621" s="499"/>
      <c r="E1621" s="489"/>
      <c r="F1621" s="489"/>
      <c r="G1621" s="507"/>
      <c r="H1621" s="490"/>
      <c r="I1621" s="490"/>
      <c r="J1621" s="489"/>
    </row>
    <row r="1622" spans="1:10">
      <c r="A1622" s="548"/>
      <c r="B1622" s="549" t="s">
        <v>513</v>
      </c>
      <c r="C1622" s="506">
        <v>4</v>
      </c>
      <c r="D1622" s="499" t="s">
        <v>574</v>
      </c>
      <c r="E1622" s="489">
        <v>460</v>
      </c>
      <c r="F1622" s="489">
        <f>C1622*E1622</f>
        <v>1840</v>
      </c>
      <c r="G1622" s="507">
        <v>250</v>
      </c>
      <c r="H1622" s="490">
        <f>C1622*G1622</f>
        <v>1000</v>
      </c>
      <c r="I1622" s="490">
        <f t="shared" si="130"/>
        <v>2840</v>
      </c>
      <c r="J1622" s="489"/>
    </row>
    <row r="1623" spans="1:10">
      <c r="A1623" s="496" t="s">
        <v>1214</v>
      </c>
      <c r="B1623" s="553" t="s">
        <v>536</v>
      </c>
      <c r="C1623" s="506"/>
      <c r="D1623" s="499"/>
      <c r="E1623" s="489"/>
      <c r="F1623" s="940"/>
      <c r="G1623" s="507"/>
      <c r="H1623" s="940"/>
      <c r="I1623" s="940"/>
      <c r="J1623" s="489"/>
    </row>
    <row r="1624" spans="1:10">
      <c r="A1624" s="502"/>
      <c r="B1624" s="554" t="s">
        <v>575</v>
      </c>
      <c r="C1624" s="506"/>
      <c r="D1624" s="499"/>
      <c r="E1624" s="489"/>
      <c r="F1624" s="940"/>
      <c r="G1624" s="507"/>
      <c r="H1624" s="940"/>
      <c r="I1624" s="940"/>
      <c r="J1624" s="489"/>
    </row>
    <row r="1625" spans="1:10">
      <c r="A1625" s="502"/>
      <c r="B1625" s="944" t="s">
        <v>570</v>
      </c>
      <c r="C1625" s="506">
        <v>26</v>
      </c>
      <c r="D1625" s="499" t="s">
        <v>565</v>
      </c>
      <c r="E1625" s="489">
        <v>1800</v>
      </c>
      <c r="F1625" s="940">
        <f>C1625*E1625</f>
        <v>46800</v>
      </c>
      <c r="G1625" s="507">
        <v>600</v>
      </c>
      <c r="H1625" s="940">
        <f>C1625*G1625</f>
        <v>15600</v>
      </c>
      <c r="I1625" s="940">
        <f t="shared" ref="I1625:I1630" si="131">F1625+H1625</f>
        <v>62400</v>
      </c>
      <c r="J1625" s="489"/>
    </row>
    <row r="1626" spans="1:10">
      <c r="A1626" s="502"/>
      <c r="B1626" s="876" t="s">
        <v>538</v>
      </c>
      <c r="C1626" s="506"/>
      <c r="D1626" s="942"/>
      <c r="E1626" s="940"/>
      <c r="F1626" s="940"/>
      <c r="G1626" s="940"/>
      <c r="H1626" s="940"/>
      <c r="I1626" s="940"/>
      <c r="J1626" s="489"/>
    </row>
    <row r="1627" spans="1:10">
      <c r="A1627" s="502"/>
      <c r="B1627" s="944" t="s">
        <v>527</v>
      </c>
      <c r="C1627" s="506">
        <v>150</v>
      </c>
      <c r="D1627" s="499" t="s">
        <v>14</v>
      </c>
      <c r="E1627" s="489">
        <v>177</v>
      </c>
      <c r="F1627" s="940">
        <f>E1627*C1627</f>
        <v>26550</v>
      </c>
      <c r="G1627" s="507">
        <v>100</v>
      </c>
      <c r="H1627" s="940">
        <f>G1627*C1627</f>
        <v>15000</v>
      </c>
      <c r="I1627" s="940">
        <f t="shared" si="131"/>
        <v>41550</v>
      </c>
      <c r="J1627" s="489"/>
    </row>
    <row r="1628" spans="1:10">
      <c r="A1628" s="502"/>
      <c r="B1628" s="876" t="s">
        <v>507</v>
      </c>
      <c r="C1628" s="506">
        <v>1</v>
      </c>
      <c r="D1628" s="942" t="s">
        <v>508</v>
      </c>
      <c r="E1628" s="940">
        <f>FLOOR(SUM(F1627)*0.4,10)</f>
        <v>10620</v>
      </c>
      <c r="F1628" s="940">
        <f>E1628*C1628</f>
        <v>10620</v>
      </c>
      <c r="G1628" s="940">
        <f>E1628*0.3</f>
        <v>3186</v>
      </c>
      <c r="H1628" s="940">
        <f>G1628*C1628</f>
        <v>3186</v>
      </c>
      <c r="I1628" s="940">
        <f t="shared" si="131"/>
        <v>13806</v>
      </c>
      <c r="J1628" s="489"/>
    </row>
    <row r="1629" spans="1:10">
      <c r="A1629" s="502"/>
      <c r="B1629" s="949" t="s">
        <v>509</v>
      </c>
      <c r="C1629" s="506">
        <v>1</v>
      </c>
      <c r="D1629" s="950" t="s">
        <v>508</v>
      </c>
      <c r="E1629" s="940">
        <f>FLOOR(SUM(F1627)*0.3,10)</f>
        <v>7960</v>
      </c>
      <c r="F1629" s="940">
        <f>E1629*C1629</f>
        <v>7960</v>
      </c>
      <c r="G1629" s="940">
        <f>E1629*0.3</f>
        <v>2388</v>
      </c>
      <c r="H1629" s="940">
        <f>G1629*C1629</f>
        <v>2388</v>
      </c>
      <c r="I1629" s="940">
        <f t="shared" si="131"/>
        <v>10348</v>
      </c>
      <c r="J1629" s="489"/>
    </row>
    <row r="1630" spans="1:10">
      <c r="A1630" s="502"/>
      <c r="B1630" s="503" t="s">
        <v>539</v>
      </c>
      <c r="C1630" s="506">
        <v>1</v>
      </c>
      <c r="D1630" s="499" t="s">
        <v>508</v>
      </c>
      <c r="E1630" s="489">
        <f>FLOOR(SUM(F1627)*0.1,10)</f>
        <v>2650</v>
      </c>
      <c r="F1630" s="489">
        <f>E1630*C1630</f>
        <v>2650</v>
      </c>
      <c r="G1630" s="507">
        <f>E1630*0.3</f>
        <v>795</v>
      </c>
      <c r="H1630" s="490">
        <f>G1630*C1630</f>
        <v>795</v>
      </c>
      <c r="I1630" s="940">
        <f t="shared" si="131"/>
        <v>3445</v>
      </c>
      <c r="J1630" s="489"/>
    </row>
    <row r="1631" spans="1:10">
      <c r="A1631" s="502"/>
      <c r="B1631" s="503"/>
      <c r="C1631" s="506"/>
      <c r="D1631" s="499"/>
      <c r="E1631" s="489"/>
      <c r="F1631" s="489"/>
      <c r="G1631" s="507"/>
      <c r="H1631" s="490"/>
      <c r="I1631" s="543"/>
      <c r="J1631" s="489"/>
    </row>
    <row r="1632" spans="1:10">
      <c r="A1632" s="838"/>
      <c r="B1632" s="833" t="s">
        <v>1245</v>
      </c>
      <c r="C1632" s="840"/>
      <c r="D1632" s="841"/>
      <c r="E1632" s="837"/>
      <c r="F1632" s="842">
        <f>SUM(F1366:F1631)</f>
        <v>4822106</v>
      </c>
      <c r="G1632" s="842"/>
      <c r="H1632" s="842">
        <f>SUM(H1366:H1631)</f>
        <v>1899253.9</v>
      </c>
      <c r="I1632" s="842">
        <f>SUM(I1366:I1631)</f>
        <v>6721359.9000000004</v>
      </c>
      <c r="J1632" s="837"/>
    </row>
    <row r="1633" spans="1:10">
      <c r="A1633" s="502"/>
      <c r="B1633" s="503"/>
      <c r="C1633" s="506"/>
      <c r="D1633" s="499"/>
      <c r="E1633" s="489"/>
      <c r="F1633" s="489"/>
      <c r="G1633" s="507"/>
      <c r="H1633" s="490"/>
      <c r="I1633" s="543"/>
      <c r="J1633" s="489"/>
    </row>
    <row r="1634" spans="1:10">
      <c r="A1634" s="681">
        <v>4.2</v>
      </c>
      <c r="B1634" s="666" t="s">
        <v>1193</v>
      </c>
      <c r="C1634" s="506"/>
      <c r="D1634" s="499"/>
      <c r="E1634" s="489"/>
      <c r="F1634" s="489"/>
      <c r="G1634" s="507"/>
      <c r="H1634" s="490"/>
      <c r="I1634" s="490"/>
      <c r="J1634" s="489"/>
    </row>
    <row r="1635" spans="1:10">
      <c r="A1635" s="537" t="s">
        <v>521</v>
      </c>
      <c r="B1635" s="938" t="s">
        <v>495</v>
      </c>
      <c r="C1635" s="506"/>
      <c r="D1635" s="499"/>
      <c r="E1635" s="489"/>
      <c r="F1635" s="489"/>
      <c r="G1635" s="507"/>
      <c r="H1635" s="490"/>
      <c r="I1635" s="490"/>
      <c r="J1635" s="489"/>
    </row>
    <row r="1636" spans="1:10">
      <c r="A1636" s="537" t="s">
        <v>1215</v>
      </c>
      <c r="B1636" s="538" t="s">
        <v>496</v>
      </c>
      <c r="C1636" s="506"/>
      <c r="D1636" s="499"/>
      <c r="E1636" s="489"/>
      <c r="F1636" s="489"/>
      <c r="G1636" s="507"/>
      <c r="H1636" s="490"/>
      <c r="I1636" s="490"/>
      <c r="J1636" s="489"/>
    </row>
    <row r="1637" spans="1:10">
      <c r="A1637" s="539"/>
      <c r="B1637" s="540" t="s">
        <v>498</v>
      </c>
      <c r="C1637" s="506"/>
      <c r="D1637" s="499"/>
      <c r="E1637" s="489"/>
      <c r="F1637" s="489"/>
      <c r="G1637" s="507"/>
      <c r="H1637" s="490"/>
      <c r="I1637" s="490"/>
      <c r="J1637" s="489"/>
    </row>
    <row r="1638" spans="1:10">
      <c r="A1638" s="539"/>
      <c r="B1638" s="540" t="s">
        <v>499</v>
      </c>
      <c r="C1638" s="939">
        <v>50</v>
      </c>
      <c r="D1638" s="499" t="s">
        <v>14</v>
      </c>
      <c r="E1638" s="940">
        <v>35</v>
      </c>
      <c r="F1638" s="940">
        <f>C1638*E1638</f>
        <v>1750</v>
      </c>
      <c r="G1638" s="940">
        <v>30</v>
      </c>
      <c r="H1638" s="940">
        <f t="shared" ref="H1638:H1648" si="132">C1638*G1638</f>
        <v>1500</v>
      </c>
      <c r="I1638" s="940">
        <f t="shared" ref="I1638:I1654" si="133">F1638+H1638</f>
        <v>3250</v>
      </c>
      <c r="J1638" s="489"/>
    </row>
    <row r="1639" spans="1:10">
      <c r="A1639" s="539"/>
      <c r="B1639" s="540" t="s">
        <v>500</v>
      </c>
      <c r="C1639" s="941">
        <v>40</v>
      </c>
      <c r="D1639" s="499" t="s">
        <v>14</v>
      </c>
      <c r="E1639" s="940">
        <v>46</v>
      </c>
      <c r="F1639" s="940">
        <f>C1639*E1639</f>
        <v>1840</v>
      </c>
      <c r="G1639" s="940">
        <v>30</v>
      </c>
      <c r="H1639" s="940">
        <f t="shared" si="132"/>
        <v>1200</v>
      </c>
      <c r="I1639" s="940">
        <f t="shared" si="133"/>
        <v>3040</v>
      </c>
      <c r="J1639" s="489"/>
    </row>
    <row r="1640" spans="1:10">
      <c r="A1640" s="539"/>
      <c r="B1640" s="540" t="s">
        <v>501</v>
      </c>
      <c r="C1640" s="939">
        <v>30</v>
      </c>
      <c r="D1640" s="499" t="s">
        <v>14</v>
      </c>
      <c r="E1640" s="940">
        <v>76</v>
      </c>
      <c r="F1640" s="940">
        <f t="shared" ref="F1640:F1646" si="134">C1640*E1640</f>
        <v>2280</v>
      </c>
      <c r="G1640" s="940">
        <v>30</v>
      </c>
      <c r="H1640" s="940">
        <f t="shared" si="132"/>
        <v>900</v>
      </c>
      <c r="I1640" s="940">
        <f t="shared" si="133"/>
        <v>3180</v>
      </c>
      <c r="J1640" s="489"/>
    </row>
    <row r="1641" spans="1:10">
      <c r="A1641" s="539"/>
      <c r="B1641" s="540" t="s">
        <v>502</v>
      </c>
      <c r="C1641" s="939">
        <v>20</v>
      </c>
      <c r="D1641" s="499" t="s">
        <v>14</v>
      </c>
      <c r="E1641" s="940">
        <v>180</v>
      </c>
      <c r="F1641" s="940">
        <f t="shared" si="134"/>
        <v>3600</v>
      </c>
      <c r="G1641" s="940">
        <v>50</v>
      </c>
      <c r="H1641" s="940">
        <f t="shared" si="132"/>
        <v>1000</v>
      </c>
      <c r="I1641" s="940">
        <f t="shared" si="133"/>
        <v>4600</v>
      </c>
      <c r="J1641" s="489"/>
    </row>
    <row r="1642" spans="1:10">
      <c r="A1642" s="539"/>
      <c r="B1642" s="540" t="s">
        <v>503</v>
      </c>
      <c r="C1642" s="939">
        <v>30</v>
      </c>
      <c r="D1642" s="499" t="s">
        <v>14</v>
      </c>
      <c r="E1642" s="940">
        <v>287</v>
      </c>
      <c r="F1642" s="940">
        <f t="shared" si="134"/>
        <v>8610</v>
      </c>
      <c r="G1642" s="940">
        <v>75</v>
      </c>
      <c r="H1642" s="940">
        <f t="shared" si="132"/>
        <v>2250</v>
      </c>
      <c r="I1642" s="940">
        <f t="shared" si="133"/>
        <v>10860</v>
      </c>
      <c r="J1642" s="489"/>
    </row>
    <row r="1643" spans="1:10">
      <c r="A1643" s="539"/>
      <c r="B1643" s="540" t="s">
        <v>504</v>
      </c>
      <c r="C1643" s="939">
        <v>20</v>
      </c>
      <c r="D1643" s="499" t="s">
        <v>14</v>
      </c>
      <c r="E1643" s="940">
        <v>402</v>
      </c>
      <c r="F1643" s="940">
        <f t="shared" si="134"/>
        <v>8040</v>
      </c>
      <c r="G1643" s="940">
        <v>100</v>
      </c>
      <c r="H1643" s="940">
        <f t="shared" si="132"/>
        <v>2000</v>
      </c>
      <c r="I1643" s="940">
        <f t="shared" si="133"/>
        <v>10040</v>
      </c>
      <c r="J1643" s="489"/>
    </row>
    <row r="1644" spans="1:10">
      <c r="A1644" s="539"/>
      <c r="B1644" s="540" t="s">
        <v>505</v>
      </c>
      <c r="C1644" s="939">
        <v>20</v>
      </c>
      <c r="D1644" s="499" t="s">
        <v>14</v>
      </c>
      <c r="E1644" s="940">
        <v>562</v>
      </c>
      <c r="F1644" s="940">
        <f t="shared" si="134"/>
        <v>11240</v>
      </c>
      <c r="G1644" s="940">
        <v>120</v>
      </c>
      <c r="H1644" s="940">
        <f t="shared" si="132"/>
        <v>2400</v>
      </c>
      <c r="I1644" s="940">
        <f t="shared" si="133"/>
        <v>13640</v>
      </c>
      <c r="J1644" s="489"/>
    </row>
    <row r="1645" spans="1:10">
      <c r="A1645" s="539"/>
      <c r="B1645" s="540" t="s">
        <v>506</v>
      </c>
      <c r="C1645" s="939">
        <v>20</v>
      </c>
      <c r="D1645" s="499" t="s">
        <v>14</v>
      </c>
      <c r="E1645" s="940">
        <v>834</v>
      </c>
      <c r="F1645" s="940">
        <f t="shared" si="134"/>
        <v>16680</v>
      </c>
      <c r="G1645" s="940">
        <v>150</v>
      </c>
      <c r="H1645" s="940">
        <f t="shared" si="132"/>
        <v>3000</v>
      </c>
      <c r="I1645" s="940">
        <f t="shared" si="133"/>
        <v>19680</v>
      </c>
      <c r="J1645" s="489"/>
    </row>
    <row r="1646" spans="1:10">
      <c r="A1646" s="539"/>
      <c r="B1646" s="938" t="s">
        <v>507</v>
      </c>
      <c r="C1646" s="941">
        <v>1</v>
      </c>
      <c r="D1646" s="942" t="s">
        <v>508</v>
      </c>
      <c r="E1646" s="940">
        <f>ROUNDDOWN(SUM(F1638:F1645)*35%,0)</f>
        <v>18914</v>
      </c>
      <c r="F1646" s="940">
        <f t="shared" si="134"/>
        <v>18914</v>
      </c>
      <c r="G1646" s="940">
        <f>ROUNDDOWN(E1646*0.2,0)</f>
        <v>3782</v>
      </c>
      <c r="H1646" s="940">
        <f t="shared" si="132"/>
        <v>3782</v>
      </c>
      <c r="I1646" s="940">
        <f t="shared" si="133"/>
        <v>22696</v>
      </c>
      <c r="J1646" s="489"/>
    </row>
    <row r="1647" spans="1:10">
      <c r="A1647" s="539"/>
      <c r="B1647" s="938" t="s">
        <v>509</v>
      </c>
      <c r="C1647" s="941">
        <v>1</v>
      </c>
      <c r="D1647" s="942" t="s">
        <v>508</v>
      </c>
      <c r="E1647" s="940">
        <f>ROUNDDOWN(SUM(F1638:F1645)*20%,0)</f>
        <v>10808</v>
      </c>
      <c r="F1647" s="940">
        <f>C1647*E1647</f>
        <v>10808</v>
      </c>
      <c r="G1647" s="940">
        <f>ROUNDDOWN(E1647*0.2,0)</f>
        <v>2161</v>
      </c>
      <c r="H1647" s="940">
        <f t="shared" si="132"/>
        <v>2161</v>
      </c>
      <c r="I1647" s="940">
        <f t="shared" si="133"/>
        <v>12969</v>
      </c>
      <c r="J1647" s="489"/>
    </row>
    <row r="1648" spans="1:10">
      <c r="A1648" s="539"/>
      <c r="B1648" s="938" t="s">
        <v>510</v>
      </c>
      <c r="C1648" s="941">
        <v>1</v>
      </c>
      <c r="D1648" s="943" t="s">
        <v>508</v>
      </c>
      <c r="E1648" s="940">
        <f>ROUNDDOWN(SUM(F1638:F1645)*10%,0)</f>
        <v>5404</v>
      </c>
      <c r="F1648" s="940">
        <f>C1648*E1648</f>
        <v>5404</v>
      </c>
      <c r="G1648" s="940">
        <f>ROUNDDOWN(E1648*0.3,0)</f>
        <v>1621</v>
      </c>
      <c r="H1648" s="940">
        <f t="shared" si="132"/>
        <v>1621</v>
      </c>
      <c r="I1648" s="940">
        <f t="shared" si="133"/>
        <v>7025</v>
      </c>
      <c r="J1648" s="489"/>
    </row>
    <row r="1649" spans="1:10">
      <c r="A1649" s="539"/>
      <c r="B1649" s="944" t="s">
        <v>512</v>
      </c>
      <c r="C1649" s="945"/>
      <c r="D1649" s="541"/>
      <c r="E1649" s="946"/>
      <c r="F1649" s="946"/>
      <c r="G1649" s="542"/>
      <c r="H1649" s="543"/>
      <c r="I1649" s="940"/>
      <c r="J1649" s="489"/>
    </row>
    <row r="1650" spans="1:10">
      <c r="A1650" s="539"/>
      <c r="B1650" s="540" t="s">
        <v>513</v>
      </c>
      <c r="C1650" s="506">
        <v>1</v>
      </c>
      <c r="D1650" s="544" t="s">
        <v>15</v>
      </c>
      <c r="E1650" s="940">
        <v>2674</v>
      </c>
      <c r="F1650" s="940">
        <f>C1650*E1650</f>
        <v>2674</v>
      </c>
      <c r="G1650" s="940">
        <v>500</v>
      </c>
      <c r="H1650" s="490">
        <f>C1650*G1650</f>
        <v>500</v>
      </c>
      <c r="I1650" s="940">
        <f t="shared" si="133"/>
        <v>3174</v>
      </c>
      <c r="J1650" s="940"/>
    </row>
    <row r="1651" spans="1:10">
      <c r="A1651" s="539"/>
      <c r="B1651" s="540" t="s">
        <v>514</v>
      </c>
      <c r="C1651" s="506">
        <v>1</v>
      </c>
      <c r="D1651" s="544" t="s">
        <v>15</v>
      </c>
      <c r="E1651" s="940">
        <v>3677</v>
      </c>
      <c r="F1651" s="940">
        <f>C1651*E1651</f>
        <v>3677</v>
      </c>
      <c r="G1651" s="940">
        <v>600</v>
      </c>
      <c r="H1651" s="490">
        <f>C1651*G1651</f>
        <v>600</v>
      </c>
      <c r="I1651" s="940">
        <f t="shared" si="133"/>
        <v>4277</v>
      </c>
      <c r="J1651" s="940"/>
    </row>
    <row r="1652" spans="1:10">
      <c r="A1652" s="539"/>
      <c r="B1652" s="540" t="s">
        <v>515</v>
      </c>
      <c r="C1652" s="506">
        <v>1</v>
      </c>
      <c r="D1652" s="544" t="s">
        <v>15</v>
      </c>
      <c r="E1652" s="940">
        <v>7070</v>
      </c>
      <c r="F1652" s="940">
        <f>C1652*E1652</f>
        <v>7070</v>
      </c>
      <c r="G1652" s="940">
        <v>800</v>
      </c>
      <c r="H1652" s="490">
        <f>C1652*G1652</f>
        <v>800</v>
      </c>
      <c r="I1652" s="940">
        <f t="shared" si="133"/>
        <v>7870</v>
      </c>
      <c r="J1652" s="940"/>
    </row>
    <row r="1653" spans="1:10">
      <c r="A1653" s="539"/>
      <c r="B1653" s="938" t="s">
        <v>517</v>
      </c>
      <c r="C1653" s="506"/>
      <c r="D1653" s="942"/>
      <c r="E1653" s="946"/>
      <c r="F1653" s="946"/>
      <c r="G1653" s="946"/>
      <c r="H1653" s="490"/>
      <c r="I1653" s="940"/>
      <c r="J1653" s="489"/>
    </row>
    <row r="1654" spans="1:10">
      <c r="A1654" s="539"/>
      <c r="B1654" s="540" t="s">
        <v>499</v>
      </c>
      <c r="C1654" s="506">
        <v>12</v>
      </c>
      <c r="D1654" s="544" t="s">
        <v>15</v>
      </c>
      <c r="E1654" s="489">
        <v>169</v>
      </c>
      <c r="F1654" s="489">
        <f>E1654*C1654</f>
        <v>2028</v>
      </c>
      <c r="G1654" s="489">
        <v>50</v>
      </c>
      <c r="H1654" s="489">
        <f>G1654*C1654</f>
        <v>600</v>
      </c>
      <c r="I1654" s="940">
        <f t="shared" si="133"/>
        <v>2628</v>
      </c>
      <c r="J1654" s="489"/>
    </row>
    <row r="1655" spans="1:10">
      <c r="A1655" s="539"/>
      <c r="B1655" s="938" t="s">
        <v>519</v>
      </c>
      <c r="C1655" s="506">
        <v>1</v>
      </c>
      <c r="D1655" s="499" t="s">
        <v>508</v>
      </c>
      <c r="E1655" s="672">
        <v>0</v>
      </c>
      <c r="F1655" s="660">
        <f>E1655*A1655</f>
        <v>0</v>
      </c>
      <c r="G1655" s="489">
        <v>40000</v>
      </c>
      <c r="H1655" s="489">
        <f>C1655*G1655</f>
        <v>40000</v>
      </c>
      <c r="I1655" s="489">
        <f>H1655</f>
        <v>40000</v>
      </c>
      <c r="J1655" s="489"/>
    </row>
    <row r="1656" spans="1:10">
      <c r="A1656" s="545" t="s">
        <v>1216</v>
      </c>
      <c r="B1656" s="546" t="s">
        <v>520</v>
      </c>
      <c r="C1656" s="506"/>
      <c r="D1656" s="499"/>
      <c r="E1656" s="489"/>
      <c r="F1656" s="489"/>
      <c r="G1656" s="507"/>
      <c r="H1656" s="490"/>
      <c r="I1656" s="490"/>
      <c r="J1656" s="489"/>
    </row>
    <row r="1657" spans="1:10">
      <c r="A1657" s="539"/>
      <c r="B1657" s="938" t="s">
        <v>522</v>
      </c>
      <c r="C1657" s="506"/>
      <c r="D1657" s="499"/>
      <c r="E1657" s="489"/>
      <c r="F1657" s="489"/>
      <c r="G1657" s="507"/>
      <c r="H1657" s="490"/>
      <c r="I1657" s="490"/>
      <c r="J1657" s="489"/>
    </row>
    <row r="1658" spans="1:10">
      <c r="A1658" s="948"/>
      <c r="B1658" s="938" t="s">
        <v>523</v>
      </c>
      <c r="C1658" s="506">
        <v>40</v>
      </c>
      <c r="D1658" s="499" t="s">
        <v>14</v>
      </c>
      <c r="E1658" s="489">
        <v>24</v>
      </c>
      <c r="F1658" s="489">
        <f>E1658*C1658</f>
        <v>960</v>
      </c>
      <c r="G1658" s="489">
        <v>30</v>
      </c>
      <c r="H1658" s="489">
        <f>G1658*C1658</f>
        <v>1200</v>
      </c>
      <c r="I1658" s="489">
        <f>H1658+F1658</f>
        <v>2160</v>
      </c>
      <c r="J1658" s="489"/>
    </row>
    <row r="1659" spans="1:10">
      <c r="A1659" s="948"/>
      <c r="B1659" s="938" t="s">
        <v>524</v>
      </c>
      <c r="C1659" s="506">
        <v>50</v>
      </c>
      <c r="D1659" s="499" t="s">
        <v>14</v>
      </c>
      <c r="E1659" s="489">
        <v>50</v>
      </c>
      <c r="F1659" s="489">
        <f t="shared" ref="F1659:F1664" si="135">E1659*C1659</f>
        <v>2500</v>
      </c>
      <c r="G1659" s="489">
        <v>40</v>
      </c>
      <c r="H1659" s="489">
        <f t="shared" ref="H1659:H1664" si="136">G1659*C1659</f>
        <v>2000</v>
      </c>
      <c r="I1659" s="489">
        <f t="shared" ref="I1659:I1664" si="137">H1659+F1659</f>
        <v>4500</v>
      </c>
      <c r="J1659" s="489"/>
    </row>
    <row r="1660" spans="1:10">
      <c r="A1660" s="948"/>
      <c r="B1660" s="938" t="s">
        <v>525</v>
      </c>
      <c r="C1660" s="506">
        <v>40</v>
      </c>
      <c r="D1660" s="499" t="s">
        <v>14</v>
      </c>
      <c r="E1660" s="489">
        <v>109</v>
      </c>
      <c r="F1660" s="489">
        <f t="shared" si="135"/>
        <v>4360</v>
      </c>
      <c r="G1660" s="489">
        <v>75</v>
      </c>
      <c r="H1660" s="489">
        <f t="shared" si="136"/>
        <v>3000</v>
      </c>
      <c r="I1660" s="489">
        <f t="shared" si="137"/>
        <v>7360</v>
      </c>
      <c r="J1660" s="489"/>
    </row>
    <row r="1661" spans="1:10">
      <c r="A1661" s="539"/>
      <c r="B1661" s="938" t="s">
        <v>526</v>
      </c>
      <c r="C1661" s="506">
        <v>40</v>
      </c>
      <c r="D1661" s="499" t="s">
        <v>14</v>
      </c>
      <c r="E1661" s="489">
        <v>177</v>
      </c>
      <c r="F1661" s="489">
        <f t="shared" si="135"/>
        <v>7080</v>
      </c>
      <c r="G1661" s="489">
        <v>100</v>
      </c>
      <c r="H1661" s="489">
        <f t="shared" si="136"/>
        <v>4000</v>
      </c>
      <c r="I1661" s="489">
        <f t="shared" si="137"/>
        <v>11080</v>
      </c>
      <c r="J1661" s="489"/>
    </row>
    <row r="1662" spans="1:10">
      <c r="A1662" s="539"/>
      <c r="B1662" s="938" t="s">
        <v>527</v>
      </c>
      <c r="C1662" s="506">
        <v>30</v>
      </c>
      <c r="D1662" s="499" t="s">
        <v>14</v>
      </c>
      <c r="E1662" s="489">
        <v>291</v>
      </c>
      <c r="F1662" s="489">
        <f t="shared" si="135"/>
        <v>8730</v>
      </c>
      <c r="G1662" s="489">
        <v>200</v>
      </c>
      <c r="H1662" s="489">
        <f t="shared" si="136"/>
        <v>6000</v>
      </c>
      <c r="I1662" s="489">
        <f t="shared" si="137"/>
        <v>14730</v>
      </c>
      <c r="J1662" s="489"/>
    </row>
    <row r="1663" spans="1:10">
      <c r="A1663" s="539"/>
      <c r="B1663" s="938" t="s">
        <v>507</v>
      </c>
      <c r="C1663" s="506">
        <v>1</v>
      </c>
      <c r="D1663" s="499" t="s">
        <v>508</v>
      </c>
      <c r="E1663" s="489">
        <f>FLOOR(SUM(F1658:F1662)*0.4,1)</f>
        <v>9452</v>
      </c>
      <c r="F1663" s="489">
        <f t="shared" si="135"/>
        <v>9452</v>
      </c>
      <c r="G1663" s="489">
        <f>E1663*0.3</f>
        <v>2835.6</v>
      </c>
      <c r="H1663" s="489">
        <f t="shared" si="136"/>
        <v>2835.6</v>
      </c>
      <c r="I1663" s="489">
        <f t="shared" si="137"/>
        <v>12287.6</v>
      </c>
      <c r="J1663" s="489"/>
    </row>
    <row r="1664" spans="1:10">
      <c r="A1664" s="539"/>
      <c r="B1664" s="938" t="s">
        <v>509</v>
      </c>
      <c r="C1664" s="506">
        <v>1</v>
      </c>
      <c r="D1664" s="499" t="s">
        <v>508</v>
      </c>
      <c r="E1664" s="489">
        <f>FLOOR(SUM(F1658:F1662)*0.3,1)</f>
        <v>7089</v>
      </c>
      <c r="F1664" s="489">
        <f t="shared" si="135"/>
        <v>7089</v>
      </c>
      <c r="G1664" s="489">
        <f>E1664*0.3</f>
        <v>2126.6999999999998</v>
      </c>
      <c r="H1664" s="489">
        <f t="shared" si="136"/>
        <v>2126.6999999999998</v>
      </c>
      <c r="I1664" s="489">
        <f t="shared" si="137"/>
        <v>9215.7000000000007</v>
      </c>
      <c r="J1664" s="489"/>
    </row>
    <row r="1665" spans="1:10">
      <c r="A1665" s="539"/>
      <c r="B1665" s="938" t="s">
        <v>510</v>
      </c>
      <c r="C1665" s="506">
        <v>1</v>
      </c>
      <c r="D1665" s="943" t="s">
        <v>508</v>
      </c>
      <c r="E1665" s="940">
        <f>ROUNDDOWN(SUM(F1658:F1662)*10%,0)</f>
        <v>2363</v>
      </c>
      <c r="F1665" s="940">
        <f>C1665*E1665</f>
        <v>2363</v>
      </c>
      <c r="G1665" s="940">
        <f>ROUNDDOWN(E1665*0.3,0)</f>
        <v>708</v>
      </c>
      <c r="H1665" s="940">
        <f>C1665*G1665</f>
        <v>708</v>
      </c>
      <c r="I1665" s="940">
        <f>F1665+H1665</f>
        <v>3071</v>
      </c>
      <c r="J1665" s="489"/>
    </row>
    <row r="1666" spans="1:10">
      <c r="A1666" s="539"/>
      <c r="B1666" s="938" t="s">
        <v>529</v>
      </c>
      <c r="C1666" s="506"/>
      <c r="D1666" s="499"/>
      <c r="E1666" s="489"/>
      <c r="F1666" s="489"/>
      <c r="G1666" s="507"/>
      <c r="H1666" s="490"/>
      <c r="I1666" s="490"/>
      <c r="J1666" s="489"/>
    </row>
    <row r="1667" spans="1:10">
      <c r="A1667" s="539"/>
      <c r="B1667" s="938" t="s">
        <v>523</v>
      </c>
      <c r="C1667" s="506">
        <v>20</v>
      </c>
      <c r="D1667" s="499" t="s">
        <v>14</v>
      </c>
      <c r="E1667" s="489">
        <v>24</v>
      </c>
      <c r="F1667" s="489">
        <f>E1667*C1667</f>
        <v>480</v>
      </c>
      <c r="G1667" s="489">
        <v>30</v>
      </c>
      <c r="H1667" s="489">
        <f>G1667*C1667</f>
        <v>600</v>
      </c>
      <c r="I1667" s="489">
        <f>H1667+F1667</f>
        <v>1080</v>
      </c>
      <c r="J1667" s="489"/>
    </row>
    <row r="1668" spans="1:10">
      <c r="A1668" s="539"/>
      <c r="B1668" s="938" t="s">
        <v>524</v>
      </c>
      <c r="C1668" s="506">
        <v>30</v>
      </c>
      <c r="D1668" s="499" t="s">
        <v>14</v>
      </c>
      <c r="E1668" s="489">
        <v>84</v>
      </c>
      <c r="F1668" s="489">
        <f>E1668*C1668</f>
        <v>2520</v>
      </c>
      <c r="G1668" s="489">
        <v>75</v>
      </c>
      <c r="H1668" s="489">
        <f>G1668*C1668</f>
        <v>2250</v>
      </c>
      <c r="I1668" s="489">
        <f>H1668+F1668</f>
        <v>4770</v>
      </c>
      <c r="J1668" s="489"/>
    </row>
    <row r="1669" spans="1:10">
      <c r="A1669" s="539" t="s">
        <v>1</v>
      </c>
      <c r="B1669" s="938" t="s">
        <v>525</v>
      </c>
      <c r="C1669" s="506">
        <v>30</v>
      </c>
      <c r="D1669" s="499" t="s">
        <v>14</v>
      </c>
      <c r="E1669" s="489">
        <f>FLOOR(SUM(F1667:F1668)*0.4,1)</f>
        <v>1200</v>
      </c>
      <c r="F1669" s="489">
        <f>E1669*C1669</f>
        <v>36000</v>
      </c>
      <c r="G1669" s="489">
        <f>E1669*0.3</f>
        <v>360</v>
      </c>
      <c r="H1669" s="489">
        <f>G1669*C1669</f>
        <v>10800</v>
      </c>
      <c r="I1669" s="489">
        <f>H1669+F1669</f>
        <v>46800</v>
      </c>
      <c r="J1669" s="489"/>
    </row>
    <row r="1670" spans="1:10">
      <c r="A1670" s="539"/>
      <c r="B1670" s="938" t="s">
        <v>507</v>
      </c>
      <c r="C1670" s="506">
        <v>1</v>
      </c>
      <c r="D1670" s="499" t="s">
        <v>508</v>
      </c>
      <c r="E1670" s="489">
        <f>FLOOR(SUM(F1667:F1669)*0.4,1)</f>
        <v>15600</v>
      </c>
      <c r="F1670" s="489">
        <f>E1670*C1670</f>
        <v>15600</v>
      </c>
      <c r="G1670" s="489">
        <f>E1670*0.3</f>
        <v>4680</v>
      </c>
      <c r="H1670" s="489">
        <f>G1670*C1670</f>
        <v>4680</v>
      </c>
      <c r="I1670" s="489">
        <f>H1670+F1670</f>
        <v>20280</v>
      </c>
      <c r="J1670" s="489"/>
    </row>
    <row r="1671" spans="1:10">
      <c r="A1671" s="539"/>
      <c r="B1671" s="938" t="s">
        <v>509</v>
      </c>
      <c r="C1671" s="506">
        <v>1</v>
      </c>
      <c r="D1671" s="499" t="s">
        <v>508</v>
      </c>
      <c r="E1671" s="489">
        <f>FLOOR(SUM(F1667:F1669)*0.3,1)</f>
        <v>11700</v>
      </c>
      <c r="F1671" s="489">
        <f>E1671*C1671</f>
        <v>11700</v>
      </c>
      <c r="G1671" s="489">
        <f>E1671*0.3</f>
        <v>3510</v>
      </c>
      <c r="H1671" s="489">
        <f>G1671*C1671</f>
        <v>3510</v>
      </c>
      <c r="I1671" s="489">
        <f>H1671+F1671</f>
        <v>15210</v>
      </c>
      <c r="J1671" s="489"/>
    </row>
    <row r="1672" spans="1:10">
      <c r="A1672" s="539"/>
      <c r="B1672" s="938" t="s">
        <v>510</v>
      </c>
      <c r="C1672" s="506">
        <v>1</v>
      </c>
      <c r="D1672" s="943" t="s">
        <v>508</v>
      </c>
      <c r="E1672" s="940">
        <f>ROUNDDOWN(SUM(F1667:F1669)*10%,0)</f>
        <v>3900</v>
      </c>
      <c r="F1672" s="940">
        <f>C1672*E1672</f>
        <v>3900</v>
      </c>
      <c r="G1672" s="940">
        <f>ROUNDDOWN(E1672*0.3,0)</f>
        <v>1170</v>
      </c>
      <c r="H1672" s="940">
        <f>C1672*G1672</f>
        <v>1170</v>
      </c>
      <c r="I1672" s="940">
        <f>F1672+H1672</f>
        <v>5070</v>
      </c>
      <c r="J1672" s="489"/>
    </row>
    <row r="1673" spans="1:10">
      <c r="A1673" s="539"/>
      <c r="B1673" s="938" t="s">
        <v>530</v>
      </c>
      <c r="C1673" s="506"/>
      <c r="D1673" s="499"/>
      <c r="E1673" s="489"/>
      <c r="F1673" s="489"/>
      <c r="G1673" s="489"/>
      <c r="H1673" s="489"/>
      <c r="I1673" s="489"/>
      <c r="J1673" s="489"/>
    </row>
    <row r="1674" spans="1:10">
      <c r="A1674" s="539"/>
      <c r="B1674" s="938" t="s">
        <v>524</v>
      </c>
      <c r="C1674" s="506">
        <v>3</v>
      </c>
      <c r="D1674" s="499" t="s">
        <v>15</v>
      </c>
      <c r="E1674" s="489">
        <v>710</v>
      </c>
      <c r="F1674" s="489">
        <f>C1674*E1674</f>
        <v>2130</v>
      </c>
      <c r="G1674" s="489">
        <v>200</v>
      </c>
      <c r="H1674" s="489">
        <f>C1674*G1674</f>
        <v>600</v>
      </c>
      <c r="I1674" s="489">
        <f>F1674+H1674</f>
        <v>2730</v>
      </c>
      <c r="J1674" s="489"/>
    </row>
    <row r="1675" spans="1:10">
      <c r="A1675" s="539"/>
      <c r="B1675" s="938" t="s">
        <v>531</v>
      </c>
      <c r="C1675" s="506"/>
      <c r="D1675" s="499"/>
      <c r="E1675" s="489"/>
      <c r="F1675" s="489"/>
      <c r="G1675" s="489"/>
      <c r="H1675" s="489"/>
      <c r="I1675" s="489"/>
      <c r="J1675" s="489"/>
    </row>
    <row r="1676" spans="1:10">
      <c r="A1676" s="539"/>
      <c r="B1676" s="938" t="s">
        <v>524</v>
      </c>
      <c r="C1676" s="506">
        <v>2</v>
      </c>
      <c r="D1676" s="499" t="s">
        <v>15</v>
      </c>
      <c r="E1676" s="489">
        <v>600</v>
      </c>
      <c r="F1676" s="489">
        <f>C1676*E1676</f>
        <v>1200</v>
      </c>
      <c r="G1676" s="489">
        <v>200</v>
      </c>
      <c r="H1676" s="489">
        <f>C1676*G1676</f>
        <v>400</v>
      </c>
      <c r="I1676" s="489">
        <f>F1676+H1676</f>
        <v>1600</v>
      </c>
      <c r="J1676" s="489"/>
    </row>
    <row r="1677" spans="1:10">
      <c r="A1677" s="539"/>
      <c r="B1677" s="938" t="s">
        <v>525</v>
      </c>
      <c r="C1677" s="506">
        <v>2</v>
      </c>
      <c r="D1677" s="499" t="s">
        <v>15</v>
      </c>
      <c r="E1677" s="489">
        <v>680</v>
      </c>
      <c r="F1677" s="489">
        <f>C1677*E1677</f>
        <v>1360</v>
      </c>
      <c r="G1677" s="489">
        <v>300</v>
      </c>
      <c r="H1677" s="489">
        <f>C1677*G1677</f>
        <v>600</v>
      </c>
      <c r="I1677" s="489">
        <f>F1677+H1677</f>
        <v>1960</v>
      </c>
      <c r="J1677" s="489"/>
    </row>
    <row r="1678" spans="1:10">
      <c r="A1678" s="539"/>
      <c r="B1678" s="938" t="s">
        <v>526</v>
      </c>
      <c r="C1678" s="506">
        <v>2</v>
      </c>
      <c r="D1678" s="499" t="s">
        <v>15</v>
      </c>
      <c r="E1678" s="489">
        <v>750</v>
      </c>
      <c r="F1678" s="489">
        <f>C1678*E1678</f>
        <v>1500</v>
      </c>
      <c r="G1678" s="489">
        <v>400</v>
      </c>
      <c r="H1678" s="489">
        <f>C1678*G1678</f>
        <v>800</v>
      </c>
      <c r="I1678" s="489">
        <f>F1678+H1678</f>
        <v>2300</v>
      </c>
      <c r="J1678" s="489"/>
    </row>
    <row r="1679" spans="1:10">
      <c r="A1679" s="539"/>
      <c r="B1679" s="938" t="s">
        <v>532</v>
      </c>
      <c r="C1679" s="506"/>
      <c r="D1679" s="499"/>
      <c r="E1679" s="489"/>
      <c r="F1679" s="489"/>
      <c r="G1679" s="489"/>
      <c r="H1679" s="489"/>
      <c r="I1679" s="489"/>
      <c r="J1679" s="489"/>
    </row>
    <row r="1680" spans="1:10">
      <c r="A1680" s="539"/>
      <c r="B1680" s="938" t="s">
        <v>576</v>
      </c>
      <c r="C1680" s="506">
        <v>1</v>
      </c>
      <c r="D1680" s="499" t="s">
        <v>15</v>
      </c>
      <c r="E1680" s="489">
        <v>295</v>
      </c>
      <c r="F1680" s="489">
        <f>E1680*C1680</f>
        <v>295</v>
      </c>
      <c r="G1680" s="489">
        <v>300</v>
      </c>
      <c r="H1680" s="489">
        <f>G1680*C1680</f>
        <v>300</v>
      </c>
      <c r="I1680" s="489">
        <f>H1680+F1680</f>
        <v>595</v>
      </c>
      <c r="J1680" s="489"/>
    </row>
    <row r="1681" spans="1:10">
      <c r="A1681" s="539"/>
      <c r="B1681" s="938" t="s">
        <v>533</v>
      </c>
      <c r="C1681" s="506">
        <v>1</v>
      </c>
      <c r="D1681" s="499" t="s">
        <v>15</v>
      </c>
      <c r="E1681" s="489">
        <v>310</v>
      </c>
      <c r="F1681" s="489">
        <f>E1681*C1681</f>
        <v>310</v>
      </c>
      <c r="G1681" s="489">
        <v>300</v>
      </c>
      <c r="H1681" s="489">
        <f>G1681*C1681</f>
        <v>300</v>
      </c>
      <c r="I1681" s="489">
        <f>H1681+F1681</f>
        <v>610</v>
      </c>
      <c r="J1681" s="489"/>
    </row>
    <row r="1682" spans="1:10">
      <c r="A1682" s="539"/>
      <c r="B1682" s="938" t="s">
        <v>534</v>
      </c>
      <c r="C1682" s="506">
        <v>1</v>
      </c>
      <c r="D1682" s="499" t="s">
        <v>15</v>
      </c>
      <c r="E1682" s="489">
        <v>580</v>
      </c>
      <c r="F1682" s="489">
        <f>E1682*C1682</f>
        <v>580</v>
      </c>
      <c r="G1682" s="489">
        <v>300</v>
      </c>
      <c r="H1682" s="489">
        <f>G1682*C1682</f>
        <v>300</v>
      </c>
      <c r="I1682" s="489">
        <f>H1682+F1682</f>
        <v>880</v>
      </c>
      <c r="J1682" s="489"/>
    </row>
    <row r="1683" spans="1:10">
      <c r="A1683" s="539"/>
      <c r="B1683" s="938" t="s">
        <v>535</v>
      </c>
      <c r="C1683" s="506">
        <v>1</v>
      </c>
      <c r="D1683" s="499" t="s">
        <v>508</v>
      </c>
      <c r="E1683" s="489">
        <f>FLOOR((SUM(F1659:F1662)+SUM(F1681:F1682))*0.1,1)</f>
        <v>2356</v>
      </c>
      <c r="F1683" s="489">
        <f>E1683*C1683</f>
        <v>2356</v>
      </c>
      <c r="G1683" s="489">
        <f>E1683*0.3</f>
        <v>706.8</v>
      </c>
      <c r="H1683" s="489">
        <f>G1683*C1683</f>
        <v>706.8</v>
      </c>
      <c r="I1683" s="489">
        <f>F1683+H1683</f>
        <v>3062.8</v>
      </c>
      <c r="J1683" s="489"/>
    </row>
    <row r="1684" spans="1:10">
      <c r="A1684" s="496" t="s">
        <v>1217</v>
      </c>
      <c r="B1684" s="497" t="s">
        <v>536</v>
      </c>
      <c r="C1684" s="506"/>
      <c r="D1684" s="499"/>
      <c r="E1684" s="489"/>
      <c r="F1684" s="489"/>
      <c r="G1684" s="489"/>
      <c r="H1684" s="489"/>
      <c r="I1684" s="489"/>
      <c r="J1684" s="489"/>
    </row>
    <row r="1685" spans="1:10">
      <c r="A1685" s="539"/>
      <c r="B1685" s="938" t="s">
        <v>538</v>
      </c>
      <c r="C1685" s="904"/>
      <c r="D1685" s="499"/>
      <c r="E1685" s="499"/>
      <c r="F1685" s="499"/>
      <c r="G1685" s="499"/>
      <c r="H1685" s="499"/>
      <c r="I1685" s="499"/>
      <c r="J1685" s="489"/>
    </row>
    <row r="1686" spans="1:10">
      <c r="A1686" s="539" t="s">
        <v>1</v>
      </c>
      <c r="B1686" s="938" t="s">
        <v>527</v>
      </c>
      <c r="C1686" s="506">
        <v>150</v>
      </c>
      <c r="D1686" s="499" t="s">
        <v>14</v>
      </c>
      <c r="E1686" s="489">
        <v>291</v>
      </c>
      <c r="F1686" s="489">
        <f>E1686*C1686</f>
        <v>43650</v>
      </c>
      <c r="G1686" s="489">
        <v>100</v>
      </c>
      <c r="H1686" s="489">
        <f>G1686*C1686</f>
        <v>15000</v>
      </c>
      <c r="I1686" s="489">
        <f>H1686+F1686</f>
        <v>58650</v>
      </c>
      <c r="J1686" s="489"/>
    </row>
    <row r="1687" spans="1:10">
      <c r="A1687" s="539"/>
      <c r="B1687" s="938" t="s">
        <v>507</v>
      </c>
      <c r="C1687" s="506">
        <v>1</v>
      </c>
      <c r="D1687" s="499" t="s">
        <v>508</v>
      </c>
      <c r="E1687" s="489">
        <f>FLOOR(SUM(F1686)*0.4,10)</f>
        <v>17460</v>
      </c>
      <c r="F1687" s="489">
        <f>E1687*C1687</f>
        <v>17460</v>
      </c>
      <c r="G1687" s="489">
        <f>E1687*0.3</f>
        <v>5238</v>
      </c>
      <c r="H1687" s="489">
        <f>G1687*C1687</f>
        <v>5238</v>
      </c>
      <c r="I1687" s="489">
        <f>H1687+F1687</f>
        <v>22698</v>
      </c>
      <c r="J1687" s="489"/>
    </row>
    <row r="1688" spans="1:10">
      <c r="A1688" s="539"/>
      <c r="B1688" s="938" t="s">
        <v>509</v>
      </c>
      <c r="C1688" s="506">
        <v>1</v>
      </c>
      <c r="D1688" s="499" t="s">
        <v>508</v>
      </c>
      <c r="E1688" s="489">
        <f>FLOOR(SUM(F1686)*0.3,10)</f>
        <v>13090</v>
      </c>
      <c r="F1688" s="489">
        <f>E1688*C1688</f>
        <v>13090</v>
      </c>
      <c r="G1688" s="489">
        <f>E1688*0.3</f>
        <v>3927</v>
      </c>
      <c r="H1688" s="489">
        <f>G1688*C1688</f>
        <v>3927</v>
      </c>
      <c r="I1688" s="489">
        <f>H1688+F1688</f>
        <v>17017</v>
      </c>
      <c r="J1688" s="489"/>
    </row>
    <row r="1689" spans="1:10">
      <c r="A1689" s="539"/>
      <c r="B1689" s="938" t="s">
        <v>539</v>
      </c>
      <c r="C1689" s="506">
        <v>1</v>
      </c>
      <c r="D1689" s="499" t="s">
        <v>508</v>
      </c>
      <c r="E1689" s="489">
        <f>FLOOR(SUM(F1686)*0.1,10)</f>
        <v>4360</v>
      </c>
      <c r="F1689" s="489">
        <f>E1689*C1689</f>
        <v>4360</v>
      </c>
      <c r="G1689" s="489">
        <f>E1689*0.3</f>
        <v>1308</v>
      </c>
      <c r="H1689" s="489">
        <f>G1689*C1689</f>
        <v>1308</v>
      </c>
      <c r="I1689" s="489">
        <f>H1689+F1689</f>
        <v>5668</v>
      </c>
      <c r="J1689" s="489"/>
    </row>
    <row r="1690" spans="1:10">
      <c r="A1690" s="539"/>
      <c r="B1690" s="938" t="s">
        <v>532</v>
      </c>
      <c r="C1690" s="506"/>
      <c r="D1690" s="499"/>
      <c r="E1690" s="489"/>
      <c r="F1690" s="489"/>
      <c r="G1690" s="489"/>
      <c r="H1690" s="489"/>
      <c r="I1690" s="489"/>
      <c r="J1690" s="489"/>
    </row>
    <row r="1691" spans="1:10">
      <c r="A1691" s="539"/>
      <c r="B1691" s="938" t="s">
        <v>533</v>
      </c>
      <c r="C1691" s="506">
        <v>10</v>
      </c>
      <c r="D1691" s="499" t="s">
        <v>15</v>
      </c>
      <c r="E1691" s="489">
        <v>310</v>
      </c>
      <c r="F1691" s="489">
        <f>E1691*C1691</f>
        <v>3100</v>
      </c>
      <c r="G1691" s="489">
        <v>300</v>
      </c>
      <c r="H1691" s="489">
        <f>G1691*C1691</f>
        <v>3000</v>
      </c>
      <c r="I1691" s="489">
        <f>H1691+F1691</f>
        <v>6100</v>
      </c>
      <c r="J1691" s="489"/>
    </row>
    <row r="1692" spans="1:10">
      <c r="A1692" s="539"/>
      <c r="B1692" s="938" t="s">
        <v>1139</v>
      </c>
      <c r="C1692" s="506">
        <v>1</v>
      </c>
      <c r="D1692" s="499" t="s">
        <v>15</v>
      </c>
      <c r="E1692" s="489">
        <f>32000*3</f>
        <v>96000</v>
      </c>
      <c r="F1692" s="489">
        <f>C1692*E1692</f>
        <v>96000</v>
      </c>
      <c r="G1692" s="489">
        <v>5000</v>
      </c>
      <c r="H1692" s="489">
        <f>C1692*G1692</f>
        <v>5000</v>
      </c>
      <c r="I1692" s="489">
        <f>E1692+H1692</f>
        <v>101000</v>
      </c>
      <c r="J1692" s="489"/>
    </row>
    <row r="1693" spans="1:10">
      <c r="A1693" s="496" t="s">
        <v>1218</v>
      </c>
      <c r="B1693" s="547" t="s">
        <v>543</v>
      </c>
      <c r="C1693" s="506"/>
      <c r="D1693" s="499"/>
      <c r="E1693" s="489"/>
      <c r="F1693" s="489"/>
      <c r="G1693" s="507"/>
      <c r="H1693" s="490"/>
      <c r="I1693" s="490"/>
      <c r="J1693" s="489"/>
    </row>
    <row r="1694" spans="1:10">
      <c r="A1694" s="548"/>
      <c r="B1694" s="938" t="s">
        <v>545</v>
      </c>
      <c r="C1694" s="506">
        <v>3</v>
      </c>
      <c r="D1694" s="499" t="s">
        <v>546</v>
      </c>
      <c r="E1694" s="489">
        <v>14000</v>
      </c>
      <c r="F1694" s="489">
        <f>C1694*E1694</f>
        <v>42000</v>
      </c>
      <c r="G1694" s="507">
        <v>1000</v>
      </c>
      <c r="H1694" s="490">
        <f>C1694*G1694</f>
        <v>3000</v>
      </c>
      <c r="I1694" s="490">
        <f>F1694+H1694</f>
        <v>45000</v>
      </c>
      <c r="J1694" s="489"/>
    </row>
    <row r="1695" spans="1:10">
      <c r="A1695" s="548"/>
      <c r="B1695" s="938" t="s">
        <v>548</v>
      </c>
      <c r="C1695" s="506">
        <v>1</v>
      </c>
      <c r="D1695" s="499" t="s">
        <v>546</v>
      </c>
      <c r="E1695" s="489">
        <v>5800</v>
      </c>
      <c r="F1695" s="489">
        <f>C1695*E1695</f>
        <v>5800</v>
      </c>
      <c r="G1695" s="507">
        <v>100</v>
      </c>
      <c r="H1695" s="490">
        <f>C1695*G1695</f>
        <v>100</v>
      </c>
      <c r="I1695" s="490">
        <f>F1695+H1695</f>
        <v>5900</v>
      </c>
      <c r="J1695" s="489"/>
    </row>
    <row r="1696" spans="1:10">
      <c r="A1696" s="548"/>
      <c r="B1696" s="938" t="s">
        <v>550</v>
      </c>
      <c r="C1696" s="506">
        <v>3</v>
      </c>
      <c r="D1696" s="499" t="s">
        <v>546</v>
      </c>
      <c r="E1696" s="489">
        <v>900</v>
      </c>
      <c r="F1696" s="489">
        <f>C1696*E1696</f>
        <v>2700</v>
      </c>
      <c r="G1696" s="507">
        <v>100</v>
      </c>
      <c r="H1696" s="490">
        <f>C1696*G1696</f>
        <v>300</v>
      </c>
      <c r="I1696" s="490">
        <f>F1696+H1696</f>
        <v>3000</v>
      </c>
      <c r="J1696" s="489"/>
    </row>
    <row r="1697" spans="1:10">
      <c r="A1697" s="548"/>
      <c r="B1697" s="938" t="s">
        <v>552</v>
      </c>
      <c r="C1697" s="506">
        <v>4</v>
      </c>
      <c r="D1697" s="499" t="s">
        <v>546</v>
      </c>
      <c r="E1697" s="489">
        <v>855</v>
      </c>
      <c r="F1697" s="489">
        <f>C1697*E1697</f>
        <v>3420</v>
      </c>
      <c r="G1697" s="507">
        <v>80</v>
      </c>
      <c r="H1697" s="490">
        <f>C1697*G1697</f>
        <v>320</v>
      </c>
      <c r="I1697" s="490">
        <f>F1697+H1697</f>
        <v>3740</v>
      </c>
      <c r="J1697" s="489"/>
    </row>
    <row r="1698" spans="1:10">
      <c r="A1698" s="548"/>
      <c r="B1698" s="938" t="s">
        <v>553</v>
      </c>
      <c r="C1698" s="506"/>
      <c r="D1698" s="499"/>
      <c r="E1698" s="489"/>
      <c r="F1698" s="489"/>
      <c r="G1698" s="507"/>
      <c r="H1698" s="490"/>
      <c r="I1698" s="490"/>
      <c r="J1698" s="489"/>
    </row>
    <row r="1699" spans="1:10">
      <c r="A1699" s="548"/>
      <c r="B1699" s="938" t="s">
        <v>554</v>
      </c>
      <c r="C1699" s="506">
        <v>370</v>
      </c>
      <c r="D1699" s="499" t="s">
        <v>555</v>
      </c>
      <c r="E1699" s="489">
        <v>79</v>
      </c>
      <c r="F1699" s="489">
        <f t="shared" ref="F1699:F1707" si="138">C1699*E1699</f>
        <v>29230</v>
      </c>
      <c r="G1699" s="507">
        <v>60</v>
      </c>
      <c r="H1699" s="490">
        <f t="shared" ref="H1699:H1707" si="139">C1699*G1699</f>
        <v>22200</v>
      </c>
      <c r="I1699" s="490">
        <f t="shared" ref="I1699:I1707" si="140">F1699+H1699</f>
        <v>51430</v>
      </c>
      <c r="J1699" s="489"/>
    </row>
    <row r="1700" spans="1:10">
      <c r="A1700" s="548"/>
      <c r="B1700" s="938" t="s">
        <v>556</v>
      </c>
      <c r="C1700" s="506">
        <v>25</v>
      </c>
      <c r="D1700" s="499" t="s">
        <v>555</v>
      </c>
      <c r="E1700" s="489">
        <v>108</v>
      </c>
      <c r="F1700" s="489">
        <f t="shared" si="138"/>
        <v>2700</v>
      </c>
      <c r="G1700" s="507">
        <v>80</v>
      </c>
      <c r="H1700" s="490">
        <f t="shared" si="139"/>
        <v>2000</v>
      </c>
      <c r="I1700" s="490">
        <f t="shared" si="140"/>
        <v>4700</v>
      </c>
      <c r="J1700" s="489"/>
    </row>
    <row r="1701" spans="1:10">
      <c r="A1701" s="548"/>
      <c r="B1701" s="549" t="s">
        <v>557</v>
      </c>
      <c r="C1701" s="506">
        <v>120</v>
      </c>
      <c r="D1701" s="499" t="s">
        <v>555</v>
      </c>
      <c r="E1701" s="489">
        <v>125</v>
      </c>
      <c r="F1701" s="489">
        <f t="shared" si="138"/>
        <v>15000</v>
      </c>
      <c r="G1701" s="507">
        <v>90</v>
      </c>
      <c r="H1701" s="490">
        <f t="shared" si="139"/>
        <v>10800</v>
      </c>
      <c r="I1701" s="490">
        <f t="shared" si="140"/>
        <v>25800</v>
      </c>
      <c r="J1701" s="489"/>
    </row>
    <row r="1702" spans="1:10">
      <c r="A1702" s="548"/>
      <c r="B1702" s="549" t="s">
        <v>558</v>
      </c>
      <c r="C1702" s="506">
        <v>150</v>
      </c>
      <c r="D1702" s="499" t="s">
        <v>555</v>
      </c>
      <c r="E1702" s="489">
        <v>170</v>
      </c>
      <c r="F1702" s="489">
        <f t="shared" si="138"/>
        <v>25500</v>
      </c>
      <c r="G1702" s="507">
        <v>120</v>
      </c>
      <c r="H1702" s="490">
        <f t="shared" si="139"/>
        <v>18000</v>
      </c>
      <c r="I1702" s="490">
        <f t="shared" si="140"/>
        <v>43500</v>
      </c>
      <c r="J1702" s="489"/>
    </row>
    <row r="1703" spans="1:10">
      <c r="A1703" s="548"/>
      <c r="B1703" s="549" t="s">
        <v>559</v>
      </c>
      <c r="C1703" s="506">
        <v>165</v>
      </c>
      <c r="D1703" s="499" t="s">
        <v>555</v>
      </c>
      <c r="E1703" s="489">
        <v>270</v>
      </c>
      <c r="F1703" s="489">
        <f t="shared" si="138"/>
        <v>44550</v>
      </c>
      <c r="G1703" s="507">
        <v>200</v>
      </c>
      <c r="H1703" s="490">
        <f t="shared" si="139"/>
        <v>33000</v>
      </c>
      <c r="I1703" s="490">
        <f t="shared" si="140"/>
        <v>77550</v>
      </c>
      <c r="J1703" s="489"/>
    </row>
    <row r="1704" spans="1:10">
      <c r="A1704" s="548"/>
      <c r="B1704" s="549" t="s">
        <v>1502</v>
      </c>
      <c r="C1704" s="506">
        <v>5</v>
      </c>
      <c r="D1704" s="499" t="s">
        <v>555</v>
      </c>
      <c r="E1704" s="489">
        <v>349</v>
      </c>
      <c r="F1704" s="489">
        <f t="shared" si="138"/>
        <v>1745</v>
      </c>
      <c r="G1704" s="507">
        <v>260</v>
      </c>
      <c r="H1704" s="490">
        <f t="shared" si="139"/>
        <v>1300</v>
      </c>
      <c r="I1704" s="490">
        <f t="shared" si="140"/>
        <v>3045</v>
      </c>
      <c r="J1704" s="489"/>
    </row>
    <row r="1705" spans="1:10">
      <c r="A1705" s="548"/>
      <c r="B1705" s="549" t="s">
        <v>560</v>
      </c>
      <c r="C1705" s="506">
        <v>50</v>
      </c>
      <c r="D1705" s="499" t="s">
        <v>555</v>
      </c>
      <c r="E1705" s="489">
        <v>523</v>
      </c>
      <c r="F1705" s="489">
        <f t="shared" si="138"/>
        <v>26150</v>
      </c>
      <c r="G1705" s="507">
        <v>375</v>
      </c>
      <c r="H1705" s="490">
        <f t="shared" si="139"/>
        <v>18750</v>
      </c>
      <c r="I1705" s="490">
        <f t="shared" si="140"/>
        <v>44900</v>
      </c>
      <c r="J1705" s="489"/>
    </row>
    <row r="1706" spans="1:10">
      <c r="A1706" s="548"/>
      <c r="B1706" s="549" t="s">
        <v>561</v>
      </c>
      <c r="C1706" s="506">
        <v>70</v>
      </c>
      <c r="D1706" s="499" t="s">
        <v>555</v>
      </c>
      <c r="E1706" s="489">
        <v>909</v>
      </c>
      <c r="F1706" s="489">
        <f t="shared" si="138"/>
        <v>63630</v>
      </c>
      <c r="G1706" s="507">
        <v>650</v>
      </c>
      <c r="H1706" s="490">
        <f t="shared" si="139"/>
        <v>45500</v>
      </c>
      <c r="I1706" s="490">
        <f t="shared" si="140"/>
        <v>109130</v>
      </c>
      <c r="J1706" s="489"/>
    </row>
    <row r="1707" spans="1:10">
      <c r="A1707" s="548"/>
      <c r="B1707" s="549" t="s">
        <v>562</v>
      </c>
      <c r="C1707" s="506">
        <v>70</v>
      </c>
      <c r="D1707" s="499" t="s">
        <v>555</v>
      </c>
      <c r="E1707" s="489">
        <v>1404</v>
      </c>
      <c r="F1707" s="489">
        <f t="shared" si="138"/>
        <v>98280</v>
      </c>
      <c r="G1707" s="507">
        <v>800</v>
      </c>
      <c r="H1707" s="490">
        <f t="shared" si="139"/>
        <v>56000</v>
      </c>
      <c r="I1707" s="490">
        <f t="shared" si="140"/>
        <v>154280</v>
      </c>
      <c r="J1707" s="489"/>
    </row>
    <row r="1708" spans="1:10">
      <c r="A1708" s="548"/>
      <c r="B1708" s="549" t="s">
        <v>507</v>
      </c>
      <c r="C1708" s="506">
        <v>1</v>
      </c>
      <c r="D1708" s="499" t="s">
        <v>508</v>
      </c>
      <c r="E1708" s="489">
        <f>FLOOR(SUM(F1699:F1707)*0.5,1)</f>
        <v>153392</v>
      </c>
      <c r="F1708" s="489">
        <f>E1708*C1708</f>
        <v>153392</v>
      </c>
      <c r="G1708" s="507">
        <f>E1708*0.3</f>
        <v>46017.599999999999</v>
      </c>
      <c r="H1708" s="490">
        <f>G1708*C1708</f>
        <v>46017.599999999999</v>
      </c>
      <c r="I1708" s="490">
        <f>H1708+F1708</f>
        <v>199409.6</v>
      </c>
      <c r="J1708" s="489"/>
    </row>
    <row r="1709" spans="1:10">
      <c r="A1709" s="548"/>
      <c r="B1709" s="938" t="s">
        <v>509</v>
      </c>
      <c r="C1709" s="506">
        <v>1</v>
      </c>
      <c r="D1709" s="499" t="s">
        <v>508</v>
      </c>
      <c r="E1709" s="489">
        <f>FLOOR(SUM(F1699:F1707)*0.2,1)</f>
        <v>61357</v>
      </c>
      <c r="F1709" s="489">
        <f>E1709*C1709</f>
        <v>61357</v>
      </c>
      <c r="G1709" s="489">
        <f>E1709*0.3</f>
        <v>18407.099999999999</v>
      </c>
      <c r="H1709" s="489">
        <f>G1709*C1709</f>
        <v>18407.099999999999</v>
      </c>
      <c r="I1709" s="489">
        <f>H1709+F1709</f>
        <v>79764.100000000006</v>
      </c>
      <c r="J1709" s="489"/>
    </row>
    <row r="1710" spans="1:10">
      <c r="A1710" s="548"/>
      <c r="B1710" s="938" t="s">
        <v>510</v>
      </c>
      <c r="C1710" s="506">
        <v>1</v>
      </c>
      <c r="D1710" s="499" t="s">
        <v>508</v>
      </c>
      <c r="E1710" s="489">
        <f>ROUNDDOWN(SUM(F1699:F1707)*10%,0)</f>
        <v>30678</v>
      </c>
      <c r="F1710" s="489">
        <f>C1710*E1710</f>
        <v>30678</v>
      </c>
      <c r="G1710" s="489">
        <f>ROUNDDOWN(E1710*0.3,0)</f>
        <v>9203</v>
      </c>
      <c r="H1710" s="489">
        <f>C1710*G1710</f>
        <v>9203</v>
      </c>
      <c r="I1710" s="489">
        <f>F1710+H1710</f>
        <v>39881</v>
      </c>
      <c r="J1710" s="489"/>
    </row>
    <row r="1711" spans="1:10">
      <c r="A1711" s="548"/>
      <c r="B1711" s="549" t="s">
        <v>563</v>
      </c>
      <c r="C1711" s="506"/>
      <c r="D1711" s="499"/>
      <c r="E1711" s="489"/>
      <c r="F1711" s="489"/>
      <c r="G1711" s="507"/>
      <c r="H1711" s="490"/>
      <c r="I1711" s="490"/>
      <c r="J1711" s="489"/>
    </row>
    <row r="1712" spans="1:10">
      <c r="A1712" s="548"/>
      <c r="B1712" s="549" t="s">
        <v>577</v>
      </c>
      <c r="C1712" s="506">
        <v>78</v>
      </c>
      <c r="D1712" s="499" t="s">
        <v>565</v>
      </c>
      <c r="E1712" s="489">
        <v>580</v>
      </c>
      <c r="F1712" s="489">
        <f>C1712*E1712</f>
        <v>45240</v>
      </c>
      <c r="G1712" s="507">
        <v>50</v>
      </c>
      <c r="H1712" s="490">
        <f>C1712*G1712</f>
        <v>3900</v>
      </c>
      <c r="I1712" s="490">
        <f>F1712+H1712</f>
        <v>49140</v>
      </c>
      <c r="J1712" s="489"/>
    </row>
    <row r="1713" spans="1:10">
      <c r="A1713" s="548"/>
      <c r="B1713" s="549" t="s">
        <v>564</v>
      </c>
      <c r="C1713" s="506">
        <v>120</v>
      </c>
      <c r="D1713" s="499" t="s">
        <v>565</v>
      </c>
      <c r="E1713" s="489">
        <v>580</v>
      </c>
      <c r="F1713" s="489">
        <f>C1713*E1713</f>
        <v>69600</v>
      </c>
      <c r="G1713" s="507">
        <v>50</v>
      </c>
      <c r="H1713" s="490">
        <f>C1713*G1713</f>
        <v>6000</v>
      </c>
      <c r="I1713" s="490">
        <f>F1713+H1713</f>
        <v>75600</v>
      </c>
      <c r="J1713" s="489"/>
    </row>
    <row r="1714" spans="1:10">
      <c r="A1714" s="548"/>
      <c r="B1714" s="549" t="s">
        <v>593</v>
      </c>
      <c r="C1714" s="506"/>
      <c r="D1714" s="499"/>
      <c r="E1714" s="489"/>
      <c r="F1714" s="489"/>
      <c r="G1714" s="507"/>
      <c r="H1714" s="490"/>
      <c r="I1714" s="490"/>
      <c r="J1714" s="489"/>
    </row>
    <row r="1715" spans="1:10">
      <c r="A1715" s="548"/>
      <c r="B1715" s="549" t="s">
        <v>578</v>
      </c>
      <c r="C1715" s="506">
        <v>1</v>
      </c>
      <c r="D1715" s="499" t="s">
        <v>546</v>
      </c>
      <c r="E1715" s="489">
        <v>12200</v>
      </c>
      <c r="F1715" s="489">
        <f>C1715*E1715</f>
        <v>12200</v>
      </c>
      <c r="G1715" s="507">
        <v>600</v>
      </c>
      <c r="H1715" s="490">
        <f>C1715*G1715</f>
        <v>600</v>
      </c>
      <c r="I1715" s="490">
        <f>F1715+H1715</f>
        <v>12800</v>
      </c>
      <c r="J1715" s="489"/>
    </row>
    <row r="1716" spans="1:10">
      <c r="A1716" s="548"/>
      <c r="B1716" s="549" t="s">
        <v>596</v>
      </c>
      <c r="C1716" s="506"/>
      <c r="D1716" s="499"/>
      <c r="E1716" s="489"/>
      <c r="F1716" s="489"/>
      <c r="G1716" s="507"/>
      <c r="H1716" s="490"/>
      <c r="I1716" s="490"/>
      <c r="J1716" s="489"/>
    </row>
    <row r="1717" spans="1:10">
      <c r="A1717" s="548"/>
      <c r="B1717" s="549" t="s">
        <v>578</v>
      </c>
      <c r="C1717" s="506">
        <v>1</v>
      </c>
      <c r="D1717" s="499" t="s">
        <v>574</v>
      </c>
      <c r="E1717" s="489">
        <v>20000</v>
      </c>
      <c r="F1717" s="489">
        <f>C1717*E1717</f>
        <v>20000</v>
      </c>
      <c r="G1717" s="507">
        <v>500</v>
      </c>
      <c r="H1717" s="490">
        <f>C1717*G1717</f>
        <v>500</v>
      </c>
      <c r="I1717" s="490">
        <f>F1717+H1717</f>
        <v>20500</v>
      </c>
      <c r="J1717" s="489"/>
    </row>
    <row r="1718" spans="1:10">
      <c r="A1718" s="548"/>
      <c r="B1718" s="549" t="s">
        <v>597</v>
      </c>
      <c r="C1718" s="506">
        <v>1</v>
      </c>
      <c r="D1718" s="499" t="s">
        <v>574</v>
      </c>
      <c r="E1718" s="489">
        <v>9360</v>
      </c>
      <c r="F1718" s="489">
        <f>C1718*E1718</f>
        <v>9360</v>
      </c>
      <c r="G1718" s="507">
        <v>150</v>
      </c>
      <c r="H1718" s="490">
        <f>C1718*G1718</f>
        <v>150</v>
      </c>
      <c r="I1718" s="490">
        <f>F1718+H1718</f>
        <v>9510</v>
      </c>
      <c r="J1718" s="489"/>
    </row>
    <row r="1719" spans="1:10">
      <c r="A1719" s="548"/>
      <c r="B1719" s="549" t="s">
        <v>598</v>
      </c>
      <c r="C1719" s="506"/>
      <c r="D1719" s="499"/>
      <c r="E1719" s="489"/>
      <c r="F1719" s="489"/>
      <c r="G1719" s="507"/>
      <c r="H1719" s="490"/>
      <c r="I1719" s="490"/>
      <c r="J1719" s="489"/>
    </row>
    <row r="1720" spans="1:10">
      <c r="A1720" s="548"/>
      <c r="B1720" s="549" t="s">
        <v>554</v>
      </c>
      <c r="C1720" s="506">
        <v>2</v>
      </c>
      <c r="D1720" s="499" t="s">
        <v>574</v>
      </c>
      <c r="E1720" s="489">
        <v>11400</v>
      </c>
      <c r="F1720" s="489">
        <f>C1720*E1720</f>
        <v>22800</v>
      </c>
      <c r="G1720" s="507">
        <v>300</v>
      </c>
      <c r="H1720" s="490">
        <f>C1720*G1720</f>
        <v>600</v>
      </c>
      <c r="I1720" s="490">
        <f>F1720+H1720</f>
        <v>23400</v>
      </c>
      <c r="J1720" s="489"/>
    </row>
    <row r="1721" spans="1:10">
      <c r="A1721" s="548"/>
      <c r="B1721" s="549" t="s">
        <v>600</v>
      </c>
      <c r="C1721" s="506"/>
      <c r="D1721" s="499"/>
      <c r="E1721" s="489"/>
      <c r="F1721" s="489"/>
      <c r="G1721" s="507"/>
      <c r="H1721" s="490"/>
      <c r="I1721" s="490"/>
      <c r="J1721" s="489"/>
    </row>
    <row r="1722" spans="1:10">
      <c r="A1722" s="548"/>
      <c r="B1722" s="549" t="s">
        <v>554</v>
      </c>
      <c r="C1722" s="506">
        <v>1</v>
      </c>
      <c r="D1722" s="499" t="s">
        <v>565</v>
      </c>
      <c r="E1722" s="489">
        <v>500</v>
      </c>
      <c r="F1722" s="489">
        <f>C1722*E1722</f>
        <v>500</v>
      </c>
      <c r="G1722" s="507">
        <v>200</v>
      </c>
      <c r="H1722" s="490">
        <f>C1722*G1722</f>
        <v>200</v>
      </c>
      <c r="I1722" s="490">
        <f>F1722+H1722</f>
        <v>700</v>
      </c>
      <c r="J1722" s="489"/>
    </row>
    <row r="1723" spans="1:10">
      <c r="A1723" s="502"/>
      <c r="B1723" s="503" t="s">
        <v>519</v>
      </c>
      <c r="C1723" s="506">
        <v>1</v>
      </c>
      <c r="D1723" s="499" t="s">
        <v>567</v>
      </c>
      <c r="E1723" s="550" t="s">
        <v>332</v>
      </c>
      <c r="F1723" s="550" t="s">
        <v>332</v>
      </c>
      <c r="G1723" s="507">
        <v>40000</v>
      </c>
      <c r="H1723" s="490">
        <f>C1723*G1723</f>
        <v>40000</v>
      </c>
      <c r="I1723" s="490">
        <f>H1723</f>
        <v>40000</v>
      </c>
      <c r="J1723" s="489"/>
    </row>
    <row r="1724" spans="1:10">
      <c r="A1724" s="947"/>
      <c r="B1724" s="537"/>
      <c r="C1724" s="506"/>
      <c r="D1724" s="499"/>
      <c r="E1724" s="489"/>
      <c r="F1724" s="489"/>
      <c r="G1724" s="489"/>
      <c r="H1724" s="489"/>
      <c r="I1724" s="489"/>
      <c r="J1724" s="489"/>
    </row>
    <row r="1725" spans="1:10">
      <c r="A1725" s="496" t="s">
        <v>528</v>
      </c>
      <c r="B1725" s="563" t="s">
        <v>572</v>
      </c>
      <c r="C1725" s="683"/>
      <c r="D1725" s="951"/>
      <c r="E1725" s="556"/>
      <c r="F1725" s="676"/>
      <c r="G1725" s="557"/>
      <c r="H1725" s="676"/>
      <c r="I1725" s="676"/>
      <c r="J1725" s="558"/>
    </row>
    <row r="1726" spans="1:10">
      <c r="A1726" s="496" t="s">
        <v>1219</v>
      </c>
      <c r="B1726" s="563" t="s">
        <v>520</v>
      </c>
      <c r="C1726" s="683"/>
      <c r="D1726" s="951"/>
      <c r="E1726" s="556"/>
      <c r="F1726" s="676"/>
      <c r="G1726" s="557"/>
      <c r="H1726" s="676"/>
      <c r="I1726" s="676"/>
      <c r="J1726" s="558"/>
    </row>
    <row r="1727" spans="1:10">
      <c r="A1727" s="502"/>
      <c r="B1727" s="555" t="s">
        <v>529</v>
      </c>
      <c r="C1727" s="683"/>
      <c r="D1727" s="951"/>
      <c r="E1727" s="556"/>
      <c r="F1727" s="676"/>
      <c r="G1727" s="557"/>
      <c r="H1727" s="676"/>
      <c r="I1727" s="676"/>
      <c r="J1727" s="558"/>
    </row>
    <row r="1728" spans="1:10">
      <c r="A1728" s="502"/>
      <c r="B1728" s="555" t="s">
        <v>524</v>
      </c>
      <c r="C1728" s="683">
        <v>10</v>
      </c>
      <c r="D1728" s="951" t="s">
        <v>14</v>
      </c>
      <c r="E1728" s="556">
        <v>84</v>
      </c>
      <c r="F1728" s="676">
        <f>E1728*C1728</f>
        <v>840</v>
      </c>
      <c r="G1728" s="557">
        <v>75</v>
      </c>
      <c r="H1728" s="676">
        <f>G1728*C1728</f>
        <v>750</v>
      </c>
      <c r="I1728" s="676">
        <f>H1728+F1728</f>
        <v>1590</v>
      </c>
      <c r="J1728" s="558"/>
    </row>
    <row r="1729" spans="1:10">
      <c r="A1729" s="502"/>
      <c r="B1729" s="555" t="s">
        <v>525</v>
      </c>
      <c r="C1729" s="683">
        <v>10</v>
      </c>
      <c r="D1729" s="951" t="s">
        <v>14</v>
      </c>
      <c r="E1729" s="556">
        <f>FLOOR(SUM(F1728:F1728)*0.4,1)</f>
        <v>336</v>
      </c>
      <c r="F1729" s="676">
        <f>E1729*C1729</f>
        <v>3360</v>
      </c>
      <c r="G1729" s="557">
        <f>E1729*0.3</f>
        <v>100.8</v>
      </c>
      <c r="H1729" s="676">
        <f>G1729*C1729</f>
        <v>1008</v>
      </c>
      <c r="I1729" s="676">
        <f>H1729+F1729</f>
        <v>4368</v>
      </c>
      <c r="J1729" s="558"/>
    </row>
    <row r="1730" spans="1:10">
      <c r="A1730" s="502"/>
      <c r="B1730" s="555" t="s">
        <v>507</v>
      </c>
      <c r="C1730" s="683">
        <v>1</v>
      </c>
      <c r="D1730" s="951" t="s">
        <v>508</v>
      </c>
      <c r="E1730" s="556">
        <f>FLOOR(SUM(F1728:F1729)*0.4,1)</f>
        <v>1680</v>
      </c>
      <c r="F1730" s="676">
        <f>E1730*C1730</f>
        <v>1680</v>
      </c>
      <c r="G1730" s="557">
        <f>E1730*0.3</f>
        <v>504</v>
      </c>
      <c r="H1730" s="676">
        <f>G1730*C1730</f>
        <v>504</v>
      </c>
      <c r="I1730" s="676">
        <f>H1730+F1730</f>
        <v>2184</v>
      </c>
      <c r="J1730" s="558"/>
    </row>
    <row r="1731" spans="1:10">
      <c r="A1731" s="502"/>
      <c r="B1731" s="555" t="s">
        <v>509</v>
      </c>
      <c r="C1731" s="683">
        <v>1</v>
      </c>
      <c r="D1731" s="951" t="s">
        <v>508</v>
      </c>
      <c r="E1731" s="556">
        <f>FLOOR(SUM(F1728:F1729)*0.3,1)</f>
        <v>1260</v>
      </c>
      <c r="F1731" s="676">
        <f>E1731*C1731</f>
        <v>1260</v>
      </c>
      <c r="G1731" s="557">
        <f>E1731*0.3</f>
        <v>378</v>
      </c>
      <c r="H1731" s="676">
        <f>G1731*C1731</f>
        <v>378</v>
      </c>
      <c r="I1731" s="676">
        <f>H1731+F1731</f>
        <v>1638</v>
      </c>
      <c r="J1731" s="558"/>
    </row>
    <row r="1732" spans="1:10">
      <c r="A1732" s="502"/>
      <c r="B1732" s="555" t="s">
        <v>510</v>
      </c>
      <c r="C1732" s="683">
        <v>1</v>
      </c>
      <c r="D1732" s="951" t="s">
        <v>508</v>
      </c>
      <c r="E1732" s="556">
        <f>ROUNDDOWN(SUM(F1728:F1729)*10%,0)</f>
        <v>420</v>
      </c>
      <c r="F1732" s="676">
        <f>C1732*E1732</f>
        <v>420</v>
      </c>
      <c r="G1732" s="557">
        <f>ROUNDDOWN(E1732*0.3,0)</f>
        <v>126</v>
      </c>
      <c r="H1732" s="676">
        <f>C1732*G1732</f>
        <v>126</v>
      </c>
      <c r="I1732" s="676">
        <f>F1732+H1732</f>
        <v>546</v>
      </c>
      <c r="J1732" s="558"/>
    </row>
    <row r="1733" spans="1:10">
      <c r="A1733" s="502"/>
      <c r="B1733" s="555" t="s">
        <v>573</v>
      </c>
      <c r="C1733" s="683"/>
      <c r="D1733" s="951"/>
      <c r="E1733" s="556"/>
      <c r="F1733" s="676"/>
      <c r="G1733" s="557"/>
      <c r="H1733" s="676"/>
      <c r="I1733" s="676"/>
      <c r="J1733" s="558"/>
    </row>
    <row r="1734" spans="1:10">
      <c r="A1734" s="496"/>
      <c r="B1734" s="555" t="s">
        <v>513</v>
      </c>
      <c r="C1734" s="683">
        <v>2</v>
      </c>
      <c r="D1734" s="951" t="s">
        <v>574</v>
      </c>
      <c r="E1734" s="556">
        <v>460</v>
      </c>
      <c r="F1734" s="676">
        <f>C1734*E1734</f>
        <v>920</v>
      </c>
      <c r="G1734" s="557">
        <v>250</v>
      </c>
      <c r="H1734" s="676">
        <f>C1734*G1734</f>
        <v>500</v>
      </c>
      <c r="I1734" s="676">
        <f>F1734+H1734</f>
        <v>1420</v>
      </c>
      <c r="J1734" s="558"/>
    </row>
    <row r="1735" spans="1:10">
      <c r="A1735" s="496" t="s">
        <v>1220</v>
      </c>
      <c r="B1735" s="563" t="s">
        <v>536</v>
      </c>
      <c r="C1735" s="683"/>
      <c r="D1735" s="951"/>
      <c r="E1735" s="556"/>
      <c r="F1735" s="676"/>
      <c r="G1735" s="557"/>
      <c r="H1735" s="676"/>
      <c r="I1735" s="676"/>
      <c r="J1735" s="558"/>
    </row>
    <row r="1736" spans="1:10">
      <c r="A1736" s="502"/>
      <c r="B1736" s="555" t="s">
        <v>575</v>
      </c>
      <c r="C1736" s="683"/>
      <c r="D1736" s="951"/>
      <c r="E1736" s="556"/>
      <c r="F1736" s="676"/>
      <c r="G1736" s="557"/>
      <c r="H1736" s="676"/>
      <c r="I1736" s="676"/>
      <c r="J1736" s="558"/>
    </row>
    <row r="1737" spans="1:10">
      <c r="A1737" s="502"/>
      <c r="B1737" s="555" t="s">
        <v>578</v>
      </c>
      <c r="C1737" s="683">
        <v>10</v>
      </c>
      <c r="D1737" s="951" t="s">
        <v>565</v>
      </c>
      <c r="E1737" s="556">
        <v>1800</v>
      </c>
      <c r="F1737" s="676">
        <f>C1737*E1737</f>
        <v>18000</v>
      </c>
      <c r="G1737" s="557">
        <v>600</v>
      </c>
      <c r="H1737" s="676">
        <f>C1737*G1737</f>
        <v>6000</v>
      </c>
      <c r="I1737" s="676">
        <f>F1737+H1737</f>
        <v>24000</v>
      </c>
      <c r="J1737" s="558"/>
    </row>
    <row r="1738" spans="1:10">
      <c r="A1738" s="496" t="s">
        <v>1804</v>
      </c>
      <c r="B1738" s="563" t="s">
        <v>538</v>
      </c>
      <c r="C1738" s="683"/>
      <c r="D1738" s="951"/>
      <c r="E1738" s="556"/>
      <c r="F1738" s="676"/>
      <c r="G1738" s="557"/>
      <c r="H1738" s="676"/>
      <c r="I1738" s="676"/>
      <c r="J1738" s="558"/>
    </row>
    <row r="1739" spans="1:10">
      <c r="A1739" s="502" t="s">
        <v>1</v>
      </c>
      <c r="B1739" s="555" t="s">
        <v>527</v>
      </c>
      <c r="C1739" s="683">
        <v>150</v>
      </c>
      <c r="D1739" s="951" t="s">
        <v>14</v>
      </c>
      <c r="E1739" s="556">
        <v>177</v>
      </c>
      <c r="F1739" s="676">
        <f>E1739*C1739</f>
        <v>26550</v>
      </c>
      <c r="G1739" s="557">
        <v>100</v>
      </c>
      <c r="H1739" s="676">
        <f>G1739*C1739</f>
        <v>15000</v>
      </c>
      <c r="I1739" s="676">
        <f>H1739+F1739</f>
        <v>41550</v>
      </c>
      <c r="J1739" s="558"/>
    </row>
    <row r="1740" spans="1:10">
      <c r="A1740" s="502"/>
      <c r="B1740" s="555" t="s">
        <v>507</v>
      </c>
      <c r="C1740" s="683">
        <v>1</v>
      </c>
      <c r="D1740" s="951" t="s">
        <v>508</v>
      </c>
      <c r="E1740" s="556">
        <f>FLOOR(SUM(F1739)*0.4,10)</f>
        <v>10620</v>
      </c>
      <c r="F1740" s="676">
        <f>E1740*C1740</f>
        <v>10620</v>
      </c>
      <c r="G1740" s="557">
        <f>E1740*0.3</f>
        <v>3186</v>
      </c>
      <c r="H1740" s="676">
        <f>G1740*C1740</f>
        <v>3186</v>
      </c>
      <c r="I1740" s="676">
        <f>H1740+F1740</f>
        <v>13806</v>
      </c>
      <c r="J1740" s="558"/>
    </row>
    <row r="1741" spans="1:10">
      <c r="A1741" s="502"/>
      <c r="B1741" s="555" t="s">
        <v>509</v>
      </c>
      <c r="C1741" s="683">
        <v>1</v>
      </c>
      <c r="D1741" s="951" t="s">
        <v>508</v>
      </c>
      <c r="E1741" s="556">
        <f>FLOOR(SUM(F1739)*0.3,10)</f>
        <v>7960</v>
      </c>
      <c r="F1741" s="676">
        <f>E1741*C1741</f>
        <v>7960</v>
      </c>
      <c r="G1741" s="557">
        <f>E1741*0.3</f>
        <v>2388</v>
      </c>
      <c r="H1741" s="676">
        <f>G1741*C1741</f>
        <v>2388</v>
      </c>
      <c r="I1741" s="676">
        <f>H1741+F1741</f>
        <v>10348</v>
      </c>
      <c r="J1741" s="558"/>
    </row>
    <row r="1742" spans="1:10">
      <c r="A1742" s="502"/>
      <c r="B1742" s="555" t="s">
        <v>539</v>
      </c>
      <c r="C1742" s="683">
        <v>1</v>
      </c>
      <c r="D1742" s="951" t="s">
        <v>508</v>
      </c>
      <c r="E1742" s="556">
        <f>FLOOR(SUM(F1739)*0.1,10)</f>
        <v>2650</v>
      </c>
      <c r="F1742" s="676">
        <f>E1742*C1742</f>
        <v>2650</v>
      </c>
      <c r="G1742" s="557">
        <f>E1742*0.3</f>
        <v>795</v>
      </c>
      <c r="H1742" s="676">
        <f>G1742*C1742</f>
        <v>795</v>
      </c>
      <c r="I1742" s="676">
        <f>H1742+F1742</f>
        <v>3445</v>
      </c>
      <c r="J1742" s="558"/>
    </row>
    <row r="1743" spans="1:10">
      <c r="A1743" s="502"/>
      <c r="B1743" s="555"/>
      <c r="C1743" s="866"/>
      <c r="D1743" s="529"/>
      <c r="E1743" s="612"/>
      <c r="F1743" s="550"/>
      <c r="G1743" s="557"/>
      <c r="H1743" s="585"/>
      <c r="I1743" s="550"/>
      <c r="J1743" s="558"/>
    </row>
    <row r="1744" spans="1:10">
      <c r="A1744" s="838"/>
      <c r="B1744" s="833" t="s">
        <v>1246</v>
      </c>
      <c r="C1744" s="840"/>
      <c r="D1744" s="841"/>
      <c r="E1744" s="837"/>
      <c r="F1744" s="842">
        <f>SUM(F1637:F1743)</f>
        <v>1264832</v>
      </c>
      <c r="G1744" s="842"/>
      <c r="H1744" s="842">
        <f>SUM(H1637:H1743)</f>
        <v>514156.79999999993</v>
      </c>
      <c r="I1744" s="837">
        <f>SUM(I1637:I1743)</f>
        <v>1778988.8000000003</v>
      </c>
      <c r="J1744" s="843"/>
    </row>
    <row r="1745" spans="1:10">
      <c r="A1745" s="502"/>
      <c r="B1745" s="555"/>
      <c r="C1745" s="866"/>
      <c r="D1745" s="529"/>
      <c r="E1745" s="612"/>
      <c r="F1745" s="550"/>
      <c r="G1745" s="557"/>
      <c r="H1745" s="585"/>
      <c r="I1745" s="550"/>
      <c r="J1745" s="558"/>
    </row>
    <row r="1746" spans="1:10">
      <c r="A1746" s="681">
        <v>4.3</v>
      </c>
      <c r="B1746" s="666" t="s">
        <v>1192</v>
      </c>
      <c r="C1746" s="506"/>
      <c r="D1746" s="499"/>
      <c r="E1746" s="660"/>
      <c r="F1746" s="489"/>
      <c r="G1746" s="672"/>
      <c r="H1746" s="490"/>
      <c r="I1746" s="489"/>
      <c r="J1746" s="508"/>
    </row>
    <row r="1747" spans="1:10">
      <c r="A1747" s="537" t="s">
        <v>537</v>
      </c>
      <c r="B1747" s="937" t="s">
        <v>495</v>
      </c>
      <c r="C1747" s="506"/>
      <c r="D1747" s="499"/>
      <c r="E1747" s="489"/>
      <c r="F1747" s="489"/>
      <c r="G1747" s="507"/>
      <c r="H1747" s="490"/>
      <c r="I1747" s="489"/>
      <c r="J1747" s="508"/>
    </row>
    <row r="1748" spans="1:10">
      <c r="A1748" s="496" t="s">
        <v>1221</v>
      </c>
      <c r="B1748" s="497" t="s">
        <v>498</v>
      </c>
      <c r="C1748" s="506"/>
      <c r="D1748" s="499"/>
      <c r="E1748" s="489"/>
      <c r="F1748" s="489"/>
      <c r="G1748" s="489"/>
      <c r="H1748" s="489"/>
      <c r="I1748" s="489"/>
      <c r="J1748" s="489"/>
    </row>
    <row r="1749" spans="1:10">
      <c r="A1749" s="537"/>
      <c r="B1749" s="938" t="s">
        <v>506</v>
      </c>
      <c r="C1749" s="904">
        <v>80</v>
      </c>
      <c r="D1749" s="499" t="s">
        <v>14</v>
      </c>
      <c r="E1749" s="590">
        <v>834</v>
      </c>
      <c r="F1749" s="590">
        <f>C1749*E1749</f>
        <v>66720</v>
      </c>
      <c r="G1749" s="590">
        <v>150</v>
      </c>
      <c r="H1749" s="590">
        <f>C1749*G1749</f>
        <v>12000</v>
      </c>
      <c r="I1749" s="590">
        <f>F1749+H1749</f>
        <v>78720</v>
      </c>
      <c r="J1749" s="489"/>
    </row>
    <row r="1750" spans="1:10">
      <c r="A1750" s="537"/>
      <c r="B1750" s="938" t="s">
        <v>507</v>
      </c>
      <c r="C1750" s="506">
        <v>1</v>
      </c>
      <c r="D1750" s="499" t="s">
        <v>508</v>
      </c>
      <c r="E1750" s="489">
        <f>ROUNDDOWN(SUM(F1749)*35%,0)</f>
        <v>23352</v>
      </c>
      <c r="F1750" s="489">
        <f>C1750*E1750</f>
        <v>23352</v>
      </c>
      <c r="G1750" s="489">
        <f>ROUNDDOWN(E1750*0.2,0)</f>
        <v>4670</v>
      </c>
      <c r="H1750" s="489">
        <f>C1750*G1750</f>
        <v>4670</v>
      </c>
      <c r="I1750" s="489">
        <f>F1750+H1750</f>
        <v>28022</v>
      </c>
      <c r="J1750" s="489"/>
    </row>
    <row r="1751" spans="1:10">
      <c r="A1751" s="537"/>
      <c r="B1751" s="938" t="s">
        <v>509</v>
      </c>
      <c r="C1751" s="506">
        <v>1</v>
      </c>
      <c r="D1751" s="499" t="s">
        <v>508</v>
      </c>
      <c r="E1751" s="489">
        <f>ROUNDDOWN(SUM(F1749)*20%,0)</f>
        <v>13344</v>
      </c>
      <c r="F1751" s="489">
        <f>C1751*E1751</f>
        <v>13344</v>
      </c>
      <c r="G1751" s="489">
        <f>ROUNDDOWN(E1751*0.2,0)</f>
        <v>2668</v>
      </c>
      <c r="H1751" s="489">
        <f>C1751*G1751</f>
        <v>2668</v>
      </c>
      <c r="I1751" s="489">
        <f>F1751+H1751</f>
        <v>16012</v>
      </c>
      <c r="J1751" s="489"/>
    </row>
    <row r="1752" spans="1:10">
      <c r="A1752" s="537"/>
      <c r="B1752" s="938" t="s">
        <v>510</v>
      </c>
      <c r="C1752" s="506">
        <v>1</v>
      </c>
      <c r="D1752" s="499" t="s">
        <v>508</v>
      </c>
      <c r="E1752" s="489">
        <f>ROUNDDOWN(SUM(F1749)*10%,0)</f>
        <v>6672</v>
      </c>
      <c r="F1752" s="489">
        <f>C1752*E1752</f>
        <v>6672</v>
      </c>
      <c r="G1752" s="489">
        <f>ROUNDDOWN(E1752*0.3,0)</f>
        <v>2001</v>
      </c>
      <c r="H1752" s="489">
        <f>C1752*G1752</f>
        <v>2001</v>
      </c>
      <c r="I1752" s="489">
        <f>F1752+H1752</f>
        <v>8673</v>
      </c>
      <c r="J1752" s="489"/>
    </row>
    <row r="1753" spans="1:10">
      <c r="A1753" s="496" t="s">
        <v>1222</v>
      </c>
      <c r="B1753" s="497" t="s">
        <v>536</v>
      </c>
      <c r="C1753" s="506"/>
      <c r="D1753" s="499"/>
      <c r="E1753" s="489"/>
      <c r="F1753" s="489"/>
      <c r="G1753" s="489"/>
      <c r="H1753" s="489"/>
      <c r="I1753" s="489"/>
      <c r="J1753" s="489"/>
    </row>
    <row r="1754" spans="1:10">
      <c r="A1754" s="539"/>
      <c r="B1754" s="938" t="s">
        <v>538</v>
      </c>
      <c r="C1754" s="904"/>
      <c r="D1754" s="499"/>
      <c r="E1754" s="499"/>
      <c r="F1754" s="499"/>
      <c r="G1754" s="499"/>
      <c r="H1754" s="499"/>
      <c r="I1754" s="499"/>
      <c r="J1754" s="489"/>
    </row>
    <row r="1755" spans="1:10">
      <c r="A1755" s="539" t="s">
        <v>1</v>
      </c>
      <c r="B1755" s="938" t="s">
        <v>527</v>
      </c>
      <c r="C1755" s="506">
        <v>120</v>
      </c>
      <c r="D1755" s="499" t="s">
        <v>14</v>
      </c>
      <c r="E1755" s="489">
        <v>291</v>
      </c>
      <c r="F1755" s="489">
        <f>E1755*C1755</f>
        <v>34920</v>
      </c>
      <c r="G1755" s="489">
        <v>100</v>
      </c>
      <c r="H1755" s="489">
        <f>G1755*C1755</f>
        <v>12000</v>
      </c>
      <c r="I1755" s="489">
        <f>H1755+F1755</f>
        <v>46920</v>
      </c>
      <c r="J1755" s="489"/>
    </row>
    <row r="1756" spans="1:10">
      <c r="A1756" s="539"/>
      <c r="B1756" s="938" t="s">
        <v>507</v>
      </c>
      <c r="C1756" s="506">
        <v>1</v>
      </c>
      <c r="D1756" s="499" t="s">
        <v>508</v>
      </c>
      <c r="E1756" s="489">
        <f>FLOOR(SUM(F1755)*0.4,10)</f>
        <v>13960</v>
      </c>
      <c r="F1756" s="489">
        <f>E1756*C1756</f>
        <v>13960</v>
      </c>
      <c r="G1756" s="489">
        <f>E1756*0.3</f>
        <v>4188</v>
      </c>
      <c r="H1756" s="489">
        <f>G1756*C1756</f>
        <v>4188</v>
      </c>
      <c r="I1756" s="489">
        <f>H1756+F1756</f>
        <v>18148</v>
      </c>
      <c r="J1756" s="489"/>
    </row>
    <row r="1757" spans="1:10">
      <c r="A1757" s="539"/>
      <c r="B1757" s="938" t="s">
        <v>509</v>
      </c>
      <c r="C1757" s="506">
        <v>1</v>
      </c>
      <c r="D1757" s="499" t="s">
        <v>508</v>
      </c>
      <c r="E1757" s="489">
        <f>FLOOR(SUM(F1755)*0.3,10)</f>
        <v>10470</v>
      </c>
      <c r="F1757" s="489">
        <f>E1757*C1757</f>
        <v>10470</v>
      </c>
      <c r="G1757" s="489">
        <f>E1757*0.3</f>
        <v>3141</v>
      </c>
      <c r="H1757" s="489">
        <f>G1757*C1757</f>
        <v>3141</v>
      </c>
      <c r="I1757" s="489">
        <f>H1757+F1757</f>
        <v>13611</v>
      </c>
      <c r="J1757" s="489"/>
    </row>
    <row r="1758" spans="1:10">
      <c r="A1758" s="539"/>
      <c r="B1758" s="938" t="s">
        <v>539</v>
      </c>
      <c r="C1758" s="506">
        <v>1</v>
      </c>
      <c r="D1758" s="499" t="s">
        <v>508</v>
      </c>
      <c r="E1758" s="489">
        <f>FLOOR(SUM(F1755)*0.1,10)</f>
        <v>3490</v>
      </c>
      <c r="F1758" s="489">
        <f>E1758*C1758</f>
        <v>3490</v>
      </c>
      <c r="G1758" s="489">
        <f>E1758*0.3</f>
        <v>1047</v>
      </c>
      <c r="H1758" s="489">
        <f>G1758*C1758</f>
        <v>1047</v>
      </c>
      <c r="I1758" s="489">
        <f>H1758+F1758</f>
        <v>4537</v>
      </c>
      <c r="J1758" s="489"/>
    </row>
    <row r="1759" spans="1:10">
      <c r="A1759" s="539"/>
      <c r="B1759" s="938" t="s">
        <v>532</v>
      </c>
      <c r="C1759" s="506"/>
      <c r="D1759" s="499"/>
      <c r="E1759" s="489"/>
      <c r="F1759" s="489"/>
      <c r="G1759" s="489"/>
      <c r="H1759" s="489"/>
      <c r="I1759" s="489"/>
      <c r="J1759" s="489"/>
    </row>
    <row r="1760" spans="1:10">
      <c r="A1760" s="537"/>
      <c r="B1760" s="938" t="s">
        <v>534</v>
      </c>
      <c r="C1760" s="506">
        <v>19</v>
      </c>
      <c r="D1760" s="499" t="s">
        <v>15</v>
      </c>
      <c r="E1760" s="489">
        <v>580</v>
      </c>
      <c r="F1760" s="489">
        <f>E1760*C1760</f>
        <v>11020</v>
      </c>
      <c r="G1760" s="489">
        <v>300</v>
      </c>
      <c r="H1760" s="489">
        <f>G1760*C1760</f>
        <v>5700</v>
      </c>
      <c r="I1760" s="489">
        <f>H1760+F1760</f>
        <v>16720</v>
      </c>
      <c r="J1760" s="489"/>
    </row>
    <row r="1761" spans="1:10">
      <c r="A1761" s="496" t="s">
        <v>1504</v>
      </c>
      <c r="B1761" s="547" t="s">
        <v>543</v>
      </c>
      <c r="C1761" s="506"/>
      <c r="D1761" s="499"/>
      <c r="E1761" s="489"/>
      <c r="F1761" s="489"/>
      <c r="G1761" s="507"/>
      <c r="H1761" s="490"/>
      <c r="I1761" s="490"/>
      <c r="J1761" s="489"/>
    </row>
    <row r="1762" spans="1:10">
      <c r="A1762" s="548"/>
      <c r="B1762" s="549" t="s">
        <v>545</v>
      </c>
      <c r="C1762" s="506">
        <v>3</v>
      </c>
      <c r="D1762" s="499" t="s">
        <v>546</v>
      </c>
      <c r="E1762" s="489">
        <v>14000</v>
      </c>
      <c r="F1762" s="489">
        <f>C1762*E1762</f>
        <v>42000</v>
      </c>
      <c r="G1762" s="507">
        <v>1000</v>
      </c>
      <c r="H1762" s="490">
        <f>C1762*G1762</f>
        <v>3000</v>
      </c>
      <c r="I1762" s="490">
        <f>F1762+H1762</f>
        <v>45000</v>
      </c>
      <c r="J1762" s="489"/>
    </row>
    <row r="1763" spans="1:10">
      <c r="A1763" s="548"/>
      <c r="B1763" s="549" t="s">
        <v>548</v>
      </c>
      <c r="C1763" s="506">
        <v>1</v>
      </c>
      <c r="D1763" s="499" t="s">
        <v>546</v>
      </c>
      <c r="E1763" s="489">
        <v>5800</v>
      </c>
      <c r="F1763" s="489">
        <f>C1763*E1763</f>
        <v>5800</v>
      </c>
      <c r="G1763" s="507">
        <v>100</v>
      </c>
      <c r="H1763" s="490">
        <f>C1763*G1763</f>
        <v>100</v>
      </c>
      <c r="I1763" s="490">
        <f>F1763+H1763</f>
        <v>5900</v>
      </c>
      <c r="J1763" s="489"/>
    </row>
    <row r="1764" spans="1:10">
      <c r="A1764" s="548"/>
      <c r="B1764" s="549" t="s">
        <v>550</v>
      </c>
      <c r="C1764" s="506">
        <v>1</v>
      </c>
      <c r="D1764" s="499" t="s">
        <v>546</v>
      </c>
      <c r="E1764" s="489">
        <v>900</v>
      </c>
      <c r="F1764" s="489">
        <f>C1764*E1764</f>
        <v>900</v>
      </c>
      <c r="G1764" s="507">
        <v>100</v>
      </c>
      <c r="H1764" s="490">
        <f>C1764*G1764</f>
        <v>100</v>
      </c>
      <c r="I1764" s="490">
        <f>F1764+H1764</f>
        <v>1000</v>
      </c>
      <c r="J1764" s="489"/>
    </row>
    <row r="1765" spans="1:10">
      <c r="A1765" s="548"/>
      <c r="B1765" s="549" t="s">
        <v>552</v>
      </c>
      <c r="C1765" s="506">
        <v>2</v>
      </c>
      <c r="D1765" s="499" t="s">
        <v>546</v>
      </c>
      <c r="E1765" s="489">
        <v>855</v>
      </c>
      <c r="F1765" s="489">
        <f>C1765*E1765</f>
        <v>1710</v>
      </c>
      <c r="G1765" s="507">
        <v>80</v>
      </c>
      <c r="H1765" s="490">
        <f>C1765*G1765</f>
        <v>160</v>
      </c>
      <c r="I1765" s="490">
        <f>F1765+H1765</f>
        <v>1870</v>
      </c>
      <c r="J1765" s="489"/>
    </row>
    <row r="1766" spans="1:10">
      <c r="A1766" s="548"/>
      <c r="B1766" s="549" t="s">
        <v>553</v>
      </c>
      <c r="C1766" s="506"/>
      <c r="D1766" s="499"/>
      <c r="E1766" s="489"/>
      <c r="F1766" s="489"/>
      <c r="G1766" s="507"/>
      <c r="H1766" s="490"/>
      <c r="I1766" s="490"/>
      <c r="J1766" s="489"/>
    </row>
    <row r="1767" spans="1:10">
      <c r="A1767" s="548"/>
      <c r="B1767" s="549" t="s">
        <v>554</v>
      </c>
      <c r="C1767" s="506">
        <v>475</v>
      </c>
      <c r="D1767" s="499" t="s">
        <v>555</v>
      </c>
      <c r="E1767" s="489">
        <v>79</v>
      </c>
      <c r="F1767" s="489">
        <f t="shared" ref="F1767:F1775" si="141">C1767*E1767</f>
        <v>37525</v>
      </c>
      <c r="G1767" s="507">
        <v>60</v>
      </c>
      <c r="H1767" s="490">
        <f t="shared" ref="H1767:H1775" si="142">C1767*G1767</f>
        <v>28500</v>
      </c>
      <c r="I1767" s="490">
        <f t="shared" ref="I1767:I1775" si="143">F1767+H1767</f>
        <v>66025</v>
      </c>
      <c r="J1767" s="489"/>
    </row>
    <row r="1768" spans="1:10">
      <c r="A1768" s="548"/>
      <c r="B1768" s="549" t="s">
        <v>556</v>
      </c>
      <c r="C1768" s="506">
        <v>7</v>
      </c>
      <c r="D1768" s="499" t="s">
        <v>555</v>
      </c>
      <c r="E1768" s="489">
        <v>108</v>
      </c>
      <c r="F1768" s="489">
        <f t="shared" si="141"/>
        <v>756</v>
      </c>
      <c r="G1768" s="507">
        <v>80</v>
      </c>
      <c r="H1768" s="490">
        <f t="shared" si="142"/>
        <v>560</v>
      </c>
      <c r="I1768" s="490">
        <f t="shared" si="143"/>
        <v>1316</v>
      </c>
      <c r="J1768" s="489"/>
    </row>
    <row r="1769" spans="1:10">
      <c r="A1769" s="548"/>
      <c r="B1769" s="549" t="s">
        <v>557</v>
      </c>
      <c r="C1769" s="506">
        <v>80</v>
      </c>
      <c r="D1769" s="499" t="s">
        <v>555</v>
      </c>
      <c r="E1769" s="489">
        <v>125</v>
      </c>
      <c r="F1769" s="489">
        <f t="shared" si="141"/>
        <v>10000</v>
      </c>
      <c r="G1769" s="507">
        <v>90</v>
      </c>
      <c r="H1769" s="490">
        <f t="shared" si="142"/>
        <v>7200</v>
      </c>
      <c r="I1769" s="490">
        <f t="shared" si="143"/>
        <v>17200</v>
      </c>
      <c r="J1769" s="489"/>
    </row>
    <row r="1770" spans="1:10">
      <c r="A1770" s="548"/>
      <c r="B1770" s="549" t="s">
        <v>558</v>
      </c>
      <c r="C1770" s="506">
        <v>100</v>
      </c>
      <c r="D1770" s="499" t="s">
        <v>555</v>
      </c>
      <c r="E1770" s="489">
        <v>170</v>
      </c>
      <c r="F1770" s="489">
        <f t="shared" si="141"/>
        <v>17000</v>
      </c>
      <c r="G1770" s="507">
        <v>120</v>
      </c>
      <c r="H1770" s="490">
        <f t="shared" si="142"/>
        <v>12000</v>
      </c>
      <c r="I1770" s="490">
        <f t="shared" si="143"/>
        <v>29000</v>
      </c>
      <c r="J1770" s="489"/>
    </row>
    <row r="1771" spans="1:10">
      <c r="A1771" s="548"/>
      <c r="B1771" s="549" t="s">
        <v>559</v>
      </c>
      <c r="C1771" s="506">
        <v>105</v>
      </c>
      <c r="D1771" s="499" t="s">
        <v>555</v>
      </c>
      <c r="E1771" s="489">
        <v>270</v>
      </c>
      <c r="F1771" s="489">
        <f t="shared" si="141"/>
        <v>28350</v>
      </c>
      <c r="G1771" s="507">
        <v>200</v>
      </c>
      <c r="H1771" s="490">
        <f t="shared" si="142"/>
        <v>21000</v>
      </c>
      <c r="I1771" s="490">
        <f t="shared" si="143"/>
        <v>49350</v>
      </c>
      <c r="J1771" s="489"/>
    </row>
    <row r="1772" spans="1:10">
      <c r="A1772" s="548"/>
      <c r="B1772" s="549" t="s">
        <v>1502</v>
      </c>
      <c r="C1772" s="506">
        <v>25</v>
      </c>
      <c r="D1772" s="499" t="s">
        <v>555</v>
      </c>
      <c r="E1772" s="489">
        <v>349</v>
      </c>
      <c r="F1772" s="489">
        <f>C1772*E1772</f>
        <v>8725</v>
      </c>
      <c r="G1772" s="507">
        <v>260</v>
      </c>
      <c r="H1772" s="490">
        <f>C1772*G1772</f>
        <v>6500</v>
      </c>
      <c r="I1772" s="490">
        <f>F1772+H1772</f>
        <v>15225</v>
      </c>
      <c r="J1772" s="489"/>
    </row>
    <row r="1773" spans="1:10">
      <c r="A1773" s="548"/>
      <c r="B1773" s="549" t="s">
        <v>560</v>
      </c>
      <c r="C1773" s="506">
        <v>140</v>
      </c>
      <c r="D1773" s="499" t="s">
        <v>555</v>
      </c>
      <c r="E1773" s="489">
        <v>523</v>
      </c>
      <c r="F1773" s="489">
        <f t="shared" si="141"/>
        <v>73220</v>
      </c>
      <c r="G1773" s="507">
        <v>375</v>
      </c>
      <c r="H1773" s="490">
        <f t="shared" si="142"/>
        <v>52500</v>
      </c>
      <c r="I1773" s="490">
        <f t="shared" si="143"/>
        <v>125720</v>
      </c>
      <c r="J1773" s="489"/>
    </row>
    <row r="1774" spans="1:10">
      <c r="A1774" s="548"/>
      <c r="B1774" s="549" t="s">
        <v>561</v>
      </c>
      <c r="C1774" s="506">
        <v>145</v>
      </c>
      <c r="D1774" s="499" t="s">
        <v>555</v>
      </c>
      <c r="E1774" s="489">
        <v>909</v>
      </c>
      <c r="F1774" s="489">
        <f t="shared" si="141"/>
        <v>131805</v>
      </c>
      <c r="G1774" s="507">
        <v>650</v>
      </c>
      <c r="H1774" s="490">
        <f t="shared" si="142"/>
        <v>94250</v>
      </c>
      <c r="I1774" s="490">
        <f t="shared" si="143"/>
        <v>226055</v>
      </c>
      <c r="J1774" s="489"/>
    </row>
    <row r="1775" spans="1:10">
      <c r="A1775" s="548"/>
      <c r="B1775" s="549" t="s">
        <v>562</v>
      </c>
      <c r="C1775" s="506">
        <v>120</v>
      </c>
      <c r="D1775" s="499" t="s">
        <v>555</v>
      </c>
      <c r="E1775" s="489">
        <v>1404</v>
      </c>
      <c r="F1775" s="489">
        <f t="shared" si="141"/>
        <v>168480</v>
      </c>
      <c r="G1775" s="507">
        <v>800</v>
      </c>
      <c r="H1775" s="490">
        <f t="shared" si="142"/>
        <v>96000</v>
      </c>
      <c r="I1775" s="490">
        <f t="shared" si="143"/>
        <v>264480</v>
      </c>
      <c r="J1775" s="489"/>
    </row>
    <row r="1776" spans="1:10">
      <c r="A1776" s="548"/>
      <c r="B1776" s="549" t="s">
        <v>507</v>
      </c>
      <c r="C1776" s="506">
        <v>1</v>
      </c>
      <c r="D1776" s="499" t="s">
        <v>508</v>
      </c>
      <c r="E1776" s="489">
        <f>FLOOR(SUM(F1767:F1775)*0.5,1)</f>
        <v>237930</v>
      </c>
      <c r="F1776" s="489">
        <f>E1776*C1776</f>
        <v>237930</v>
      </c>
      <c r="G1776" s="507">
        <f>E1776*0.3</f>
        <v>71379</v>
      </c>
      <c r="H1776" s="490">
        <f>G1776*C1776</f>
        <v>71379</v>
      </c>
      <c r="I1776" s="490">
        <f>H1776+F1776</f>
        <v>309309</v>
      </c>
      <c r="J1776" s="489"/>
    </row>
    <row r="1777" spans="1:10">
      <c r="A1777" s="548"/>
      <c r="B1777" s="549" t="s">
        <v>509</v>
      </c>
      <c r="C1777" s="506">
        <v>1</v>
      </c>
      <c r="D1777" s="499" t="s">
        <v>508</v>
      </c>
      <c r="E1777" s="489">
        <f>FLOOR(SUM(F1767:F1775)*0.2,1)</f>
        <v>95172</v>
      </c>
      <c r="F1777" s="489">
        <f>E1777*C1777</f>
        <v>95172</v>
      </c>
      <c r="G1777" s="507">
        <f>E1777*0.3</f>
        <v>28551.599999999999</v>
      </c>
      <c r="H1777" s="490">
        <f>G1777*C1777</f>
        <v>28551.599999999999</v>
      </c>
      <c r="I1777" s="490">
        <f>H1777+F1777</f>
        <v>123723.6</v>
      </c>
      <c r="J1777" s="489"/>
    </row>
    <row r="1778" spans="1:10">
      <c r="A1778" s="548"/>
      <c r="B1778" s="549" t="s">
        <v>510</v>
      </c>
      <c r="C1778" s="506">
        <v>1</v>
      </c>
      <c r="D1778" s="499" t="s">
        <v>508</v>
      </c>
      <c r="E1778" s="489">
        <f>ROUNDDOWN(SUM(F1767:F1775)*10%,0)</f>
        <v>47586</v>
      </c>
      <c r="F1778" s="489">
        <f>C1778*E1778</f>
        <v>47586</v>
      </c>
      <c r="G1778" s="507">
        <f>ROUNDDOWN(E1778*0.3,0)</f>
        <v>14275</v>
      </c>
      <c r="H1778" s="490">
        <f>C1778*G1778</f>
        <v>14275</v>
      </c>
      <c r="I1778" s="490">
        <f>F1778+H1778</f>
        <v>61861</v>
      </c>
      <c r="J1778" s="489"/>
    </row>
    <row r="1779" spans="1:10">
      <c r="A1779" s="548"/>
      <c r="B1779" s="549" t="s">
        <v>563</v>
      </c>
      <c r="C1779" s="506"/>
      <c r="D1779" s="499"/>
      <c r="E1779" s="489"/>
      <c r="F1779" s="489"/>
      <c r="G1779" s="507"/>
      <c r="H1779" s="490"/>
      <c r="I1779" s="490"/>
      <c r="J1779" s="489"/>
    </row>
    <row r="1780" spans="1:10">
      <c r="A1780" s="548"/>
      <c r="B1780" s="549" t="s">
        <v>577</v>
      </c>
      <c r="C1780" s="506">
        <v>169</v>
      </c>
      <c r="D1780" s="499" t="s">
        <v>565</v>
      </c>
      <c r="E1780" s="489">
        <v>580</v>
      </c>
      <c r="F1780" s="489">
        <f>C1780*E1780</f>
        <v>98020</v>
      </c>
      <c r="G1780" s="507">
        <v>50</v>
      </c>
      <c r="H1780" s="490">
        <f>C1780*G1780</f>
        <v>8450</v>
      </c>
      <c r="I1780" s="490">
        <f>F1780+H1780</f>
        <v>106470</v>
      </c>
      <c r="J1780" s="489"/>
    </row>
    <row r="1781" spans="1:10">
      <c r="A1781" s="548"/>
      <c r="B1781" s="549" t="s">
        <v>564</v>
      </c>
      <c r="C1781" s="506">
        <v>8</v>
      </c>
      <c r="D1781" s="499" t="s">
        <v>565</v>
      </c>
      <c r="E1781" s="489">
        <v>580</v>
      </c>
      <c r="F1781" s="489">
        <f>C1781*E1781</f>
        <v>4640</v>
      </c>
      <c r="G1781" s="507">
        <v>50</v>
      </c>
      <c r="H1781" s="490">
        <f>C1781*G1781</f>
        <v>400</v>
      </c>
      <c r="I1781" s="490">
        <f>F1781+H1781</f>
        <v>5040</v>
      </c>
      <c r="J1781" s="489"/>
    </row>
    <row r="1782" spans="1:10">
      <c r="A1782" s="548"/>
      <c r="B1782" s="549" t="s">
        <v>593</v>
      </c>
      <c r="C1782" s="506"/>
      <c r="D1782" s="499"/>
      <c r="E1782" s="489"/>
      <c r="F1782" s="489"/>
      <c r="G1782" s="507"/>
      <c r="H1782" s="490"/>
      <c r="I1782" s="490"/>
      <c r="J1782" s="489"/>
    </row>
    <row r="1783" spans="1:10">
      <c r="A1783" s="548"/>
      <c r="B1783" s="549" t="s">
        <v>578</v>
      </c>
      <c r="C1783" s="506">
        <v>1</v>
      </c>
      <c r="D1783" s="499" t="s">
        <v>546</v>
      </c>
      <c r="E1783" s="489">
        <v>12200</v>
      </c>
      <c r="F1783" s="489">
        <f>C1783*E1783</f>
        <v>12200</v>
      </c>
      <c r="G1783" s="507">
        <v>600</v>
      </c>
      <c r="H1783" s="490">
        <f>C1783*G1783</f>
        <v>600</v>
      </c>
      <c r="I1783" s="490">
        <f>F1783+H1783</f>
        <v>12800</v>
      </c>
      <c r="J1783" s="489"/>
    </row>
    <row r="1784" spans="1:10">
      <c r="A1784" s="548"/>
      <c r="B1784" s="549" t="s">
        <v>596</v>
      </c>
      <c r="C1784" s="506"/>
      <c r="D1784" s="499"/>
      <c r="E1784" s="489"/>
      <c r="F1784" s="489"/>
      <c r="G1784" s="507"/>
      <c r="H1784" s="490"/>
      <c r="I1784" s="490"/>
      <c r="J1784" s="489"/>
    </row>
    <row r="1785" spans="1:10">
      <c r="A1785" s="548"/>
      <c r="B1785" s="549" t="s">
        <v>578</v>
      </c>
      <c r="C1785" s="506">
        <v>1</v>
      </c>
      <c r="D1785" s="499" t="s">
        <v>574</v>
      </c>
      <c r="E1785" s="489">
        <v>20000</v>
      </c>
      <c r="F1785" s="489">
        <f>C1785*E1785</f>
        <v>20000</v>
      </c>
      <c r="G1785" s="507">
        <v>500</v>
      </c>
      <c r="H1785" s="490">
        <f>C1785*G1785</f>
        <v>500</v>
      </c>
      <c r="I1785" s="490">
        <f>F1785+H1785</f>
        <v>20500</v>
      </c>
      <c r="J1785" s="489"/>
    </row>
    <row r="1786" spans="1:10">
      <c r="A1786" s="548"/>
      <c r="B1786" s="549" t="s">
        <v>597</v>
      </c>
      <c r="C1786" s="506">
        <v>1</v>
      </c>
      <c r="D1786" s="499" t="s">
        <v>574</v>
      </c>
      <c r="E1786" s="489">
        <v>9360</v>
      </c>
      <c r="F1786" s="489">
        <f>C1786*E1786</f>
        <v>9360</v>
      </c>
      <c r="G1786" s="507">
        <v>150</v>
      </c>
      <c r="H1786" s="490">
        <f>C1786*G1786</f>
        <v>150</v>
      </c>
      <c r="I1786" s="490">
        <f>F1786+H1786</f>
        <v>9510</v>
      </c>
      <c r="J1786" s="489"/>
    </row>
    <row r="1787" spans="1:10">
      <c r="A1787" s="548"/>
      <c r="B1787" s="549" t="s">
        <v>598</v>
      </c>
      <c r="C1787" s="506"/>
      <c r="D1787" s="499"/>
      <c r="E1787" s="489"/>
      <c r="F1787" s="489"/>
      <c r="G1787" s="507"/>
      <c r="H1787" s="490"/>
      <c r="I1787" s="490"/>
      <c r="J1787" s="489"/>
    </row>
    <row r="1788" spans="1:10">
      <c r="A1788" s="548"/>
      <c r="B1788" s="549" t="s">
        <v>554</v>
      </c>
      <c r="C1788" s="506">
        <v>2</v>
      </c>
      <c r="D1788" s="499" t="s">
        <v>574</v>
      </c>
      <c r="E1788" s="489">
        <v>11400</v>
      </c>
      <c r="F1788" s="489">
        <f>C1788*E1788</f>
        <v>22800</v>
      </c>
      <c r="G1788" s="507">
        <v>300</v>
      </c>
      <c r="H1788" s="490">
        <f>C1788*G1788</f>
        <v>600</v>
      </c>
      <c r="I1788" s="490">
        <f>F1788+H1788</f>
        <v>23400</v>
      </c>
      <c r="J1788" s="489"/>
    </row>
    <row r="1789" spans="1:10">
      <c r="A1789" s="548"/>
      <c r="B1789" s="549" t="s">
        <v>600</v>
      </c>
      <c r="C1789" s="506"/>
      <c r="D1789" s="499"/>
      <c r="E1789" s="489"/>
      <c r="F1789" s="489"/>
      <c r="G1789" s="507"/>
      <c r="H1789" s="490"/>
      <c r="I1789" s="490"/>
      <c r="J1789" s="489"/>
    </row>
    <row r="1790" spans="1:10">
      <c r="A1790" s="548"/>
      <c r="B1790" s="549" t="s">
        <v>554</v>
      </c>
      <c r="C1790" s="506">
        <v>1</v>
      </c>
      <c r="D1790" s="499" t="s">
        <v>565</v>
      </c>
      <c r="E1790" s="489">
        <v>500</v>
      </c>
      <c r="F1790" s="489">
        <f>C1790*E1790</f>
        <v>500</v>
      </c>
      <c r="G1790" s="507">
        <v>200</v>
      </c>
      <c r="H1790" s="490">
        <f>C1790*G1790</f>
        <v>200</v>
      </c>
      <c r="I1790" s="490">
        <f>F1790+H1790</f>
        <v>700</v>
      </c>
      <c r="J1790" s="489"/>
    </row>
    <row r="1791" spans="1:10">
      <c r="A1791" s="502"/>
      <c r="B1791" s="503" t="s">
        <v>519</v>
      </c>
      <c r="C1791" s="506">
        <v>1</v>
      </c>
      <c r="D1791" s="499" t="s">
        <v>567</v>
      </c>
      <c r="E1791" s="550" t="s">
        <v>332</v>
      </c>
      <c r="F1791" s="550" t="s">
        <v>332</v>
      </c>
      <c r="G1791" s="507">
        <v>40000</v>
      </c>
      <c r="H1791" s="490">
        <f>C1791*G1791</f>
        <v>40000</v>
      </c>
      <c r="I1791" s="490">
        <f>H1791</f>
        <v>40000</v>
      </c>
      <c r="J1791" s="489"/>
    </row>
    <row r="1792" spans="1:10">
      <c r="A1792" s="947"/>
      <c r="B1792" s="537"/>
      <c r="C1792" s="506"/>
      <c r="D1792" s="499"/>
      <c r="E1792" s="489"/>
      <c r="F1792" s="489"/>
      <c r="G1792" s="489"/>
      <c r="H1792" s="489"/>
      <c r="I1792" s="489"/>
      <c r="J1792" s="489"/>
    </row>
    <row r="1793" spans="1:10">
      <c r="A1793" s="537" t="s">
        <v>540</v>
      </c>
      <c r="B1793" s="937" t="s">
        <v>568</v>
      </c>
      <c r="C1793" s="506"/>
      <c r="D1793" s="499"/>
      <c r="E1793" s="489"/>
      <c r="F1793" s="489"/>
      <c r="G1793" s="507"/>
      <c r="H1793" s="490"/>
      <c r="I1793" s="490"/>
      <c r="J1793" s="489"/>
    </row>
    <row r="1794" spans="1:10">
      <c r="A1794" s="496" t="s">
        <v>1223</v>
      </c>
      <c r="B1794" s="497" t="s">
        <v>536</v>
      </c>
      <c r="C1794" s="506"/>
      <c r="D1794" s="499"/>
      <c r="E1794" s="489"/>
      <c r="F1794" s="489"/>
      <c r="G1794" s="489"/>
      <c r="H1794" s="489"/>
      <c r="I1794" s="489"/>
      <c r="J1794" s="489"/>
    </row>
    <row r="1795" spans="1:10">
      <c r="A1795" s="539"/>
      <c r="B1795" s="938" t="s">
        <v>538</v>
      </c>
      <c r="C1795" s="904"/>
      <c r="D1795" s="499"/>
      <c r="E1795" s="499"/>
      <c r="F1795" s="499"/>
      <c r="G1795" s="499"/>
      <c r="H1795" s="499"/>
      <c r="I1795" s="499"/>
      <c r="J1795" s="489"/>
    </row>
    <row r="1796" spans="1:10">
      <c r="A1796" s="539" t="s">
        <v>1</v>
      </c>
      <c r="B1796" s="938" t="s">
        <v>527</v>
      </c>
      <c r="C1796" s="506">
        <v>120</v>
      </c>
      <c r="D1796" s="499" t="s">
        <v>14</v>
      </c>
      <c r="E1796" s="489">
        <v>291</v>
      </c>
      <c r="F1796" s="489">
        <f>E1796*C1796</f>
        <v>34920</v>
      </c>
      <c r="G1796" s="489">
        <v>100</v>
      </c>
      <c r="H1796" s="489">
        <f>G1796*C1796</f>
        <v>12000</v>
      </c>
      <c r="I1796" s="489">
        <f>H1796+F1796</f>
        <v>46920</v>
      </c>
      <c r="J1796" s="489"/>
    </row>
    <row r="1797" spans="1:10">
      <c r="A1797" s="539"/>
      <c r="B1797" s="938" t="s">
        <v>507</v>
      </c>
      <c r="C1797" s="506">
        <v>1</v>
      </c>
      <c r="D1797" s="499" t="s">
        <v>508</v>
      </c>
      <c r="E1797" s="489">
        <f>FLOOR(SUM(F1796)*0.4,10)</f>
        <v>13960</v>
      </c>
      <c r="F1797" s="489">
        <f>E1797*C1797</f>
        <v>13960</v>
      </c>
      <c r="G1797" s="489">
        <f>E1797*0.3</f>
        <v>4188</v>
      </c>
      <c r="H1797" s="489">
        <f>G1797*C1797</f>
        <v>4188</v>
      </c>
      <c r="I1797" s="489">
        <f>H1797+F1797</f>
        <v>18148</v>
      </c>
      <c r="J1797" s="489"/>
    </row>
    <row r="1798" spans="1:10">
      <c r="A1798" s="539"/>
      <c r="B1798" s="938" t="s">
        <v>509</v>
      </c>
      <c r="C1798" s="506">
        <v>1</v>
      </c>
      <c r="D1798" s="499" t="s">
        <v>508</v>
      </c>
      <c r="E1798" s="489">
        <f>FLOOR(SUM(F1796)*0.3,10)</f>
        <v>10470</v>
      </c>
      <c r="F1798" s="489">
        <f>E1798*C1798</f>
        <v>10470</v>
      </c>
      <c r="G1798" s="489">
        <f>E1798*0.3</f>
        <v>3141</v>
      </c>
      <c r="H1798" s="489">
        <f>G1798*C1798</f>
        <v>3141</v>
      </c>
      <c r="I1798" s="489">
        <f>H1798+F1798</f>
        <v>13611</v>
      </c>
      <c r="J1798" s="489"/>
    </row>
    <row r="1799" spans="1:10">
      <c r="A1799" s="539"/>
      <c r="B1799" s="938" t="s">
        <v>539</v>
      </c>
      <c r="C1799" s="506">
        <v>1</v>
      </c>
      <c r="D1799" s="499" t="s">
        <v>508</v>
      </c>
      <c r="E1799" s="489">
        <f>FLOOR(SUM(F1796)*0.1,10)</f>
        <v>3490</v>
      </c>
      <c r="F1799" s="489">
        <f>E1799*C1799</f>
        <v>3490</v>
      </c>
      <c r="G1799" s="489">
        <f>E1799*0.3</f>
        <v>1047</v>
      </c>
      <c r="H1799" s="489">
        <f>G1799*C1799</f>
        <v>1047</v>
      </c>
      <c r="I1799" s="489">
        <f>H1799+F1799</f>
        <v>4537</v>
      </c>
      <c r="J1799" s="489"/>
    </row>
    <row r="1800" spans="1:10">
      <c r="A1800" s="496" t="s">
        <v>1224</v>
      </c>
      <c r="B1800" s="547" t="s">
        <v>543</v>
      </c>
      <c r="C1800" s="506"/>
      <c r="D1800" s="499"/>
      <c r="E1800" s="489"/>
      <c r="F1800" s="489"/>
      <c r="G1800" s="507"/>
      <c r="H1800" s="490"/>
      <c r="I1800" s="490"/>
      <c r="J1800" s="489"/>
    </row>
    <row r="1801" spans="1:10">
      <c r="A1801" s="548"/>
      <c r="B1801" s="938" t="s">
        <v>545</v>
      </c>
      <c r="C1801" s="506">
        <v>3</v>
      </c>
      <c r="D1801" s="499" t="s">
        <v>546</v>
      </c>
      <c r="E1801" s="489">
        <v>14000</v>
      </c>
      <c r="F1801" s="489">
        <f>C1801*E1801</f>
        <v>42000</v>
      </c>
      <c r="G1801" s="507">
        <v>1000</v>
      </c>
      <c r="H1801" s="490">
        <f>C1801*G1801</f>
        <v>3000</v>
      </c>
      <c r="I1801" s="490">
        <f>F1801+H1801</f>
        <v>45000</v>
      </c>
      <c r="J1801" s="489"/>
    </row>
    <row r="1802" spans="1:10">
      <c r="A1802" s="548"/>
      <c r="B1802" s="938" t="s">
        <v>548</v>
      </c>
      <c r="C1802" s="506">
        <v>1</v>
      </c>
      <c r="D1802" s="499" t="s">
        <v>546</v>
      </c>
      <c r="E1802" s="489">
        <v>5800</v>
      </c>
      <c r="F1802" s="489">
        <f>C1802*E1802</f>
        <v>5800</v>
      </c>
      <c r="G1802" s="507">
        <v>100</v>
      </c>
      <c r="H1802" s="490">
        <f>C1802*G1802</f>
        <v>100</v>
      </c>
      <c r="I1802" s="490">
        <f>F1802+H1802</f>
        <v>5900</v>
      </c>
      <c r="J1802" s="489"/>
    </row>
    <row r="1803" spans="1:10">
      <c r="A1803" s="548"/>
      <c r="B1803" s="938" t="s">
        <v>552</v>
      </c>
      <c r="C1803" s="506">
        <v>1</v>
      </c>
      <c r="D1803" s="499" t="s">
        <v>546</v>
      </c>
      <c r="E1803" s="489">
        <v>855</v>
      </c>
      <c r="F1803" s="489">
        <f>C1803*E1803</f>
        <v>855</v>
      </c>
      <c r="G1803" s="507">
        <v>80</v>
      </c>
      <c r="H1803" s="490">
        <f>C1803*G1803</f>
        <v>80</v>
      </c>
      <c r="I1803" s="490">
        <f>F1803+H1803</f>
        <v>935</v>
      </c>
      <c r="J1803" s="489"/>
    </row>
    <row r="1804" spans="1:10">
      <c r="A1804" s="548"/>
      <c r="B1804" s="938" t="s">
        <v>553</v>
      </c>
      <c r="C1804" s="506"/>
      <c r="D1804" s="499"/>
      <c r="E1804" s="489"/>
      <c r="F1804" s="489"/>
      <c r="G1804" s="507"/>
      <c r="H1804" s="490"/>
      <c r="I1804" s="490"/>
      <c r="J1804" s="489"/>
    </row>
    <row r="1805" spans="1:10">
      <c r="A1805" s="548"/>
      <c r="B1805" s="552" t="s">
        <v>554</v>
      </c>
      <c r="C1805" s="506">
        <v>352</v>
      </c>
      <c r="D1805" s="499" t="s">
        <v>555</v>
      </c>
      <c r="E1805" s="489">
        <v>79</v>
      </c>
      <c r="F1805" s="489">
        <f t="shared" ref="F1805:F1811" si="144">C1805*E1805</f>
        <v>27808</v>
      </c>
      <c r="G1805" s="507">
        <v>60</v>
      </c>
      <c r="H1805" s="490">
        <f t="shared" ref="H1805:H1811" si="145">C1805*G1805</f>
        <v>21120</v>
      </c>
      <c r="I1805" s="490">
        <f t="shared" ref="I1805:I1811" si="146">F1805+H1805</f>
        <v>48928</v>
      </c>
      <c r="J1805" s="489"/>
    </row>
    <row r="1806" spans="1:10">
      <c r="A1806" s="548"/>
      <c r="B1806" s="552" t="s">
        <v>556</v>
      </c>
      <c r="C1806" s="506">
        <v>10</v>
      </c>
      <c r="D1806" s="499" t="s">
        <v>555</v>
      </c>
      <c r="E1806" s="489">
        <v>108</v>
      </c>
      <c r="F1806" s="489">
        <f t="shared" si="144"/>
        <v>1080</v>
      </c>
      <c r="G1806" s="507">
        <v>80</v>
      </c>
      <c r="H1806" s="490">
        <f t="shared" si="145"/>
        <v>800</v>
      </c>
      <c r="I1806" s="490">
        <f t="shared" si="146"/>
        <v>1880</v>
      </c>
      <c r="J1806" s="489"/>
    </row>
    <row r="1807" spans="1:10">
      <c r="A1807" s="548"/>
      <c r="B1807" s="938" t="s">
        <v>557</v>
      </c>
      <c r="C1807" s="506">
        <v>62</v>
      </c>
      <c r="D1807" s="499" t="s">
        <v>555</v>
      </c>
      <c r="E1807" s="489">
        <v>125</v>
      </c>
      <c r="F1807" s="489">
        <f t="shared" si="144"/>
        <v>7750</v>
      </c>
      <c r="G1807" s="489">
        <v>90</v>
      </c>
      <c r="H1807" s="489">
        <f t="shared" si="145"/>
        <v>5580</v>
      </c>
      <c r="I1807" s="489">
        <f t="shared" si="146"/>
        <v>13330</v>
      </c>
      <c r="J1807" s="489"/>
    </row>
    <row r="1808" spans="1:10">
      <c r="A1808" s="548"/>
      <c r="B1808" s="938" t="s">
        <v>558</v>
      </c>
      <c r="C1808" s="506">
        <v>45</v>
      </c>
      <c r="D1808" s="499" t="s">
        <v>555</v>
      </c>
      <c r="E1808" s="489">
        <v>170</v>
      </c>
      <c r="F1808" s="489">
        <f t="shared" si="144"/>
        <v>7650</v>
      </c>
      <c r="G1808" s="489">
        <v>120</v>
      </c>
      <c r="H1808" s="489">
        <f t="shared" si="145"/>
        <v>5400</v>
      </c>
      <c r="I1808" s="489">
        <f t="shared" si="146"/>
        <v>13050</v>
      </c>
      <c r="J1808" s="489"/>
    </row>
    <row r="1809" spans="1:10">
      <c r="A1809" s="548"/>
      <c r="B1809" s="938" t="s">
        <v>559</v>
      </c>
      <c r="C1809" s="506">
        <v>98</v>
      </c>
      <c r="D1809" s="943" t="s">
        <v>555</v>
      </c>
      <c r="E1809" s="940">
        <v>270</v>
      </c>
      <c r="F1809" s="940">
        <f t="shared" si="144"/>
        <v>26460</v>
      </c>
      <c r="G1809" s="940">
        <v>200</v>
      </c>
      <c r="H1809" s="940">
        <f t="shared" si="145"/>
        <v>19600</v>
      </c>
      <c r="I1809" s="940">
        <f t="shared" si="146"/>
        <v>46060</v>
      </c>
      <c r="J1809" s="489"/>
    </row>
    <row r="1810" spans="1:10">
      <c r="A1810" s="548"/>
      <c r="B1810" s="549" t="s">
        <v>1502</v>
      </c>
      <c r="C1810" s="506">
        <v>62</v>
      </c>
      <c r="D1810" s="499" t="s">
        <v>555</v>
      </c>
      <c r="E1810" s="489">
        <v>349</v>
      </c>
      <c r="F1810" s="489">
        <f>C1810*E1810</f>
        <v>21638</v>
      </c>
      <c r="G1810" s="507">
        <v>260</v>
      </c>
      <c r="H1810" s="490">
        <f>C1810*G1810</f>
        <v>16120</v>
      </c>
      <c r="I1810" s="490">
        <f>F1810+H1810</f>
        <v>37758</v>
      </c>
      <c r="J1810" s="489"/>
    </row>
    <row r="1811" spans="1:10">
      <c r="A1811" s="548"/>
      <c r="B1811" s="549" t="s">
        <v>560</v>
      </c>
      <c r="C1811" s="506">
        <v>20</v>
      </c>
      <c r="D1811" s="499" t="s">
        <v>555</v>
      </c>
      <c r="E1811" s="489">
        <v>523</v>
      </c>
      <c r="F1811" s="489">
        <f t="shared" si="144"/>
        <v>10460</v>
      </c>
      <c r="G1811" s="507">
        <v>375</v>
      </c>
      <c r="H1811" s="490">
        <f t="shared" si="145"/>
        <v>7500</v>
      </c>
      <c r="I1811" s="490">
        <f t="shared" si="146"/>
        <v>17960</v>
      </c>
      <c r="J1811" s="489"/>
    </row>
    <row r="1812" spans="1:10">
      <c r="A1812" s="548"/>
      <c r="B1812" s="938" t="s">
        <v>507</v>
      </c>
      <c r="C1812" s="506">
        <v>1</v>
      </c>
      <c r="D1812" s="499" t="s">
        <v>508</v>
      </c>
      <c r="E1812" s="489">
        <f>FLOOR(SUM(F1805:F1811)*0.5,1)</f>
        <v>51423</v>
      </c>
      <c r="F1812" s="489">
        <f>E1812*C1812</f>
        <v>51423</v>
      </c>
      <c r="G1812" s="489">
        <f>E1812*0.3</f>
        <v>15426.9</v>
      </c>
      <c r="H1812" s="489">
        <f>G1812*C1812</f>
        <v>15426.9</v>
      </c>
      <c r="I1812" s="489">
        <f>H1812+F1812</f>
        <v>66849.899999999994</v>
      </c>
      <c r="J1812" s="489"/>
    </row>
    <row r="1813" spans="1:10">
      <c r="A1813" s="548"/>
      <c r="B1813" s="938" t="s">
        <v>509</v>
      </c>
      <c r="C1813" s="506">
        <v>1</v>
      </c>
      <c r="D1813" s="499" t="s">
        <v>508</v>
      </c>
      <c r="E1813" s="489">
        <f>FLOOR(SUM(F1805:F1811)*0.2,1)</f>
        <v>20569</v>
      </c>
      <c r="F1813" s="489">
        <f>E1813*C1813</f>
        <v>20569</v>
      </c>
      <c r="G1813" s="489">
        <f>E1813*0.3</f>
        <v>6170.7</v>
      </c>
      <c r="H1813" s="489">
        <f>G1813*C1813</f>
        <v>6170.7</v>
      </c>
      <c r="I1813" s="489">
        <f>H1813+F1813</f>
        <v>26739.7</v>
      </c>
      <c r="J1813" s="489"/>
    </row>
    <row r="1814" spans="1:10">
      <c r="A1814" s="548"/>
      <c r="B1814" s="938" t="s">
        <v>510</v>
      </c>
      <c r="C1814" s="506">
        <v>1</v>
      </c>
      <c r="D1814" s="943" t="s">
        <v>508</v>
      </c>
      <c r="E1814" s="940">
        <f>ROUNDDOWN(SUM(F1805:F1811)*10%,0)</f>
        <v>10284</v>
      </c>
      <c r="F1814" s="940">
        <f>C1814*E1814</f>
        <v>10284</v>
      </c>
      <c r="G1814" s="940">
        <f>ROUNDDOWN(E1814*0.3,0)</f>
        <v>3085</v>
      </c>
      <c r="H1814" s="940">
        <f>C1814*G1814</f>
        <v>3085</v>
      </c>
      <c r="I1814" s="940">
        <f>F1814+H1814</f>
        <v>13369</v>
      </c>
      <c r="J1814" s="489"/>
    </row>
    <row r="1815" spans="1:10">
      <c r="A1815" s="548"/>
      <c r="B1815" s="549" t="s">
        <v>563</v>
      </c>
      <c r="C1815" s="506"/>
      <c r="D1815" s="499"/>
      <c r="E1815" s="489"/>
      <c r="F1815" s="489"/>
      <c r="G1815" s="507"/>
      <c r="H1815" s="490"/>
      <c r="I1815" s="490"/>
      <c r="J1815" s="489"/>
    </row>
    <row r="1816" spans="1:10">
      <c r="A1816" s="548"/>
      <c r="B1816" s="549" t="s">
        <v>564</v>
      </c>
      <c r="C1816" s="506">
        <v>133</v>
      </c>
      <c r="D1816" s="499" t="s">
        <v>565</v>
      </c>
      <c r="E1816" s="489">
        <v>580</v>
      </c>
      <c r="F1816" s="489">
        <f>C1816*E1816</f>
        <v>77140</v>
      </c>
      <c r="G1816" s="507">
        <v>50</v>
      </c>
      <c r="H1816" s="490">
        <f>C1816*G1816</f>
        <v>6650</v>
      </c>
      <c r="I1816" s="490">
        <f>F1816+H1816</f>
        <v>83790</v>
      </c>
      <c r="J1816" s="489"/>
    </row>
    <row r="1817" spans="1:10">
      <c r="A1817" s="548"/>
      <c r="B1817" s="549" t="s">
        <v>593</v>
      </c>
      <c r="C1817" s="506"/>
      <c r="D1817" s="499"/>
      <c r="E1817" s="489"/>
      <c r="F1817" s="489"/>
      <c r="G1817" s="507"/>
      <c r="H1817" s="490"/>
      <c r="I1817" s="490"/>
      <c r="J1817" s="489"/>
    </row>
    <row r="1818" spans="1:10">
      <c r="A1818" s="548"/>
      <c r="B1818" s="549" t="s">
        <v>578</v>
      </c>
      <c r="C1818" s="506">
        <v>1</v>
      </c>
      <c r="D1818" s="499" t="s">
        <v>546</v>
      </c>
      <c r="E1818" s="489">
        <v>12200</v>
      </c>
      <c r="F1818" s="489">
        <f>C1818*E1818</f>
        <v>12200</v>
      </c>
      <c r="G1818" s="507">
        <v>600</v>
      </c>
      <c r="H1818" s="490">
        <f>C1818*G1818</f>
        <v>600</v>
      </c>
      <c r="I1818" s="490">
        <f>F1818+H1818</f>
        <v>12800</v>
      </c>
      <c r="J1818" s="489"/>
    </row>
    <row r="1819" spans="1:10">
      <c r="A1819" s="548"/>
      <c r="B1819" s="549" t="s">
        <v>596</v>
      </c>
      <c r="C1819" s="506"/>
      <c r="D1819" s="499"/>
      <c r="E1819" s="489"/>
      <c r="F1819" s="489"/>
      <c r="G1819" s="507"/>
      <c r="H1819" s="490"/>
      <c r="I1819" s="490"/>
      <c r="J1819" s="489"/>
    </row>
    <row r="1820" spans="1:10">
      <c r="A1820" s="548"/>
      <c r="B1820" s="549" t="s">
        <v>578</v>
      </c>
      <c r="C1820" s="506">
        <v>1</v>
      </c>
      <c r="D1820" s="499" t="s">
        <v>574</v>
      </c>
      <c r="E1820" s="489">
        <v>20000</v>
      </c>
      <c r="F1820" s="489">
        <f>C1820*E1820</f>
        <v>20000</v>
      </c>
      <c r="G1820" s="507">
        <v>500</v>
      </c>
      <c r="H1820" s="490">
        <f>C1820*G1820</f>
        <v>500</v>
      </c>
      <c r="I1820" s="490">
        <f>F1820+H1820</f>
        <v>20500</v>
      </c>
      <c r="J1820" s="489"/>
    </row>
    <row r="1821" spans="1:10">
      <c r="A1821" s="548"/>
      <c r="B1821" s="549" t="s">
        <v>597</v>
      </c>
      <c r="C1821" s="506">
        <v>1</v>
      </c>
      <c r="D1821" s="499" t="s">
        <v>574</v>
      </c>
      <c r="E1821" s="489">
        <v>9360</v>
      </c>
      <c r="F1821" s="489">
        <f>C1821*E1821</f>
        <v>9360</v>
      </c>
      <c r="G1821" s="507">
        <v>150</v>
      </c>
      <c r="H1821" s="490">
        <f>C1821*G1821</f>
        <v>150</v>
      </c>
      <c r="I1821" s="490">
        <f>F1821+H1821</f>
        <v>9510</v>
      </c>
      <c r="J1821" s="489"/>
    </row>
    <row r="1822" spans="1:10">
      <c r="A1822" s="548"/>
      <c r="B1822" s="549" t="s">
        <v>598</v>
      </c>
      <c r="C1822" s="506"/>
      <c r="D1822" s="499"/>
      <c r="E1822" s="489"/>
      <c r="F1822" s="489"/>
      <c r="G1822" s="507"/>
      <c r="H1822" s="490"/>
      <c r="I1822" s="490"/>
      <c r="J1822" s="489"/>
    </row>
    <row r="1823" spans="1:10">
      <c r="A1823" s="548"/>
      <c r="B1823" s="549" t="s">
        <v>554</v>
      </c>
      <c r="C1823" s="506">
        <v>2</v>
      </c>
      <c r="D1823" s="499" t="s">
        <v>574</v>
      </c>
      <c r="E1823" s="489">
        <v>11400</v>
      </c>
      <c r="F1823" s="489">
        <f>C1823*E1823</f>
        <v>22800</v>
      </c>
      <c r="G1823" s="507">
        <v>300</v>
      </c>
      <c r="H1823" s="490">
        <f>C1823*G1823</f>
        <v>600</v>
      </c>
      <c r="I1823" s="490">
        <f>F1823+H1823</f>
        <v>23400</v>
      </c>
      <c r="J1823" s="489"/>
    </row>
    <row r="1824" spans="1:10">
      <c r="A1824" s="548"/>
      <c r="B1824" s="549" t="s">
        <v>600</v>
      </c>
      <c r="C1824" s="506"/>
      <c r="D1824" s="499"/>
      <c r="E1824" s="489"/>
      <c r="F1824" s="489"/>
      <c r="G1824" s="507"/>
      <c r="H1824" s="490"/>
      <c r="I1824" s="490"/>
      <c r="J1824" s="489"/>
    </row>
    <row r="1825" spans="1:10">
      <c r="A1825" s="548"/>
      <c r="B1825" s="549" t="s">
        <v>554</v>
      </c>
      <c r="C1825" s="506">
        <v>1</v>
      </c>
      <c r="D1825" s="499" t="s">
        <v>565</v>
      </c>
      <c r="E1825" s="489">
        <v>500</v>
      </c>
      <c r="F1825" s="489">
        <f>C1825*E1825</f>
        <v>500</v>
      </c>
      <c r="G1825" s="507">
        <v>200</v>
      </c>
      <c r="H1825" s="490">
        <f>C1825*G1825</f>
        <v>200</v>
      </c>
      <c r="I1825" s="490">
        <f>F1825+H1825</f>
        <v>700</v>
      </c>
      <c r="J1825" s="489"/>
    </row>
    <row r="1826" spans="1:10">
      <c r="A1826" s="947"/>
      <c r="B1826" s="537"/>
      <c r="C1826" s="506"/>
      <c r="D1826" s="499"/>
      <c r="E1826" s="489"/>
      <c r="F1826" s="489"/>
      <c r="G1826" s="489"/>
      <c r="H1826" s="489"/>
      <c r="I1826" s="489"/>
      <c r="J1826" s="489"/>
    </row>
    <row r="1827" spans="1:10">
      <c r="A1827" s="537" t="s">
        <v>541</v>
      </c>
      <c r="B1827" s="937" t="s">
        <v>571</v>
      </c>
      <c r="C1827" s="506"/>
      <c r="D1827" s="499"/>
      <c r="E1827" s="489"/>
      <c r="F1827" s="489"/>
      <c r="G1827" s="507"/>
      <c r="H1827" s="490"/>
      <c r="I1827" s="490"/>
      <c r="J1827" s="489"/>
    </row>
    <row r="1828" spans="1:10">
      <c r="A1828" s="496" t="s">
        <v>1225</v>
      </c>
      <c r="B1828" s="497" t="s">
        <v>536</v>
      </c>
      <c r="C1828" s="506"/>
      <c r="D1828" s="499"/>
      <c r="E1828" s="489"/>
      <c r="F1828" s="489"/>
      <c r="G1828" s="489"/>
      <c r="H1828" s="489"/>
      <c r="I1828" s="489"/>
      <c r="J1828" s="489"/>
    </row>
    <row r="1829" spans="1:10">
      <c r="A1829" s="539"/>
      <c r="B1829" s="938" t="s">
        <v>538</v>
      </c>
      <c r="C1829" s="904"/>
      <c r="D1829" s="499"/>
      <c r="E1829" s="499"/>
      <c r="F1829" s="499"/>
      <c r="G1829" s="499"/>
      <c r="H1829" s="499"/>
      <c r="I1829" s="499"/>
      <c r="J1829" s="489"/>
    </row>
    <row r="1830" spans="1:10">
      <c r="A1830" s="539" t="s">
        <v>1</v>
      </c>
      <c r="B1830" s="938" t="s">
        <v>527</v>
      </c>
      <c r="C1830" s="506">
        <v>120</v>
      </c>
      <c r="D1830" s="499" t="s">
        <v>14</v>
      </c>
      <c r="E1830" s="489">
        <v>291</v>
      </c>
      <c r="F1830" s="489">
        <f>E1830*C1830</f>
        <v>34920</v>
      </c>
      <c r="G1830" s="489">
        <v>100</v>
      </c>
      <c r="H1830" s="489">
        <f>G1830*C1830</f>
        <v>12000</v>
      </c>
      <c r="I1830" s="489">
        <f>H1830+F1830</f>
        <v>46920</v>
      </c>
      <c r="J1830" s="489"/>
    </row>
    <row r="1831" spans="1:10">
      <c r="A1831" s="539"/>
      <c r="B1831" s="938" t="s">
        <v>507</v>
      </c>
      <c r="C1831" s="506">
        <v>1</v>
      </c>
      <c r="D1831" s="499" t="s">
        <v>508</v>
      </c>
      <c r="E1831" s="489">
        <f>FLOOR(SUM(F1830)*0.4,10)</f>
        <v>13960</v>
      </c>
      <c r="F1831" s="489">
        <f>E1831*C1831</f>
        <v>13960</v>
      </c>
      <c r="G1831" s="489">
        <f>E1831*0.3</f>
        <v>4188</v>
      </c>
      <c r="H1831" s="489">
        <f>G1831*C1831</f>
        <v>4188</v>
      </c>
      <c r="I1831" s="489">
        <f>H1831+F1831</f>
        <v>18148</v>
      </c>
      <c r="J1831" s="489"/>
    </row>
    <row r="1832" spans="1:10">
      <c r="A1832" s="539"/>
      <c r="B1832" s="938" t="s">
        <v>509</v>
      </c>
      <c r="C1832" s="506">
        <v>1</v>
      </c>
      <c r="D1832" s="499" t="s">
        <v>508</v>
      </c>
      <c r="E1832" s="489">
        <f>FLOOR(SUM(F1830)*0.3,10)</f>
        <v>10470</v>
      </c>
      <c r="F1832" s="489">
        <f>E1832*C1832</f>
        <v>10470</v>
      </c>
      <c r="G1832" s="489">
        <f>E1832*0.3</f>
        <v>3141</v>
      </c>
      <c r="H1832" s="489">
        <f>G1832*C1832</f>
        <v>3141</v>
      </c>
      <c r="I1832" s="489">
        <f>H1832+F1832</f>
        <v>13611</v>
      </c>
      <c r="J1832" s="489"/>
    </row>
    <row r="1833" spans="1:10">
      <c r="A1833" s="539"/>
      <c r="B1833" s="938" t="s">
        <v>539</v>
      </c>
      <c r="C1833" s="506">
        <v>1</v>
      </c>
      <c r="D1833" s="499" t="s">
        <v>508</v>
      </c>
      <c r="E1833" s="489">
        <f>FLOOR(SUM(F1830)*0.1,10)</f>
        <v>3490</v>
      </c>
      <c r="F1833" s="489">
        <f>E1833*C1833</f>
        <v>3490</v>
      </c>
      <c r="G1833" s="489">
        <f>E1833*0.3</f>
        <v>1047</v>
      </c>
      <c r="H1833" s="489">
        <f>G1833*C1833</f>
        <v>1047</v>
      </c>
      <c r="I1833" s="489">
        <f>H1833+F1833</f>
        <v>4537</v>
      </c>
      <c r="J1833" s="489"/>
    </row>
    <row r="1834" spans="1:10">
      <c r="A1834" s="539"/>
      <c r="B1834" s="554" t="s">
        <v>575</v>
      </c>
      <c r="C1834" s="506"/>
      <c r="D1834" s="499"/>
      <c r="E1834" s="489"/>
      <c r="F1834" s="940"/>
      <c r="G1834" s="507"/>
      <c r="H1834" s="940"/>
      <c r="I1834" s="940"/>
      <c r="J1834" s="489"/>
    </row>
    <row r="1835" spans="1:10">
      <c r="A1835" s="539"/>
      <c r="B1835" s="944" t="s">
        <v>570</v>
      </c>
      <c r="C1835" s="506">
        <v>18</v>
      </c>
      <c r="D1835" s="499" t="s">
        <v>565</v>
      </c>
      <c r="E1835" s="489">
        <v>1800</v>
      </c>
      <c r="F1835" s="940">
        <f>C1835*E1835</f>
        <v>32400</v>
      </c>
      <c r="G1835" s="507">
        <v>600</v>
      </c>
      <c r="H1835" s="940">
        <f>C1835*G1835</f>
        <v>10800</v>
      </c>
      <c r="I1835" s="940">
        <f>F1835+H1835</f>
        <v>43200</v>
      </c>
      <c r="J1835" s="489"/>
    </row>
    <row r="1836" spans="1:10">
      <c r="A1836" s="496" t="s">
        <v>1226</v>
      </c>
      <c r="B1836" s="547" t="s">
        <v>543</v>
      </c>
      <c r="C1836" s="506"/>
      <c r="D1836" s="499"/>
      <c r="E1836" s="489"/>
      <c r="F1836" s="489"/>
      <c r="G1836" s="507"/>
      <c r="H1836" s="490"/>
      <c r="I1836" s="490"/>
      <c r="J1836" s="489"/>
    </row>
    <row r="1837" spans="1:10">
      <c r="A1837" s="548"/>
      <c r="B1837" s="938" t="s">
        <v>545</v>
      </c>
      <c r="C1837" s="506">
        <v>1</v>
      </c>
      <c r="D1837" s="499" t="s">
        <v>546</v>
      </c>
      <c r="E1837" s="489">
        <v>14000</v>
      </c>
      <c r="F1837" s="489">
        <f>C1837*E1837</f>
        <v>14000</v>
      </c>
      <c r="G1837" s="507">
        <v>1000</v>
      </c>
      <c r="H1837" s="490">
        <f>C1837*G1837</f>
        <v>1000</v>
      </c>
      <c r="I1837" s="490">
        <f>F1837+H1837</f>
        <v>15000</v>
      </c>
      <c r="J1837" s="489"/>
    </row>
    <row r="1838" spans="1:10">
      <c r="A1838" s="548"/>
      <c r="B1838" s="938" t="s">
        <v>548</v>
      </c>
      <c r="C1838" s="506">
        <v>1</v>
      </c>
      <c r="D1838" s="499" t="s">
        <v>546</v>
      </c>
      <c r="E1838" s="489">
        <v>5800</v>
      </c>
      <c r="F1838" s="489">
        <f>C1838*E1838</f>
        <v>5800</v>
      </c>
      <c r="G1838" s="507">
        <v>100</v>
      </c>
      <c r="H1838" s="490">
        <f>C1838*G1838</f>
        <v>100</v>
      </c>
      <c r="I1838" s="490">
        <f>F1838+H1838</f>
        <v>5900</v>
      </c>
      <c r="J1838" s="489"/>
    </row>
    <row r="1839" spans="1:10">
      <c r="A1839" s="548"/>
      <c r="B1839" s="938" t="s">
        <v>552</v>
      </c>
      <c r="C1839" s="506">
        <v>1</v>
      </c>
      <c r="D1839" s="499" t="s">
        <v>546</v>
      </c>
      <c r="E1839" s="489">
        <v>855</v>
      </c>
      <c r="F1839" s="489">
        <f>C1839*E1839</f>
        <v>855</v>
      </c>
      <c r="G1839" s="507">
        <v>80</v>
      </c>
      <c r="H1839" s="490">
        <f>C1839*G1839</f>
        <v>80</v>
      </c>
      <c r="I1839" s="490">
        <f>F1839+H1839</f>
        <v>935</v>
      </c>
      <c r="J1839" s="489"/>
    </row>
    <row r="1840" spans="1:10">
      <c r="A1840" s="548"/>
      <c r="B1840" s="938" t="s">
        <v>553</v>
      </c>
      <c r="C1840" s="506"/>
      <c r="D1840" s="499"/>
      <c r="E1840" s="489"/>
      <c r="F1840" s="489"/>
      <c r="G1840" s="507"/>
      <c r="H1840" s="490"/>
      <c r="I1840" s="490"/>
      <c r="J1840" s="489"/>
    </row>
    <row r="1841" spans="1:10">
      <c r="A1841" s="551"/>
      <c r="B1841" s="549" t="s">
        <v>554</v>
      </c>
      <c r="C1841" s="506">
        <v>18</v>
      </c>
      <c r="D1841" s="499" t="s">
        <v>555</v>
      </c>
      <c r="E1841" s="489">
        <v>79</v>
      </c>
      <c r="F1841" s="489">
        <f>C1841*E1841</f>
        <v>1422</v>
      </c>
      <c r="G1841" s="507">
        <v>60</v>
      </c>
      <c r="H1841" s="490">
        <f>C1841*G1841</f>
        <v>1080</v>
      </c>
      <c r="I1841" s="490">
        <f>F1841+H1841</f>
        <v>2502</v>
      </c>
      <c r="J1841" s="489"/>
    </row>
    <row r="1842" spans="1:10">
      <c r="A1842" s="551"/>
      <c r="B1842" s="549" t="s">
        <v>557</v>
      </c>
      <c r="C1842" s="506">
        <v>6</v>
      </c>
      <c r="D1842" s="499" t="s">
        <v>555</v>
      </c>
      <c r="E1842" s="489">
        <v>125</v>
      </c>
      <c r="F1842" s="489">
        <f>C1842*E1842</f>
        <v>750</v>
      </c>
      <c r="G1842" s="507">
        <v>90</v>
      </c>
      <c r="H1842" s="490">
        <f>C1842*G1842</f>
        <v>540</v>
      </c>
      <c r="I1842" s="490">
        <f>F1842+H1842</f>
        <v>1290</v>
      </c>
      <c r="J1842" s="489"/>
    </row>
    <row r="1843" spans="1:10">
      <c r="A1843" s="551"/>
      <c r="B1843" s="549" t="s">
        <v>558</v>
      </c>
      <c r="C1843" s="506">
        <v>10</v>
      </c>
      <c r="D1843" s="499" t="s">
        <v>555</v>
      </c>
      <c r="E1843" s="489">
        <v>170</v>
      </c>
      <c r="F1843" s="489">
        <f>C1843*E1843</f>
        <v>1700</v>
      </c>
      <c r="G1843" s="507">
        <v>120</v>
      </c>
      <c r="H1843" s="490">
        <f>C1843*G1843</f>
        <v>1200</v>
      </c>
      <c r="I1843" s="490">
        <f>F1843+H1843</f>
        <v>2900</v>
      </c>
      <c r="J1843" s="489"/>
    </row>
    <row r="1844" spans="1:10">
      <c r="A1844" s="551"/>
      <c r="B1844" s="938" t="s">
        <v>578</v>
      </c>
      <c r="C1844" s="506">
        <v>5</v>
      </c>
      <c r="D1844" s="499" t="s">
        <v>555</v>
      </c>
      <c r="E1844" s="489">
        <v>523</v>
      </c>
      <c r="F1844" s="489">
        <f>C1844*E1844</f>
        <v>2615</v>
      </c>
      <c r="G1844" s="489">
        <v>375</v>
      </c>
      <c r="H1844" s="490">
        <f>C1844*G1844</f>
        <v>1875</v>
      </c>
      <c r="I1844" s="490">
        <f>F1844+H1844</f>
        <v>4490</v>
      </c>
      <c r="J1844" s="489"/>
    </row>
    <row r="1845" spans="1:10">
      <c r="A1845" s="551"/>
      <c r="B1845" s="938" t="s">
        <v>507</v>
      </c>
      <c r="C1845" s="506">
        <v>1</v>
      </c>
      <c r="D1845" s="499" t="s">
        <v>508</v>
      </c>
      <c r="E1845" s="489">
        <f>FLOOR(SUM(F1841:F1844)*0.5,1)</f>
        <v>3243</v>
      </c>
      <c r="F1845" s="489">
        <f>E1845*C1845</f>
        <v>3243</v>
      </c>
      <c r="G1845" s="489">
        <f>E1845*0.3</f>
        <v>972.9</v>
      </c>
      <c r="H1845" s="489">
        <f>G1845*C1845</f>
        <v>972.9</v>
      </c>
      <c r="I1845" s="489">
        <f>H1845+F1845</f>
        <v>4215.8999999999996</v>
      </c>
      <c r="J1845" s="489"/>
    </row>
    <row r="1846" spans="1:10">
      <c r="A1846" s="551"/>
      <c r="B1846" s="938" t="s">
        <v>509</v>
      </c>
      <c r="C1846" s="506">
        <v>1</v>
      </c>
      <c r="D1846" s="499" t="s">
        <v>508</v>
      </c>
      <c r="E1846" s="489">
        <f>FLOOR(SUM(F1841:F1844)*0.2,1)</f>
        <v>1297</v>
      </c>
      <c r="F1846" s="489">
        <f>E1846*C1846</f>
        <v>1297</v>
      </c>
      <c r="G1846" s="489">
        <f>E1846*0.3</f>
        <v>389.09999999999997</v>
      </c>
      <c r="H1846" s="489">
        <f>G1846*C1846</f>
        <v>389.09999999999997</v>
      </c>
      <c r="I1846" s="489">
        <f>H1846+F1846</f>
        <v>1686.1</v>
      </c>
      <c r="J1846" s="489"/>
    </row>
    <row r="1847" spans="1:10">
      <c r="A1847" s="551"/>
      <c r="B1847" s="938" t="s">
        <v>510</v>
      </c>
      <c r="C1847" s="506">
        <v>1</v>
      </c>
      <c r="D1847" s="943" t="s">
        <v>508</v>
      </c>
      <c r="E1847" s="940">
        <f>ROUNDDOWN(SUM(F1841:F1844)*10%,0)</f>
        <v>648</v>
      </c>
      <c r="F1847" s="940">
        <f>C1847*E1847</f>
        <v>648</v>
      </c>
      <c r="G1847" s="940">
        <f>ROUNDDOWN(E1847*0.3,0)</f>
        <v>194</v>
      </c>
      <c r="H1847" s="940">
        <f>C1847*G1847</f>
        <v>194</v>
      </c>
      <c r="I1847" s="940">
        <f>F1847+H1847</f>
        <v>842</v>
      </c>
      <c r="J1847" s="489"/>
    </row>
    <row r="1848" spans="1:10">
      <c r="A1848" s="548"/>
      <c r="B1848" s="549" t="s">
        <v>563</v>
      </c>
      <c r="C1848" s="506"/>
      <c r="D1848" s="499"/>
      <c r="E1848" s="489"/>
      <c r="F1848" s="489"/>
      <c r="G1848" s="507"/>
      <c r="H1848" s="490"/>
      <c r="I1848" s="490"/>
      <c r="J1848" s="489"/>
    </row>
    <row r="1849" spans="1:10">
      <c r="A1849" s="548"/>
      <c r="B1849" s="549" t="s">
        <v>564</v>
      </c>
      <c r="C1849" s="506">
        <v>8</v>
      </c>
      <c r="D1849" s="499" t="s">
        <v>565</v>
      </c>
      <c r="E1849" s="489">
        <v>580</v>
      </c>
      <c r="F1849" s="489">
        <f>C1849*E1849</f>
        <v>4640</v>
      </c>
      <c r="G1849" s="507">
        <v>50</v>
      </c>
      <c r="H1849" s="490">
        <f>C1849*G1849</f>
        <v>400</v>
      </c>
      <c r="I1849" s="490">
        <f>F1849+H1849</f>
        <v>5040</v>
      </c>
      <c r="J1849" s="489"/>
    </row>
    <row r="1850" spans="1:10">
      <c r="A1850" s="548"/>
      <c r="B1850" s="549" t="s">
        <v>593</v>
      </c>
      <c r="C1850" s="506"/>
      <c r="D1850" s="499"/>
      <c r="E1850" s="489"/>
      <c r="F1850" s="489"/>
      <c r="G1850" s="507"/>
      <c r="H1850" s="490"/>
      <c r="I1850" s="490"/>
      <c r="J1850" s="489"/>
    </row>
    <row r="1851" spans="1:10">
      <c r="A1851" s="548"/>
      <c r="B1851" s="549" t="s">
        <v>578</v>
      </c>
      <c r="C1851" s="506">
        <v>1</v>
      </c>
      <c r="D1851" s="499" t="s">
        <v>546</v>
      </c>
      <c r="E1851" s="489">
        <v>12200</v>
      </c>
      <c r="F1851" s="489">
        <f>C1851*E1851</f>
        <v>12200</v>
      </c>
      <c r="G1851" s="507">
        <v>600</v>
      </c>
      <c r="H1851" s="490">
        <f>C1851*G1851</f>
        <v>600</v>
      </c>
      <c r="I1851" s="490">
        <f>F1851+H1851</f>
        <v>12800</v>
      </c>
      <c r="J1851" s="489"/>
    </row>
    <row r="1852" spans="1:10">
      <c r="A1852" s="548"/>
      <c r="B1852" s="549" t="s">
        <v>596</v>
      </c>
      <c r="C1852" s="506"/>
      <c r="D1852" s="499"/>
      <c r="E1852" s="489"/>
      <c r="F1852" s="489"/>
      <c r="G1852" s="507"/>
      <c r="H1852" s="490"/>
      <c r="I1852" s="490"/>
      <c r="J1852" s="489"/>
    </row>
    <row r="1853" spans="1:10">
      <c r="A1853" s="548"/>
      <c r="B1853" s="549" t="s">
        <v>578</v>
      </c>
      <c r="C1853" s="506">
        <v>1</v>
      </c>
      <c r="D1853" s="499" t="s">
        <v>574</v>
      </c>
      <c r="E1853" s="489">
        <v>20000</v>
      </c>
      <c r="F1853" s="489">
        <f>C1853*E1853</f>
        <v>20000</v>
      </c>
      <c r="G1853" s="507">
        <v>500</v>
      </c>
      <c r="H1853" s="490">
        <f>C1853*G1853</f>
        <v>500</v>
      </c>
      <c r="I1853" s="490">
        <f>F1853+H1853</f>
        <v>20500</v>
      </c>
      <c r="J1853" s="489"/>
    </row>
    <row r="1854" spans="1:10">
      <c r="A1854" s="548"/>
      <c r="B1854" s="549" t="s">
        <v>597</v>
      </c>
      <c r="C1854" s="506">
        <v>1</v>
      </c>
      <c r="D1854" s="499" t="s">
        <v>574</v>
      </c>
      <c r="E1854" s="489">
        <v>9360</v>
      </c>
      <c r="F1854" s="489">
        <f>C1854*E1854</f>
        <v>9360</v>
      </c>
      <c r="G1854" s="507">
        <v>150</v>
      </c>
      <c r="H1854" s="490">
        <f>C1854*G1854</f>
        <v>150</v>
      </c>
      <c r="I1854" s="490">
        <f>F1854+H1854</f>
        <v>9510</v>
      </c>
      <c r="J1854" s="489"/>
    </row>
    <row r="1855" spans="1:10">
      <c r="A1855" s="548"/>
      <c r="B1855" s="549" t="s">
        <v>598</v>
      </c>
      <c r="C1855" s="506"/>
      <c r="D1855" s="499"/>
      <c r="E1855" s="489"/>
      <c r="F1855" s="489"/>
      <c r="G1855" s="507"/>
      <c r="H1855" s="490"/>
      <c r="I1855" s="490"/>
      <c r="J1855" s="489"/>
    </row>
    <row r="1856" spans="1:10">
      <c r="A1856" s="548"/>
      <c r="B1856" s="549" t="s">
        <v>554</v>
      </c>
      <c r="C1856" s="506">
        <v>2</v>
      </c>
      <c r="D1856" s="499" t="s">
        <v>574</v>
      </c>
      <c r="E1856" s="489">
        <v>11400</v>
      </c>
      <c r="F1856" s="489">
        <f>C1856*E1856</f>
        <v>22800</v>
      </c>
      <c r="G1856" s="507">
        <v>300</v>
      </c>
      <c r="H1856" s="490">
        <f>C1856*G1856</f>
        <v>600</v>
      </c>
      <c r="I1856" s="490">
        <f>F1856+H1856</f>
        <v>23400</v>
      </c>
      <c r="J1856" s="489"/>
    </row>
    <row r="1857" spans="1:10">
      <c r="A1857" s="548"/>
      <c r="B1857" s="549" t="s">
        <v>600</v>
      </c>
      <c r="C1857" s="506"/>
      <c r="D1857" s="499"/>
      <c r="E1857" s="489"/>
      <c r="F1857" s="489"/>
      <c r="G1857" s="507"/>
      <c r="H1857" s="490"/>
      <c r="I1857" s="490"/>
      <c r="J1857" s="940"/>
    </row>
    <row r="1858" spans="1:10">
      <c r="A1858" s="548"/>
      <c r="B1858" s="549" t="s">
        <v>554</v>
      </c>
      <c r="C1858" s="506">
        <v>1</v>
      </c>
      <c r="D1858" s="499" t="s">
        <v>565</v>
      </c>
      <c r="E1858" s="489">
        <v>500</v>
      </c>
      <c r="F1858" s="489">
        <f>C1858*E1858</f>
        <v>500</v>
      </c>
      <c r="G1858" s="507">
        <v>200</v>
      </c>
      <c r="H1858" s="490">
        <f>C1858*G1858</f>
        <v>200</v>
      </c>
      <c r="I1858" s="490">
        <f>F1858+H1858</f>
        <v>700</v>
      </c>
      <c r="J1858" s="940"/>
    </row>
    <row r="1859" spans="1:10">
      <c r="A1859" s="952"/>
      <c r="B1859" s="644"/>
      <c r="C1859" s="506"/>
      <c r="D1859" s="499"/>
      <c r="E1859" s="489"/>
      <c r="F1859" s="489"/>
      <c r="G1859" s="507"/>
      <c r="H1859" s="490"/>
      <c r="I1859" s="490"/>
      <c r="J1859" s="940"/>
    </row>
    <row r="1860" spans="1:10">
      <c r="A1860" s="838"/>
      <c r="B1860" s="833" t="s">
        <v>1247</v>
      </c>
      <c r="C1860" s="840"/>
      <c r="D1860" s="841"/>
      <c r="E1860" s="837"/>
      <c r="F1860" s="842">
        <f>SUM(F1748:F1859)</f>
        <v>1894114</v>
      </c>
      <c r="G1860" s="842"/>
      <c r="H1860" s="842">
        <f>SUM(H1748:H1859)</f>
        <v>708506.2</v>
      </c>
      <c r="I1860" s="842">
        <f>SUM(I1748:I1859)</f>
        <v>2602620.2000000002</v>
      </c>
      <c r="J1860" s="837"/>
    </row>
    <row r="1861" spans="1:10">
      <c r="A1861" s="952"/>
      <c r="B1861" s="644"/>
      <c r="C1861" s="506"/>
      <c r="D1861" s="499"/>
      <c r="E1861" s="489"/>
      <c r="F1861" s="489"/>
      <c r="G1861" s="507"/>
      <c r="H1861" s="490"/>
      <c r="I1861" s="490"/>
      <c r="J1861" s="940"/>
    </row>
    <row r="1862" spans="1:10">
      <c r="A1862" s="537">
        <v>4.4000000000000004</v>
      </c>
      <c r="B1862" s="937" t="s">
        <v>1189</v>
      </c>
      <c r="C1862" s="506"/>
      <c r="D1862" s="499"/>
      <c r="E1862" s="489"/>
      <c r="F1862" s="489"/>
      <c r="G1862" s="507"/>
      <c r="H1862" s="490"/>
      <c r="I1862" s="490"/>
      <c r="J1862" s="489"/>
    </row>
    <row r="1863" spans="1:10">
      <c r="A1863" s="537" t="s">
        <v>544</v>
      </c>
      <c r="B1863" s="937" t="s">
        <v>495</v>
      </c>
      <c r="C1863" s="506"/>
      <c r="D1863" s="499"/>
      <c r="E1863" s="489"/>
      <c r="F1863" s="489"/>
      <c r="G1863" s="507"/>
      <c r="H1863" s="490"/>
      <c r="I1863" s="490"/>
      <c r="J1863" s="489"/>
    </row>
    <row r="1864" spans="1:10">
      <c r="A1864" s="537" t="s">
        <v>1227</v>
      </c>
      <c r="B1864" s="538" t="s">
        <v>496</v>
      </c>
      <c r="C1864" s="506"/>
      <c r="D1864" s="499"/>
      <c r="E1864" s="489"/>
      <c r="F1864" s="489"/>
      <c r="G1864" s="507"/>
      <c r="H1864" s="490"/>
      <c r="I1864" s="490"/>
      <c r="J1864" s="489"/>
    </row>
    <row r="1865" spans="1:10">
      <c r="A1865" s="539"/>
      <c r="B1865" s="540" t="s">
        <v>498</v>
      </c>
      <c r="C1865" s="506"/>
      <c r="D1865" s="499"/>
      <c r="E1865" s="489"/>
      <c r="F1865" s="489"/>
      <c r="G1865" s="507"/>
      <c r="H1865" s="490"/>
      <c r="I1865" s="490"/>
      <c r="J1865" s="489"/>
    </row>
    <row r="1866" spans="1:10">
      <c r="A1866" s="539"/>
      <c r="B1866" s="540" t="s">
        <v>499</v>
      </c>
      <c r="C1866" s="939">
        <v>160</v>
      </c>
      <c r="D1866" s="499" t="s">
        <v>14</v>
      </c>
      <c r="E1866" s="940">
        <v>35</v>
      </c>
      <c r="F1866" s="940">
        <f t="shared" ref="F1866:F1876" si="147">C1866*E1866</f>
        <v>5600</v>
      </c>
      <c r="G1866" s="940">
        <v>30</v>
      </c>
      <c r="H1866" s="940">
        <f t="shared" ref="H1866:H1876" si="148">C1866*G1866</f>
        <v>4800</v>
      </c>
      <c r="I1866" s="940">
        <f t="shared" ref="I1866:I1876" si="149">F1866+H1866</f>
        <v>10400</v>
      </c>
      <c r="J1866" s="489"/>
    </row>
    <row r="1867" spans="1:10">
      <c r="A1867" s="539"/>
      <c r="B1867" s="540" t="s">
        <v>500</v>
      </c>
      <c r="C1867" s="941">
        <v>150</v>
      </c>
      <c r="D1867" s="499" t="s">
        <v>14</v>
      </c>
      <c r="E1867" s="940">
        <v>46</v>
      </c>
      <c r="F1867" s="940">
        <f>C1867*E1867</f>
        <v>6900</v>
      </c>
      <c r="G1867" s="940">
        <v>30</v>
      </c>
      <c r="H1867" s="940">
        <f t="shared" si="148"/>
        <v>4500</v>
      </c>
      <c r="I1867" s="940">
        <f>F1867+H1867</f>
        <v>11400</v>
      </c>
      <c r="J1867" s="489"/>
    </row>
    <row r="1868" spans="1:10">
      <c r="A1868" s="539"/>
      <c r="B1868" s="540" t="s">
        <v>501</v>
      </c>
      <c r="C1868" s="939">
        <v>200</v>
      </c>
      <c r="D1868" s="499" t="s">
        <v>14</v>
      </c>
      <c r="E1868" s="940">
        <v>76</v>
      </c>
      <c r="F1868" s="940">
        <f t="shared" si="147"/>
        <v>15200</v>
      </c>
      <c r="G1868" s="940">
        <v>30</v>
      </c>
      <c r="H1868" s="940">
        <f t="shared" si="148"/>
        <v>6000</v>
      </c>
      <c r="I1868" s="940">
        <f t="shared" si="149"/>
        <v>21200</v>
      </c>
      <c r="J1868" s="489"/>
    </row>
    <row r="1869" spans="1:10">
      <c r="A1869" s="539"/>
      <c r="B1869" s="540" t="s">
        <v>502</v>
      </c>
      <c r="C1869" s="939">
        <v>300</v>
      </c>
      <c r="D1869" s="499" t="s">
        <v>14</v>
      </c>
      <c r="E1869" s="940">
        <v>180</v>
      </c>
      <c r="F1869" s="940">
        <f t="shared" si="147"/>
        <v>54000</v>
      </c>
      <c r="G1869" s="940">
        <v>50</v>
      </c>
      <c r="H1869" s="940">
        <f t="shared" si="148"/>
        <v>15000</v>
      </c>
      <c r="I1869" s="940">
        <f t="shared" si="149"/>
        <v>69000</v>
      </c>
      <c r="J1869" s="489"/>
    </row>
    <row r="1870" spans="1:10">
      <c r="A1870" s="539"/>
      <c r="B1870" s="540" t="s">
        <v>503</v>
      </c>
      <c r="C1870" s="939">
        <v>80</v>
      </c>
      <c r="D1870" s="499" t="s">
        <v>14</v>
      </c>
      <c r="E1870" s="940">
        <v>287</v>
      </c>
      <c r="F1870" s="940">
        <f t="shared" si="147"/>
        <v>22960</v>
      </c>
      <c r="G1870" s="940">
        <v>75</v>
      </c>
      <c r="H1870" s="940">
        <f t="shared" si="148"/>
        <v>6000</v>
      </c>
      <c r="I1870" s="940">
        <f t="shared" si="149"/>
        <v>28960</v>
      </c>
      <c r="J1870" s="489"/>
    </row>
    <row r="1871" spans="1:10">
      <c r="A1871" s="539"/>
      <c r="B1871" s="540" t="s">
        <v>504</v>
      </c>
      <c r="C1871" s="939">
        <v>80</v>
      </c>
      <c r="D1871" s="499" t="s">
        <v>14</v>
      </c>
      <c r="E1871" s="940">
        <v>402</v>
      </c>
      <c r="F1871" s="940">
        <f t="shared" si="147"/>
        <v>32160</v>
      </c>
      <c r="G1871" s="940">
        <v>100</v>
      </c>
      <c r="H1871" s="940">
        <f t="shared" si="148"/>
        <v>8000</v>
      </c>
      <c r="I1871" s="940">
        <f t="shared" si="149"/>
        <v>40160</v>
      </c>
      <c r="J1871" s="489"/>
    </row>
    <row r="1872" spans="1:10">
      <c r="A1872" s="539"/>
      <c r="B1872" s="540" t="s">
        <v>505</v>
      </c>
      <c r="C1872" s="939">
        <v>50</v>
      </c>
      <c r="D1872" s="499" t="s">
        <v>14</v>
      </c>
      <c r="E1872" s="940">
        <v>562</v>
      </c>
      <c r="F1872" s="940">
        <f t="shared" si="147"/>
        <v>28100</v>
      </c>
      <c r="G1872" s="940">
        <v>120</v>
      </c>
      <c r="H1872" s="940">
        <f t="shared" si="148"/>
        <v>6000</v>
      </c>
      <c r="I1872" s="940">
        <f t="shared" si="149"/>
        <v>34100</v>
      </c>
      <c r="J1872" s="489"/>
    </row>
    <row r="1873" spans="1:10">
      <c r="A1873" s="539"/>
      <c r="B1873" s="540" t="s">
        <v>506</v>
      </c>
      <c r="C1873" s="939">
        <v>50</v>
      </c>
      <c r="D1873" s="499" t="s">
        <v>14</v>
      </c>
      <c r="E1873" s="940">
        <v>834</v>
      </c>
      <c r="F1873" s="940">
        <f t="shared" si="147"/>
        <v>41700</v>
      </c>
      <c r="G1873" s="940">
        <v>150</v>
      </c>
      <c r="H1873" s="940">
        <f t="shared" si="148"/>
        <v>7500</v>
      </c>
      <c r="I1873" s="940">
        <f t="shared" si="149"/>
        <v>49200</v>
      </c>
      <c r="J1873" s="489"/>
    </row>
    <row r="1874" spans="1:10">
      <c r="A1874" s="539"/>
      <c r="B1874" s="938" t="s">
        <v>507</v>
      </c>
      <c r="C1874" s="941">
        <v>1</v>
      </c>
      <c r="D1874" s="942" t="s">
        <v>508</v>
      </c>
      <c r="E1874" s="940">
        <f>ROUNDDOWN(SUM(F1866:F1873)*35%,0)</f>
        <v>72317</v>
      </c>
      <c r="F1874" s="940">
        <f t="shared" si="147"/>
        <v>72317</v>
      </c>
      <c r="G1874" s="940">
        <f>ROUNDDOWN(E1874*0.2,0)</f>
        <v>14463</v>
      </c>
      <c r="H1874" s="940">
        <f t="shared" si="148"/>
        <v>14463</v>
      </c>
      <c r="I1874" s="940">
        <f t="shared" si="149"/>
        <v>86780</v>
      </c>
      <c r="J1874" s="489"/>
    </row>
    <row r="1875" spans="1:10">
      <c r="A1875" s="539"/>
      <c r="B1875" s="938" t="s">
        <v>509</v>
      </c>
      <c r="C1875" s="941">
        <v>1</v>
      </c>
      <c r="D1875" s="942" t="s">
        <v>508</v>
      </c>
      <c r="E1875" s="940">
        <f>ROUNDDOWN(SUM(F1866:F1873)*20%,0)</f>
        <v>41324</v>
      </c>
      <c r="F1875" s="940">
        <f>C1875*E1875</f>
        <v>41324</v>
      </c>
      <c r="G1875" s="940">
        <f>ROUNDDOWN(E1875*0.2,0)</f>
        <v>8264</v>
      </c>
      <c r="H1875" s="940">
        <f t="shared" si="148"/>
        <v>8264</v>
      </c>
      <c r="I1875" s="940">
        <f t="shared" si="149"/>
        <v>49588</v>
      </c>
      <c r="J1875" s="489"/>
    </row>
    <row r="1876" spans="1:10">
      <c r="A1876" s="539"/>
      <c r="B1876" s="938" t="s">
        <v>510</v>
      </c>
      <c r="C1876" s="941">
        <v>1</v>
      </c>
      <c r="D1876" s="943" t="s">
        <v>508</v>
      </c>
      <c r="E1876" s="940">
        <f>ROUNDDOWN(SUM(F1866:F1873)*10%,0)</f>
        <v>20662</v>
      </c>
      <c r="F1876" s="940">
        <f t="shared" si="147"/>
        <v>20662</v>
      </c>
      <c r="G1876" s="940">
        <f>ROUNDDOWN(E1876*0.3,0)</f>
        <v>6198</v>
      </c>
      <c r="H1876" s="940">
        <f t="shared" si="148"/>
        <v>6198</v>
      </c>
      <c r="I1876" s="940">
        <f t="shared" si="149"/>
        <v>26860</v>
      </c>
      <c r="J1876" s="489"/>
    </row>
    <row r="1877" spans="1:10">
      <c r="A1877" s="539"/>
      <c r="B1877" s="944" t="s">
        <v>512</v>
      </c>
      <c r="C1877" s="945"/>
      <c r="D1877" s="541"/>
      <c r="E1877" s="946"/>
      <c r="F1877" s="946"/>
      <c r="G1877" s="542"/>
      <c r="H1877" s="543"/>
      <c r="I1877" s="543"/>
      <c r="J1877" s="489"/>
    </row>
    <row r="1878" spans="1:10">
      <c r="A1878" s="539"/>
      <c r="B1878" s="540" t="s">
        <v>513</v>
      </c>
      <c r="C1878" s="506">
        <v>6</v>
      </c>
      <c r="D1878" s="544" t="s">
        <v>15</v>
      </c>
      <c r="E1878" s="940">
        <v>2674</v>
      </c>
      <c r="F1878" s="940">
        <f>C1878*E1878</f>
        <v>16044</v>
      </c>
      <c r="G1878" s="940">
        <v>500</v>
      </c>
      <c r="H1878" s="490">
        <f t="shared" ref="H1878:H1894" si="150">C1878*G1878</f>
        <v>3000</v>
      </c>
      <c r="I1878" s="490">
        <f t="shared" ref="I1878:I1898" si="151">F1878+H1878</f>
        <v>19044</v>
      </c>
      <c r="J1878" s="489"/>
    </row>
    <row r="1879" spans="1:10">
      <c r="A1879" s="539"/>
      <c r="B1879" s="540" t="s">
        <v>514</v>
      </c>
      <c r="C1879" s="506">
        <v>6</v>
      </c>
      <c r="D1879" s="544" t="s">
        <v>15</v>
      </c>
      <c r="E1879" s="940">
        <v>3677</v>
      </c>
      <c r="F1879" s="940">
        <f>C1879*E1879</f>
        <v>22062</v>
      </c>
      <c r="G1879" s="940">
        <v>600</v>
      </c>
      <c r="H1879" s="490">
        <f t="shared" si="150"/>
        <v>3600</v>
      </c>
      <c r="I1879" s="490">
        <f t="shared" si="151"/>
        <v>25662</v>
      </c>
      <c r="J1879" s="489"/>
    </row>
    <row r="1880" spans="1:10">
      <c r="A1880" s="539"/>
      <c r="B1880" s="540" t="s">
        <v>515</v>
      </c>
      <c r="C1880" s="506">
        <v>6</v>
      </c>
      <c r="D1880" s="544" t="s">
        <v>15</v>
      </c>
      <c r="E1880" s="940">
        <v>7070</v>
      </c>
      <c r="F1880" s="940">
        <f>C1880*E1880</f>
        <v>42420</v>
      </c>
      <c r="G1880" s="940">
        <v>800</v>
      </c>
      <c r="H1880" s="490">
        <f t="shared" si="150"/>
        <v>4800</v>
      </c>
      <c r="I1880" s="490">
        <f t="shared" si="151"/>
        <v>47220</v>
      </c>
      <c r="J1880" s="489"/>
    </row>
    <row r="1881" spans="1:10">
      <c r="A1881" s="539"/>
      <c r="B1881" s="540" t="s">
        <v>579</v>
      </c>
      <c r="C1881" s="506"/>
      <c r="D1881" s="541"/>
      <c r="E1881" s="946"/>
      <c r="F1881" s="946"/>
      <c r="G1881" s="542"/>
      <c r="H1881" s="490"/>
      <c r="I1881" s="490"/>
      <c r="J1881" s="489"/>
    </row>
    <row r="1882" spans="1:10">
      <c r="A1882" s="539"/>
      <c r="B1882" s="540" t="s">
        <v>580</v>
      </c>
      <c r="C1882" s="506">
        <v>1</v>
      </c>
      <c r="D1882" s="544" t="s">
        <v>15</v>
      </c>
      <c r="E1882" s="940">
        <v>12474</v>
      </c>
      <c r="F1882" s="940">
        <f>C1882*E1882</f>
        <v>12474</v>
      </c>
      <c r="G1882" s="940">
        <v>500</v>
      </c>
      <c r="H1882" s="490">
        <f t="shared" si="150"/>
        <v>500</v>
      </c>
      <c r="I1882" s="490">
        <f t="shared" si="151"/>
        <v>12974</v>
      </c>
      <c r="J1882" s="489"/>
    </row>
    <row r="1883" spans="1:10">
      <c r="A1883" s="539"/>
      <c r="B1883" s="540" t="s">
        <v>515</v>
      </c>
      <c r="C1883" s="506">
        <v>1</v>
      </c>
      <c r="D1883" s="544" t="s">
        <v>15</v>
      </c>
      <c r="E1883" s="940">
        <v>28710</v>
      </c>
      <c r="F1883" s="940">
        <f>C1883*E1883</f>
        <v>28710</v>
      </c>
      <c r="G1883" s="940">
        <v>800</v>
      </c>
      <c r="H1883" s="490">
        <f t="shared" si="150"/>
        <v>800</v>
      </c>
      <c r="I1883" s="490">
        <f t="shared" si="151"/>
        <v>29510</v>
      </c>
      <c r="J1883" s="489"/>
    </row>
    <row r="1884" spans="1:10">
      <c r="A1884" s="539"/>
      <c r="B1884" s="540" t="s">
        <v>581</v>
      </c>
      <c r="C1884" s="506"/>
      <c r="D1884" s="541"/>
      <c r="E1884" s="946"/>
      <c r="F1884" s="946"/>
      <c r="G1884" s="542"/>
      <c r="H1884" s="490"/>
      <c r="I1884" s="490"/>
      <c r="J1884" s="489"/>
    </row>
    <row r="1885" spans="1:10">
      <c r="A1885" s="539"/>
      <c r="B1885" s="938" t="s">
        <v>582</v>
      </c>
      <c r="C1885" s="506">
        <v>1</v>
      </c>
      <c r="D1885" s="544" t="s">
        <v>15</v>
      </c>
      <c r="E1885" s="953">
        <v>2070</v>
      </c>
      <c r="F1885" s="953">
        <f>C1885*E1885</f>
        <v>2070</v>
      </c>
      <c r="G1885" s="940">
        <v>400</v>
      </c>
      <c r="H1885" s="490">
        <f t="shared" si="150"/>
        <v>400</v>
      </c>
      <c r="I1885" s="490">
        <f t="shared" si="151"/>
        <v>2470</v>
      </c>
      <c r="J1885" s="489"/>
    </row>
    <row r="1886" spans="1:10">
      <c r="A1886" s="539"/>
      <c r="B1886" s="938" t="s">
        <v>580</v>
      </c>
      <c r="C1886" s="506">
        <v>1</v>
      </c>
      <c r="D1886" s="544" t="s">
        <v>15</v>
      </c>
      <c r="E1886" s="940">
        <v>3480</v>
      </c>
      <c r="F1886" s="940">
        <f>C1886*E1886</f>
        <v>3480</v>
      </c>
      <c r="G1886" s="940">
        <v>500</v>
      </c>
      <c r="H1886" s="490">
        <f t="shared" si="150"/>
        <v>500</v>
      </c>
      <c r="I1886" s="490">
        <f t="shared" si="151"/>
        <v>3980</v>
      </c>
      <c r="J1886" s="489"/>
    </row>
    <row r="1887" spans="1:10">
      <c r="A1887" s="539"/>
      <c r="B1887" s="938" t="s">
        <v>515</v>
      </c>
      <c r="C1887" s="506">
        <v>1</v>
      </c>
      <c r="D1887" s="544" t="s">
        <v>15</v>
      </c>
      <c r="E1887" s="940">
        <v>3990</v>
      </c>
      <c r="F1887" s="940">
        <f>C1887*E1887</f>
        <v>3990</v>
      </c>
      <c r="G1887" s="940">
        <v>600</v>
      </c>
      <c r="H1887" s="490">
        <f t="shared" si="150"/>
        <v>600</v>
      </c>
      <c r="I1887" s="490">
        <f t="shared" si="151"/>
        <v>4590</v>
      </c>
      <c r="J1887" s="489"/>
    </row>
    <row r="1888" spans="1:10">
      <c r="A1888" s="539"/>
      <c r="B1888" s="938" t="s">
        <v>583</v>
      </c>
      <c r="C1888" s="506"/>
      <c r="D1888" s="541"/>
      <c r="E1888" s="946"/>
      <c r="F1888" s="946"/>
      <c r="G1888" s="542"/>
      <c r="H1888" s="490"/>
      <c r="I1888" s="490"/>
      <c r="J1888" s="489"/>
    </row>
    <row r="1889" spans="1:10">
      <c r="A1889" s="539"/>
      <c r="B1889" s="938" t="s">
        <v>513</v>
      </c>
      <c r="C1889" s="506">
        <v>3</v>
      </c>
      <c r="D1889" s="544" t="s">
        <v>15</v>
      </c>
      <c r="E1889" s="940">
        <v>5100</v>
      </c>
      <c r="F1889" s="940">
        <f>C1889*E1889</f>
        <v>15300</v>
      </c>
      <c r="G1889" s="940">
        <v>500</v>
      </c>
      <c r="H1889" s="490">
        <f t="shared" si="150"/>
        <v>1500</v>
      </c>
      <c r="I1889" s="490">
        <f t="shared" si="151"/>
        <v>16800</v>
      </c>
      <c r="J1889" s="489"/>
    </row>
    <row r="1890" spans="1:10">
      <c r="A1890" s="539"/>
      <c r="B1890" s="938" t="s">
        <v>514</v>
      </c>
      <c r="C1890" s="506">
        <v>3</v>
      </c>
      <c r="D1890" s="544" t="s">
        <v>15</v>
      </c>
      <c r="E1890" s="940">
        <v>5900</v>
      </c>
      <c r="F1890" s="940">
        <f>C1890*E1890</f>
        <v>17700</v>
      </c>
      <c r="G1890" s="940">
        <v>600</v>
      </c>
      <c r="H1890" s="490">
        <f t="shared" si="150"/>
        <v>1800</v>
      </c>
      <c r="I1890" s="490">
        <f t="shared" si="151"/>
        <v>19500</v>
      </c>
      <c r="J1890" s="489"/>
    </row>
    <row r="1891" spans="1:10">
      <c r="A1891" s="539"/>
      <c r="B1891" s="938" t="s">
        <v>515</v>
      </c>
      <c r="C1891" s="506">
        <v>3</v>
      </c>
      <c r="D1891" s="544" t="s">
        <v>15</v>
      </c>
      <c r="E1891" s="940">
        <v>6500</v>
      </c>
      <c r="F1891" s="940">
        <f>C1891*E1891</f>
        <v>19500</v>
      </c>
      <c r="G1891" s="940">
        <v>700</v>
      </c>
      <c r="H1891" s="490">
        <f t="shared" si="150"/>
        <v>2100</v>
      </c>
      <c r="I1891" s="490">
        <f t="shared" si="151"/>
        <v>21600</v>
      </c>
      <c r="J1891" s="489"/>
    </row>
    <row r="1892" spans="1:10">
      <c r="A1892" s="539"/>
      <c r="B1892" s="938" t="s">
        <v>517</v>
      </c>
      <c r="C1892" s="506"/>
      <c r="D1892" s="942"/>
      <c r="E1892" s="946"/>
      <c r="F1892" s="946"/>
      <c r="G1892" s="946"/>
      <c r="H1892" s="490"/>
      <c r="I1892" s="490"/>
      <c r="J1892" s="489"/>
    </row>
    <row r="1893" spans="1:10">
      <c r="A1893" s="539"/>
      <c r="B1893" s="540" t="s">
        <v>499</v>
      </c>
      <c r="C1893" s="506">
        <v>50</v>
      </c>
      <c r="D1893" s="544" t="s">
        <v>15</v>
      </c>
      <c r="E1893" s="489">
        <v>169</v>
      </c>
      <c r="F1893" s="489">
        <f>E1893*C1893</f>
        <v>8450</v>
      </c>
      <c r="G1893" s="489">
        <v>50</v>
      </c>
      <c r="H1893" s="489">
        <f>G1893*C1893</f>
        <v>2500</v>
      </c>
      <c r="I1893" s="490">
        <f t="shared" si="151"/>
        <v>10950</v>
      </c>
      <c r="J1893" s="489"/>
    </row>
    <row r="1894" spans="1:10">
      <c r="A1894" s="539"/>
      <c r="B1894" s="938" t="s">
        <v>584</v>
      </c>
      <c r="C1894" s="506">
        <v>1</v>
      </c>
      <c r="D1894" s="544" t="s">
        <v>15</v>
      </c>
      <c r="E1894" s="489">
        <v>1450</v>
      </c>
      <c r="F1894" s="489">
        <f>C1894*E1894</f>
        <v>1450</v>
      </c>
      <c r="G1894" s="489">
        <v>150</v>
      </c>
      <c r="H1894" s="489">
        <f t="shared" si="150"/>
        <v>150</v>
      </c>
      <c r="I1894" s="490">
        <f t="shared" si="151"/>
        <v>1600</v>
      </c>
      <c r="J1894" s="489"/>
    </row>
    <row r="1895" spans="1:10">
      <c r="A1895" s="539"/>
      <c r="B1895" s="938" t="s">
        <v>585</v>
      </c>
      <c r="C1895" s="506"/>
      <c r="D1895" s="499"/>
      <c r="E1895" s="489"/>
      <c r="F1895" s="489"/>
      <c r="G1895" s="489"/>
      <c r="H1895" s="489"/>
      <c r="I1895" s="490"/>
      <c r="J1895" s="489"/>
    </row>
    <row r="1896" spans="1:10">
      <c r="A1896" s="539"/>
      <c r="B1896" s="938" t="s">
        <v>586</v>
      </c>
      <c r="C1896" s="506">
        <v>3</v>
      </c>
      <c r="D1896" s="544" t="s">
        <v>15</v>
      </c>
      <c r="E1896" s="489">
        <v>3000</v>
      </c>
      <c r="F1896" s="489">
        <f>C1896*E1896</f>
        <v>9000</v>
      </c>
      <c r="G1896" s="489">
        <v>300</v>
      </c>
      <c r="H1896" s="489">
        <f>C1896*G1896</f>
        <v>900</v>
      </c>
      <c r="I1896" s="490">
        <f t="shared" si="151"/>
        <v>9900</v>
      </c>
      <c r="J1896" s="489"/>
    </row>
    <row r="1897" spans="1:10">
      <c r="A1897" s="539"/>
      <c r="B1897" s="938" t="s">
        <v>587</v>
      </c>
      <c r="C1897" s="506">
        <v>3</v>
      </c>
      <c r="D1897" s="544" t="s">
        <v>15</v>
      </c>
      <c r="E1897" s="489">
        <v>2090</v>
      </c>
      <c r="F1897" s="489">
        <f>C1897*E1897</f>
        <v>6270</v>
      </c>
      <c r="G1897" s="489">
        <v>300</v>
      </c>
      <c r="H1897" s="489">
        <f>C1897*G1897</f>
        <v>900</v>
      </c>
      <c r="I1897" s="490">
        <f t="shared" si="151"/>
        <v>7170</v>
      </c>
      <c r="J1897" s="489"/>
    </row>
    <row r="1898" spans="1:10">
      <c r="A1898" s="539"/>
      <c r="B1898" s="938" t="s">
        <v>588</v>
      </c>
      <c r="C1898" s="506">
        <v>3</v>
      </c>
      <c r="D1898" s="544" t="s">
        <v>15</v>
      </c>
      <c r="E1898" s="489">
        <v>2990</v>
      </c>
      <c r="F1898" s="489">
        <f>C1898*E1898</f>
        <v>8970</v>
      </c>
      <c r="G1898" s="489">
        <v>400</v>
      </c>
      <c r="H1898" s="489">
        <f>C1898*G1898</f>
        <v>1200</v>
      </c>
      <c r="I1898" s="490">
        <f t="shared" si="151"/>
        <v>10170</v>
      </c>
      <c r="J1898" s="489"/>
    </row>
    <row r="1899" spans="1:10">
      <c r="A1899" s="539"/>
      <c r="B1899" s="938" t="s">
        <v>519</v>
      </c>
      <c r="C1899" s="506">
        <v>1</v>
      </c>
      <c r="D1899" s="499" t="s">
        <v>508</v>
      </c>
      <c r="E1899" s="866" t="s">
        <v>332</v>
      </c>
      <c r="F1899" s="866" t="s">
        <v>332</v>
      </c>
      <c r="G1899" s="489">
        <v>40000</v>
      </c>
      <c r="H1899" s="489">
        <f>C1899*G1899</f>
        <v>40000</v>
      </c>
      <c r="I1899" s="489">
        <f>H1899</f>
        <v>40000</v>
      </c>
      <c r="J1899" s="489"/>
    </row>
    <row r="1900" spans="1:10">
      <c r="A1900" s="545" t="s">
        <v>1228</v>
      </c>
      <c r="B1900" s="546" t="s">
        <v>520</v>
      </c>
      <c r="C1900" s="506"/>
      <c r="D1900" s="499"/>
      <c r="E1900" s="489"/>
      <c r="F1900" s="489"/>
      <c r="G1900" s="507"/>
      <c r="H1900" s="490"/>
      <c r="I1900" s="490"/>
      <c r="J1900" s="489"/>
    </row>
    <row r="1901" spans="1:10">
      <c r="A1901" s="539"/>
      <c r="B1901" s="938" t="s">
        <v>522</v>
      </c>
      <c r="C1901" s="506"/>
      <c r="D1901" s="499"/>
      <c r="E1901" s="489"/>
      <c r="F1901" s="489"/>
      <c r="G1901" s="507"/>
      <c r="H1901" s="490"/>
      <c r="I1901" s="490"/>
      <c r="J1901" s="489"/>
    </row>
    <row r="1902" spans="1:10">
      <c r="A1902" s="948"/>
      <c r="B1902" s="938" t="s">
        <v>523</v>
      </c>
      <c r="C1902" s="506">
        <v>130</v>
      </c>
      <c r="D1902" s="499" t="s">
        <v>14</v>
      </c>
      <c r="E1902" s="489">
        <v>24</v>
      </c>
      <c r="F1902" s="489">
        <f>E1902*C1902</f>
        <v>3120</v>
      </c>
      <c r="G1902" s="489">
        <v>30</v>
      </c>
      <c r="H1902" s="489">
        <f>G1902*C1902</f>
        <v>3900</v>
      </c>
      <c r="I1902" s="489">
        <f>H1902+F1902</f>
        <v>7020</v>
      </c>
      <c r="J1902" s="489"/>
    </row>
    <row r="1903" spans="1:10">
      <c r="A1903" s="948"/>
      <c r="B1903" s="938" t="s">
        <v>524</v>
      </c>
      <c r="C1903" s="506">
        <v>160</v>
      </c>
      <c r="D1903" s="499" t="s">
        <v>14</v>
      </c>
      <c r="E1903" s="489">
        <v>50</v>
      </c>
      <c r="F1903" s="489">
        <f t="shared" ref="F1903:F1908" si="152">E1903*C1903</f>
        <v>8000</v>
      </c>
      <c r="G1903" s="489">
        <v>40</v>
      </c>
      <c r="H1903" s="489">
        <f t="shared" ref="H1903:H1908" si="153">G1903*C1903</f>
        <v>6400</v>
      </c>
      <c r="I1903" s="489">
        <f t="shared" ref="I1903:I1908" si="154">H1903+F1903</f>
        <v>14400</v>
      </c>
      <c r="J1903" s="489"/>
    </row>
    <row r="1904" spans="1:10">
      <c r="A1904" s="948"/>
      <c r="B1904" s="938" t="s">
        <v>525</v>
      </c>
      <c r="C1904" s="506">
        <v>120</v>
      </c>
      <c r="D1904" s="499" t="s">
        <v>14</v>
      </c>
      <c r="E1904" s="489">
        <v>109</v>
      </c>
      <c r="F1904" s="489">
        <f t="shared" si="152"/>
        <v>13080</v>
      </c>
      <c r="G1904" s="489">
        <v>75</v>
      </c>
      <c r="H1904" s="489">
        <f t="shared" si="153"/>
        <v>9000</v>
      </c>
      <c r="I1904" s="489">
        <f t="shared" si="154"/>
        <v>22080</v>
      </c>
      <c r="J1904" s="489"/>
    </row>
    <row r="1905" spans="1:10">
      <c r="A1905" s="539"/>
      <c r="B1905" s="938" t="s">
        <v>526</v>
      </c>
      <c r="C1905" s="506">
        <v>150</v>
      </c>
      <c r="D1905" s="499" t="s">
        <v>14</v>
      </c>
      <c r="E1905" s="489">
        <v>177</v>
      </c>
      <c r="F1905" s="489">
        <f t="shared" si="152"/>
        <v>26550</v>
      </c>
      <c r="G1905" s="489">
        <v>100</v>
      </c>
      <c r="H1905" s="489">
        <f t="shared" si="153"/>
        <v>15000</v>
      </c>
      <c r="I1905" s="489">
        <f t="shared" si="154"/>
        <v>41550</v>
      </c>
      <c r="J1905" s="489"/>
    </row>
    <row r="1906" spans="1:10">
      <c r="A1906" s="539"/>
      <c r="B1906" s="938" t="s">
        <v>527</v>
      </c>
      <c r="C1906" s="506">
        <v>50</v>
      </c>
      <c r="D1906" s="499" t="s">
        <v>14</v>
      </c>
      <c r="E1906" s="489">
        <v>291</v>
      </c>
      <c r="F1906" s="489">
        <f t="shared" si="152"/>
        <v>14550</v>
      </c>
      <c r="G1906" s="489">
        <v>200</v>
      </c>
      <c r="H1906" s="489">
        <f t="shared" si="153"/>
        <v>10000</v>
      </c>
      <c r="I1906" s="489">
        <f t="shared" si="154"/>
        <v>24550</v>
      </c>
      <c r="J1906" s="489"/>
    </row>
    <row r="1907" spans="1:10">
      <c r="A1907" s="539"/>
      <c r="B1907" s="938" t="s">
        <v>507</v>
      </c>
      <c r="C1907" s="506">
        <v>1</v>
      </c>
      <c r="D1907" s="499" t="s">
        <v>508</v>
      </c>
      <c r="E1907" s="489">
        <f>FLOOR(SUM(F1902:F1906)*0.4,1)</f>
        <v>26120</v>
      </c>
      <c r="F1907" s="489">
        <f t="shared" si="152"/>
        <v>26120</v>
      </c>
      <c r="G1907" s="489">
        <f>E1907*0.3</f>
        <v>7836</v>
      </c>
      <c r="H1907" s="489">
        <f t="shared" si="153"/>
        <v>7836</v>
      </c>
      <c r="I1907" s="489">
        <f t="shared" si="154"/>
        <v>33956</v>
      </c>
      <c r="J1907" s="489"/>
    </row>
    <row r="1908" spans="1:10">
      <c r="A1908" s="539"/>
      <c r="B1908" s="938" t="s">
        <v>509</v>
      </c>
      <c r="C1908" s="506">
        <v>1</v>
      </c>
      <c r="D1908" s="499" t="s">
        <v>508</v>
      </c>
      <c r="E1908" s="489">
        <f>FLOOR(SUM(F1902:F1906)*0.3,1)</f>
        <v>19590</v>
      </c>
      <c r="F1908" s="489">
        <f t="shared" si="152"/>
        <v>19590</v>
      </c>
      <c r="G1908" s="489">
        <f>E1908*0.3</f>
        <v>5877</v>
      </c>
      <c r="H1908" s="489">
        <f t="shared" si="153"/>
        <v>5877</v>
      </c>
      <c r="I1908" s="489">
        <f t="shared" si="154"/>
        <v>25467</v>
      </c>
      <c r="J1908" s="489"/>
    </row>
    <row r="1909" spans="1:10">
      <c r="A1909" s="539"/>
      <c r="B1909" s="938" t="s">
        <v>510</v>
      </c>
      <c r="C1909" s="506">
        <v>1</v>
      </c>
      <c r="D1909" s="943" t="s">
        <v>508</v>
      </c>
      <c r="E1909" s="940">
        <f>ROUNDDOWN(SUM(F1902:F1906)*10%,0)</f>
        <v>6530</v>
      </c>
      <c r="F1909" s="940">
        <f>C1909*E1909</f>
        <v>6530</v>
      </c>
      <c r="G1909" s="940">
        <f>ROUNDDOWN(E1909*0.3,0)</f>
        <v>1959</v>
      </c>
      <c r="H1909" s="940">
        <f>C1909*G1909</f>
        <v>1959</v>
      </c>
      <c r="I1909" s="940">
        <f>F1909+H1909</f>
        <v>8489</v>
      </c>
      <c r="J1909" s="489"/>
    </row>
    <row r="1910" spans="1:10">
      <c r="A1910" s="539"/>
      <c r="B1910" s="938" t="s">
        <v>529</v>
      </c>
      <c r="C1910" s="506"/>
      <c r="D1910" s="499"/>
      <c r="E1910" s="489"/>
      <c r="F1910" s="489"/>
      <c r="G1910" s="507"/>
      <c r="H1910" s="490"/>
      <c r="I1910" s="490"/>
      <c r="J1910" s="489"/>
    </row>
    <row r="1911" spans="1:10">
      <c r="A1911" s="539"/>
      <c r="B1911" s="938" t="s">
        <v>523</v>
      </c>
      <c r="C1911" s="506">
        <v>80</v>
      </c>
      <c r="D1911" s="499" t="s">
        <v>14</v>
      </c>
      <c r="E1911" s="489">
        <v>24</v>
      </c>
      <c r="F1911" s="489">
        <f>E1911*C1911</f>
        <v>1920</v>
      </c>
      <c r="G1911" s="489">
        <v>30</v>
      </c>
      <c r="H1911" s="489">
        <f>G1911*C1911</f>
        <v>2400</v>
      </c>
      <c r="I1911" s="489">
        <f>H1911+F1911</f>
        <v>4320</v>
      </c>
      <c r="J1911" s="489"/>
    </row>
    <row r="1912" spans="1:10">
      <c r="A1912" s="539"/>
      <c r="B1912" s="938" t="s">
        <v>524</v>
      </c>
      <c r="C1912" s="506">
        <v>60</v>
      </c>
      <c r="D1912" s="499" t="s">
        <v>14</v>
      </c>
      <c r="E1912" s="489">
        <v>84</v>
      </c>
      <c r="F1912" s="489">
        <f>E1912*C1912</f>
        <v>5040</v>
      </c>
      <c r="G1912" s="489">
        <v>75</v>
      </c>
      <c r="H1912" s="489">
        <f>G1912*C1912</f>
        <v>4500</v>
      </c>
      <c r="I1912" s="489">
        <f>H1912+F1912</f>
        <v>9540</v>
      </c>
      <c r="J1912" s="489"/>
    </row>
    <row r="1913" spans="1:10">
      <c r="A1913" s="539"/>
      <c r="B1913" s="938" t="s">
        <v>525</v>
      </c>
      <c r="C1913" s="506">
        <v>40</v>
      </c>
      <c r="D1913" s="499" t="s">
        <v>14</v>
      </c>
      <c r="E1913" s="489">
        <f>FLOOR(SUM(F1911:F1912)*0.4,1)</f>
        <v>2784</v>
      </c>
      <c r="F1913" s="489">
        <f>E1913*C1913</f>
        <v>111360</v>
      </c>
      <c r="G1913" s="489">
        <f>E1913*0.3</f>
        <v>835.19999999999993</v>
      </c>
      <c r="H1913" s="489">
        <f>G1913*C1913</f>
        <v>33408</v>
      </c>
      <c r="I1913" s="489">
        <f>H1913+F1913</f>
        <v>144768</v>
      </c>
      <c r="J1913" s="489"/>
    </row>
    <row r="1914" spans="1:10">
      <c r="A1914" s="539"/>
      <c r="B1914" s="938" t="s">
        <v>507</v>
      </c>
      <c r="C1914" s="506">
        <v>1</v>
      </c>
      <c r="D1914" s="499" t="s">
        <v>508</v>
      </c>
      <c r="E1914" s="489">
        <f>FLOOR(SUM(F1911:F1913)*0.4,1)</f>
        <v>47328</v>
      </c>
      <c r="F1914" s="489">
        <f>E1914*C1914</f>
        <v>47328</v>
      </c>
      <c r="G1914" s="489">
        <f>E1914*0.3</f>
        <v>14198.4</v>
      </c>
      <c r="H1914" s="489">
        <f>G1914*C1914</f>
        <v>14198.4</v>
      </c>
      <c r="I1914" s="489">
        <f>H1914+F1914</f>
        <v>61526.400000000001</v>
      </c>
      <c r="J1914" s="489"/>
    </row>
    <row r="1915" spans="1:10">
      <c r="A1915" s="539"/>
      <c r="B1915" s="938" t="s">
        <v>509</v>
      </c>
      <c r="C1915" s="506">
        <v>1</v>
      </c>
      <c r="D1915" s="499" t="s">
        <v>508</v>
      </c>
      <c r="E1915" s="489">
        <f>FLOOR(SUM(F1911:F1913)*0.3,1)</f>
        <v>35496</v>
      </c>
      <c r="F1915" s="489">
        <f>E1915*C1915</f>
        <v>35496</v>
      </c>
      <c r="G1915" s="489">
        <f>E1915*0.3</f>
        <v>10648.8</v>
      </c>
      <c r="H1915" s="489">
        <f>G1915*C1915</f>
        <v>10648.8</v>
      </c>
      <c r="I1915" s="489">
        <f>H1915+F1915</f>
        <v>46144.800000000003</v>
      </c>
      <c r="J1915" s="489"/>
    </row>
    <row r="1916" spans="1:10">
      <c r="A1916" s="539"/>
      <c r="B1916" s="938" t="s">
        <v>510</v>
      </c>
      <c r="C1916" s="506">
        <v>1</v>
      </c>
      <c r="D1916" s="943" t="s">
        <v>508</v>
      </c>
      <c r="E1916" s="940">
        <f>ROUNDDOWN(SUM(F1911:F1913)*10%,0)</f>
        <v>11832</v>
      </c>
      <c r="F1916" s="940">
        <f>C1916*E1916</f>
        <v>11832</v>
      </c>
      <c r="G1916" s="940">
        <f>ROUNDDOWN(E1916*0.3,0)</f>
        <v>3549</v>
      </c>
      <c r="H1916" s="940">
        <f>C1916*G1916</f>
        <v>3549</v>
      </c>
      <c r="I1916" s="940">
        <f>F1916+H1916</f>
        <v>15381</v>
      </c>
      <c r="J1916" s="489"/>
    </row>
    <row r="1917" spans="1:10">
      <c r="A1917" s="539"/>
      <c r="B1917" s="938" t="s">
        <v>530</v>
      </c>
      <c r="C1917" s="506"/>
      <c r="D1917" s="499"/>
      <c r="E1917" s="489"/>
      <c r="F1917" s="489"/>
      <c r="G1917" s="489"/>
      <c r="H1917" s="489"/>
      <c r="I1917" s="489"/>
      <c r="J1917" s="489"/>
    </row>
    <row r="1918" spans="1:10">
      <c r="A1918" s="539"/>
      <c r="B1918" s="938" t="s">
        <v>524</v>
      </c>
      <c r="C1918" s="506">
        <v>10</v>
      </c>
      <c r="D1918" s="499" t="s">
        <v>15</v>
      </c>
      <c r="E1918" s="489">
        <v>710</v>
      </c>
      <c r="F1918" s="489">
        <f>C1918*E1918</f>
        <v>7100</v>
      </c>
      <c r="G1918" s="489">
        <v>200</v>
      </c>
      <c r="H1918" s="489">
        <f>C1918*G1918</f>
        <v>2000</v>
      </c>
      <c r="I1918" s="489">
        <f>F1918+H1918</f>
        <v>9100</v>
      </c>
      <c r="J1918" s="489"/>
    </row>
    <row r="1919" spans="1:10">
      <c r="A1919" s="539"/>
      <c r="B1919" s="938" t="s">
        <v>531</v>
      </c>
      <c r="C1919" s="506"/>
      <c r="D1919" s="499"/>
      <c r="E1919" s="489"/>
      <c r="F1919" s="489"/>
      <c r="G1919" s="489"/>
      <c r="H1919" s="489"/>
      <c r="I1919" s="489"/>
      <c r="J1919" s="489"/>
    </row>
    <row r="1920" spans="1:10">
      <c r="A1920" s="539"/>
      <c r="B1920" s="938" t="s">
        <v>524</v>
      </c>
      <c r="C1920" s="506">
        <v>2</v>
      </c>
      <c r="D1920" s="499" t="s">
        <v>15</v>
      </c>
      <c r="E1920" s="489">
        <v>600</v>
      </c>
      <c r="F1920" s="489">
        <f>C1920*E1920</f>
        <v>1200</v>
      </c>
      <c r="G1920" s="489">
        <v>200</v>
      </c>
      <c r="H1920" s="489">
        <f>C1920*G1920</f>
        <v>400</v>
      </c>
      <c r="I1920" s="489">
        <f>F1920+H1920</f>
        <v>1600</v>
      </c>
      <c r="J1920" s="489"/>
    </row>
    <row r="1921" spans="1:10">
      <c r="A1921" s="539"/>
      <c r="B1921" s="938" t="s">
        <v>525</v>
      </c>
      <c r="C1921" s="506">
        <v>5</v>
      </c>
      <c r="D1921" s="499" t="s">
        <v>15</v>
      </c>
      <c r="E1921" s="489">
        <v>680</v>
      </c>
      <c r="F1921" s="489">
        <f>C1921*E1921</f>
        <v>3400</v>
      </c>
      <c r="G1921" s="489">
        <v>300</v>
      </c>
      <c r="H1921" s="489">
        <f>C1921*G1921</f>
        <v>1500</v>
      </c>
      <c r="I1921" s="489">
        <f>F1921+H1921</f>
        <v>4900</v>
      </c>
      <c r="J1921" s="489"/>
    </row>
    <row r="1922" spans="1:10">
      <c r="A1922" s="539"/>
      <c r="B1922" s="938" t="s">
        <v>526</v>
      </c>
      <c r="C1922" s="506">
        <v>4</v>
      </c>
      <c r="D1922" s="499" t="s">
        <v>15</v>
      </c>
      <c r="E1922" s="489">
        <v>750</v>
      </c>
      <c r="F1922" s="489">
        <f>C1922*E1922</f>
        <v>3000</v>
      </c>
      <c r="G1922" s="489">
        <v>400</v>
      </c>
      <c r="H1922" s="489">
        <f>C1922*G1922</f>
        <v>1600</v>
      </c>
      <c r="I1922" s="489">
        <f>F1922+H1922</f>
        <v>4600</v>
      </c>
      <c r="J1922" s="489"/>
    </row>
    <row r="1923" spans="1:10">
      <c r="A1923" s="539"/>
      <c r="B1923" s="938" t="s">
        <v>532</v>
      </c>
      <c r="C1923" s="506"/>
      <c r="D1923" s="499"/>
      <c r="E1923" s="489"/>
      <c r="F1923" s="489"/>
      <c r="G1923" s="489"/>
      <c r="H1923" s="489"/>
      <c r="I1923" s="489"/>
      <c r="J1923" s="489"/>
    </row>
    <row r="1924" spans="1:10">
      <c r="A1924" s="539"/>
      <c r="B1924" s="938" t="s">
        <v>533</v>
      </c>
      <c r="C1924" s="506">
        <v>2</v>
      </c>
      <c r="D1924" s="499" t="s">
        <v>15</v>
      </c>
      <c r="E1924" s="489">
        <v>310</v>
      </c>
      <c r="F1924" s="489">
        <f>E1924*C1924</f>
        <v>620</v>
      </c>
      <c r="G1924" s="489">
        <v>300</v>
      </c>
      <c r="H1924" s="489">
        <f>G1924*C1924</f>
        <v>600</v>
      </c>
      <c r="I1924" s="489">
        <f>H1924+F1924</f>
        <v>1220</v>
      </c>
      <c r="J1924" s="489"/>
    </row>
    <row r="1925" spans="1:10">
      <c r="A1925" s="539"/>
      <c r="B1925" s="938" t="s">
        <v>534</v>
      </c>
      <c r="C1925" s="506">
        <v>2</v>
      </c>
      <c r="D1925" s="499" t="s">
        <v>15</v>
      </c>
      <c r="E1925" s="489">
        <v>580</v>
      </c>
      <c r="F1925" s="489">
        <f>E1925*C1925</f>
        <v>1160</v>
      </c>
      <c r="G1925" s="489">
        <v>300</v>
      </c>
      <c r="H1925" s="489">
        <f>G1925*C1925</f>
        <v>600</v>
      </c>
      <c r="I1925" s="489">
        <f>H1925+F1925</f>
        <v>1760</v>
      </c>
      <c r="J1925" s="489"/>
    </row>
    <row r="1926" spans="1:10">
      <c r="A1926" s="539"/>
      <c r="B1926" s="938" t="s">
        <v>535</v>
      </c>
      <c r="C1926" s="506">
        <v>1</v>
      </c>
      <c r="D1926" s="499" t="s">
        <v>508</v>
      </c>
      <c r="E1926" s="489">
        <f>FLOOR((SUM(F1903:F1906)+SUM(F1924:F1925))*0.1,1)</f>
        <v>6396</v>
      </c>
      <c r="F1926" s="489">
        <f>E1926*C1926</f>
        <v>6396</v>
      </c>
      <c r="G1926" s="489">
        <f>E1926*0.3</f>
        <v>1918.8</v>
      </c>
      <c r="H1926" s="489">
        <f>G1926*C1926</f>
        <v>1918.8</v>
      </c>
      <c r="I1926" s="489">
        <f>F1926+H1926</f>
        <v>8314.7999999999993</v>
      </c>
      <c r="J1926" s="489"/>
    </row>
    <row r="1927" spans="1:10">
      <c r="A1927" s="496" t="s">
        <v>1229</v>
      </c>
      <c r="B1927" s="497" t="s">
        <v>536</v>
      </c>
      <c r="C1927" s="506"/>
      <c r="D1927" s="499"/>
      <c r="E1927" s="489"/>
      <c r="F1927" s="489"/>
      <c r="G1927" s="489"/>
      <c r="H1927" s="489"/>
      <c r="I1927" s="489"/>
      <c r="J1927" s="489"/>
    </row>
    <row r="1928" spans="1:10">
      <c r="A1928" s="539"/>
      <c r="B1928" s="938" t="s">
        <v>538</v>
      </c>
      <c r="C1928" s="904"/>
      <c r="D1928" s="499"/>
      <c r="E1928" s="499"/>
      <c r="F1928" s="499"/>
      <c r="G1928" s="499"/>
      <c r="H1928" s="499"/>
      <c r="I1928" s="499"/>
      <c r="J1928" s="489"/>
    </row>
    <row r="1929" spans="1:10">
      <c r="A1929" s="539"/>
      <c r="B1929" s="938" t="s">
        <v>527</v>
      </c>
      <c r="C1929" s="506">
        <v>150</v>
      </c>
      <c r="D1929" s="499" t="s">
        <v>14</v>
      </c>
      <c r="E1929" s="489">
        <v>291</v>
      </c>
      <c r="F1929" s="489">
        <f>E1929*C1929</f>
        <v>43650</v>
      </c>
      <c r="G1929" s="489">
        <v>100</v>
      </c>
      <c r="H1929" s="489">
        <f>G1929*C1929</f>
        <v>15000</v>
      </c>
      <c r="I1929" s="489">
        <f>H1929+F1929</f>
        <v>58650</v>
      </c>
      <c r="J1929" s="489"/>
    </row>
    <row r="1930" spans="1:10">
      <c r="A1930" s="539"/>
      <c r="B1930" s="938" t="s">
        <v>507</v>
      </c>
      <c r="C1930" s="506">
        <v>1</v>
      </c>
      <c r="D1930" s="499" t="s">
        <v>508</v>
      </c>
      <c r="E1930" s="489">
        <f>FLOOR(SUM(F1929)*0.4,10)</f>
        <v>17460</v>
      </c>
      <c r="F1930" s="489">
        <f>E1930*C1930</f>
        <v>17460</v>
      </c>
      <c r="G1930" s="489">
        <f>E1930*0.3</f>
        <v>5238</v>
      </c>
      <c r="H1930" s="489">
        <f>G1930*C1930</f>
        <v>5238</v>
      </c>
      <c r="I1930" s="489">
        <f>H1930+F1930</f>
        <v>22698</v>
      </c>
      <c r="J1930" s="489"/>
    </row>
    <row r="1931" spans="1:10">
      <c r="A1931" s="539"/>
      <c r="B1931" s="938" t="s">
        <v>509</v>
      </c>
      <c r="C1931" s="506">
        <v>1</v>
      </c>
      <c r="D1931" s="499" t="s">
        <v>508</v>
      </c>
      <c r="E1931" s="489">
        <f>FLOOR(SUM(F1929)*0.3,10)</f>
        <v>13090</v>
      </c>
      <c r="F1931" s="489">
        <f>E1931*C1931</f>
        <v>13090</v>
      </c>
      <c r="G1931" s="489">
        <f>E1931*0.3</f>
        <v>3927</v>
      </c>
      <c r="H1931" s="489">
        <f>G1931*C1931</f>
        <v>3927</v>
      </c>
      <c r="I1931" s="489">
        <f>H1931+F1931</f>
        <v>17017</v>
      </c>
      <c r="J1931" s="489"/>
    </row>
    <row r="1932" spans="1:10">
      <c r="A1932" s="539"/>
      <c r="B1932" s="938" t="s">
        <v>539</v>
      </c>
      <c r="C1932" s="506">
        <v>1</v>
      </c>
      <c r="D1932" s="499" t="s">
        <v>508</v>
      </c>
      <c r="E1932" s="489">
        <f>FLOOR(SUM(F1929)*0.1,10)</f>
        <v>4360</v>
      </c>
      <c r="F1932" s="489">
        <f>E1932*C1932</f>
        <v>4360</v>
      </c>
      <c r="G1932" s="489">
        <f>E1932*0.3</f>
        <v>1308</v>
      </c>
      <c r="H1932" s="489">
        <f>G1932*C1932</f>
        <v>1308</v>
      </c>
      <c r="I1932" s="489">
        <f>H1932+F1932</f>
        <v>5668</v>
      </c>
      <c r="J1932" s="489"/>
    </row>
    <row r="1933" spans="1:10">
      <c r="A1933" s="539"/>
      <c r="B1933" s="938" t="s">
        <v>532</v>
      </c>
      <c r="C1933" s="506"/>
      <c r="D1933" s="499"/>
      <c r="E1933" s="489"/>
      <c r="F1933" s="489"/>
      <c r="G1933" s="489"/>
      <c r="H1933" s="489"/>
      <c r="I1933" s="489"/>
      <c r="J1933" s="489"/>
    </row>
    <row r="1934" spans="1:10">
      <c r="A1934" s="539"/>
      <c r="B1934" s="938" t="s">
        <v>534</v>
      </c>
      <c r="C1934" s="506">
        <v>24</v>
      </c>
      <c r="D1934" s="499" t="s">
        <v>15</v>
      </c>
      <c r="E1934" s="489">
        <v>580</v>
      </c>
      <c r="F1934" s="489">
        <f>E1934*C1934</f>
        <v>13920</v>
      </c>
      <c r="G1934" s="489">
        <v>300</v>
      </c>
      <c r="H1934" s="489">
        <f>G1934*C1934</f>
        <v>7200</v>
      </c>
      <c r="I1934" s="489">
        <f>H1934+F1934</f>
        <v>21120</v>
      </c>
      <c r="J1934" s="489"/>
    </row>
    <row r="1935" spans="1:10">
      <c r="A1935" s="496" t="s">
        <v>1230</v>
      </c>
      <c r="B1935" s="547" t="s">
        <v>543</v>
      </c>
      <c r="C1935" s="506"/>
      <c r="D1935" s="499"/>
      <c r="E1935" s="489"/>
      <c r="F1935" s="489"/>
      <c r="G1935" s="507"/>
      <c r="H1935" s="490"/>
      <c r="I1935" s="490"/>
      <c r="J1935" s="489"/>
    </row>
    <row r="1936" spans="1:10">
      <c r="A1936" s="548"/>
      <c r="B1936" s="938" t="s">
        <v>589</v>
      </c>
      <c r="C1936" s="506">
        <v>1</v>
      </c>
      <c r="D1936" s="499" t="s">
        <v>15</v>
      </c>
      <c r="E1936" s="489">
        <v>2462000</v>
      </c>
      <c r="F1936" s="489">
        <f>C1936*E1936</f>
        <v>2462000</v>
      </c>
      <c r="G1936" s="507">
        <v>20000</v>
      </c>
      <c r="H1936" s="490">
        <f>C1936*G1936</f>
        <v>20000</v>
      </c>
      <c r="I1936" s="490">
        <f>F1936+H1936</f>
        <v>2482000</v>
      </c>
      <c r="J1936" s="489"/>
    </row>
    <row r="1937" spans="1:10">
      <c r="A1937" s="548"/>
      <c r="B1937" s="938" t="s">
        <v>590</v>
      </c>
      <c r="C1937" s="506">
        <v>1</v>
      </c>
      <c r="D1937" s="499" t="s">
        <v>15</v>
      </c>
      <c r="E1937" s="489">
        <v>104000</v>
      </c>
      <c r="F1937" s="489">
        <f>C1937*E1937</f>
        <v>104000</v>
      </c>
      <c r="G1937" s="507">
        <v>1000</v>
      </c>
      <c r="H1937" s="490">
        <f>C1937*G1937</f>
        <v>1000</v>
      </c>
      <c r="I1937" s="490">
        <f t="shared" ref="I1937:I1985" si="155">F1937+H1937</f>
        <v>105000</v>
      </c>
      <c r="J1937" s="489"/>
    </row>
    <row r="1938" spans="1:10">
      <c r="A1938" s="548"/>
      <c r="B1938" s="938" t="s">
        <v>545</v>
      </c>
      <c r="C1938" s="506">
        <v>9</v>
      </c>
      <c r="D1938" s="499" t="s">
        <v>15</v>
      </c>
      <c r="E1938" s="489">
        <v>14000</v>
      </c>
      <c r="F1938" s="489">
        <f>C1938*E1938</f>
        <v>126000</v>
      </c>
      <c r="G1938" s="507">
        <v>1000</v>
      </c>
      <c r="H1938" s="490">
        <f>C1938*G1938</f>
        <v>9000</v>
      </c>
      <c r="I1938" s="490">
        <f t="shared" si="155"/>
        <v>135000</v>
      </c>
      <c r="J1938" s="489"/>
    </row>
    <row r="1939" spans="1:10">
      <c r="A1939" s="548"/>
      <c r="B1939" s="938" t="s">
        <v>548</v>
      </c>
      <c r="C1939" s="506">
        <v>1</v>
      </c>
      <c r="D1939" s="499" t="s">
        <v>15</v>
      </c>
      <c r="E1939" s="489">
        <v>5800</v>
      </c>
      <c r="F1939" s="489">
        <f>C1939*E1939</f>
        <v>5800</v>
      </c>
      <c r="G1939" s="507">
        <v>100</v>
      </c>
      <c r="H1939" s="490">
        <f>C1939*G1939</f>
        <v>100</v>
      </c>
      <c r="I1939" s="490">
        <f t="shared" si="155"/>
        <v>5900</v>
      </c>
      <c r="J1939" s="489"/>
    </row>
    <row r="1940" spans="1:10">
      <c r="A1940" s="548"/>
      <c r="B1940" s="938" t="s">
        <v>552</v>
      </c>
      <c r="C1940" s="506">
        <v>1</v>
      </c>
      <c r="D1940" s="499" t="s">
        <v>15</v>
      </c>
      <c r="E1940" s="489">
        <v>855</v>
      </c>
      <c r="F1940" s="489">
        <f>C1940*E1940</f>
        <v>855</v>
      </c>
      <c r="G1940" s="507">
        <v>80</v>
      </c>
      <c r="H1940" s="490">
        <f>C1940*G1940</f>
        <v>80</v>
      </c>
      <c r="I1940" s="490">
        <f t="shared" si="155"/>
        <v>935</v>
      </c>
      <c r="J1940" s="489"/>
    </row>
    <row r="1941" spans="1:10">
      <c r="A1941" s="548"/>
      <c r="B1941" s="938" t="s">
        <v>553</v>
      </c>
      <c r="C1941" s="506"/>
      <c r="D1941" s="499"/>
      <c r="E1941" s="489"/>
      <c r="F1941" s="489"/>
      <c r="G1941" s="507"/>
      <c r="H1941" s="490"/>
      <c r="I1941" s="490"/>
      <c r="J1941" s="489"/>
    </row>
    <row r="1942" spans="1:10">
      <c r="A1942" s="548"/>
      <c r="B1942" s="549" t="s">
        <v>554</v>
      </c>
      <c r="C1942" s="506">
        <v>590</v>
      </c>
      <c r="D1942" s="499" t="s">
        <v>14</v>
      </c>
      <c r="E1942" s="489">
        <v>79</v>
      </c>
      <c r="F1942" s="489">
        <f t="shared" ref="F1942:F1950" si="156">C1942*E1942</f>
        <v>46610</v>
      </c>
      <c r="G1942" s="507">
        <v>60</v>
      </c>
      <c r="H1942" s="490">
        <f t="shared" ref="H1942:H1950" si="157">C1942*G1942</f>
        <v>35400</v>
      </c>
      <c r="I1942" s="490">
        <f t="shared" ref="I1942:I1950" si="158">F1942+H1942</f>
        <v>82010</v>
      </c>
      <c r="J1942" s="489"/>
    </row>
    <row r="1943" spans="1:10">
      <c r="A1943" s="548"/>
      <c r="B1943" s="549" t="s">
        <v>556</v>
      </c>
      <c r="C1943" s="506">
        <v>25</v>
      </c>
      <c r="D1943" s="499" t="s">
        <v>14</v>
      </c>
      <c r="E1943" s="489">
        <v>108</v>
      </c>
      <c r="F1943" s="489">
        <f t="shared" si="156"/>
        <v>2700</v>
      </c>
      <c r="G1943" s="507">
        <v>80</v>
      </c>
      <c r="H1943" s="490">
        <f t="shared" si="157"/>
        <v>2000</v>
      </c>
      <c r="I1943" s="490">
        <f t="shared" si="158"/>
        <v>4700</v>
      </c>
      <c r="J1943" s="489"/>
    </row>
    <row r="1944" spans="1:10">
      <c r="A1944" s="548"/>
      <c r="B1944" s="549" t="s">
        <v>557</v>
      </c>
      <c r="C1944" s="506">
        <v>114</v>
      </c>
      <c r="D1944" s="499" t="s">
        <v>14</v>
      </c>
      <c r="E1944" s="489">
        <v>125</v>
      </c>
      <c r="F1944" s="489">
        <f t="shared" si="156"/>
        <v>14250</v>
      </c>
      <c r="G1944" s="507">
        <v>90</v>
      </c>
      <c r="H1944" s="490">
        <f t="shared" si="157"/>
        <v>10260</v>
      </c>
      <c r="I1944" s="490">
        <f t="shared" si="158"/>
        <v>24510</v>
      </c>
      <c r="J1944" s="489"/>
    </row>
    <row r="1945" spans="1:10">
      <c r="A1945" s="548"/>
      <c r="B1945" s="549" t="s">
        <v>558</v>
      </c>
      <c r="C1945" s="506">
        <v>150</v>
      </c>
      <c r="D1945" s="499" t="s">
        <v>14</v>
      </c>
      <c r="E1945" s="489">
        <v>170</v>
      </c>
      <c r="F1945" s="489">
        <f t="shared" si="156"/>
        <v>25500</v>
      </c>
      <c r="G1945" s="507">
        <v>120</v>
      </c>
      <c r="H1945" s="490">
        <f t="shared" si="157"/>
        <v>18000</v>
      </c>
      <c r="I1945" s="490">
        <f t="shared" si="158"/>
        <v>43500</v>
      </c>
      <c r="J1945" s="489"/>
    </row>
    <row r="1946" spans="1:10">
      <c r="A1946" s="548"/>
      <c r="B1946" s="549" t="s">
        <v>559</v>
      </c>
      <c r="C1946" s="506">
        <v>137</v>
      </c>
      <c r="D1946" s="499" t="s">
        <v>14</v>
      </c>
      <c r="E1946" s="489">
        <v>270</v>
      </c>
      <c r="F1946" s="489">
        <f t="shared" si="156"/>
        <v>36990</v>
      </c>
      <c r="G1946" s="507">
        <v>200</v>
      </c>
      <c r="H1946" s="490">
        <f t="shared" si="157"/>
        <v>27400</v>
      </c>
      <c r="I1946" s="490">
        <f t="shared" si="158"/>
        <v>64390</v>
      </c>
      <c r="J1946" s="489"/>
    </row>
    <row r="1947" spans="1:10">
      <c r="A1947" s="548"/>
      <c r="B1947" s="549" t="s">
        <v>1503</v>
      </c>
      <c r="C1947" s="506">
        <v>36</v>
      </c>
      <c r="D1947" s="499" t="s">
        <v>14</v>
      </c>
      <c r="E1947" s="489">
        <v>109</v>
      </c>
      <c r="F1947" s="489">
        <f>E1947*C1947</f>
        <v>3924</v>
      </c>
      <c r="G1947" s="507">
        <v>75</v>
      </c>
      <c r="H1947" s="490">
        <f>G1947*C1947</f>
        <v>2700</v>
      </c>
      <c r="I1947" s="490">
        <f>H1947+F1947</f>
        <v>6624</v>
      </c>
      <c r="J1947" s="489"/>
    </row>
    <row r="1948" spans="1:10">
      <c r="A1948" s="548"/>
      <c r="B1948" s="549" t="s">
        <v>560</v>
      </c>
      <c r="C1948" s="506">
        <v>196</v>
      </c>
      <c r="D1948" s="499" t="s">
        <v>14</v>
      </c>
      <c r="E1948" s="489">
        <v>523</v>
      </c>
      <c r="F1948" s="489">
        <f t="shared" si="156"/>
        <v>102508</v>
      </c>
      <c r="G1948" s="507">
        <v>375</v>
      </c>
      <c r="H1948" s="490">
        <f t="shared" si="157"/>
        <v>73500</v>
      </c>
      <c r="I1948" s="490">
        <f t="shared" si="158"/>
        <v>176008</v>
      </c>
      <c r="J1948" s="489"/>
    </row>
    <row r="1949" spans="1:10">
      <c r="A1949" s="548"/>
      <c r="B1949" s="938" t="s">
        <v>561</v>
      </c>
      <c r="C1949" s="506">
        <v>38</v>
      </c>
      <c r="D1949" s="499" t="s">
        <v>14</v>
      </c>
      <c r="E1949" s="489">
        <v>909</v>
      </c>
      <c r="F1949" s="489">
        <f t="shared" si="156"/>
        <v>34542</v>
      </c>
      <c r="G1949" s="489">
        <v>650</v>
      </c>
      <c r="H1949" s="489">
        <f t="shared" si="157"/>
        <v>24700</v>
      </c>
      <c r="I1949" s="490">
        <f t="shared" si="158"/>
        <v>59242</v>
      </c>
      <c r="J1949" s="489"/>
    </row>
    <row r="1950" spans="1:10">
      <c r="A1950" s="548"/>
      <c r="B1950" s="938" t="s">
        <v>562</v>
      </c>
      <c r="C1950" s="506">
        <v>180</v>
      </c>
      <c r="D1950" s="499" t="s">
        <v>14</v>
      </c>
      <c r="E1950" s="489">
        <v>1404</v>
      </c>
      <c r="F1950" s="489">
        <f t="shared" si="156"/>
        <v>252720</v>
      </c>
      <c r="G1950" s="489">
        <v>800</v>
      </c>
      <c r="H1950" s="489">
        <f t="shared" si="157"/>
        <v>144000</v>
      </c>
      <c r="I1950" s="490">
        <f t="shared" si="158"/>
        <v>396720</v>
      </c>
      <c r="J1950" s="489"/>
    </row>
    <row r="1951" spans="1:10">
      <c r="A1951" s="551"/>
      <c r="B1951" s="938" t="s">
        <v>507</v>
      </c>
      <c r="C1951" s="506">
        <v>1</v>
      </c>
      <c r="D1951" s="499" t="s">
        <v>508</v>
      </c>
      <c r="E1951" s="940">
        <f>FLOOR(SUM(F1942:F1950)*0.5,1)</f>
        <v>259872</v>
      </c>
      <c r="F1951" s="940">
        <f>E1951*C1951</f>
        <v>259872</v>
      </c>
      <c r="G1951" s="940">
        <f>E1951*0.3</f>
        <v>77961.599999999991</v>
      </c>
      <c r="H1951" s="489">
        <f>G1951*C1951</f>
        <v>77961.599999999991</v>
      </c>
      <c r="I1951" s="490">
        <f t="shared" si="155"/>
        <v>337833.6</v>
      </c>
      <c r="J1951" s="489"/>
    </row>
    <row r="1952" spans="1:10">
      <c r="A1952" s="551"/>
      <c r="B1952" s="938" t="s">
        <v>509</v>
      </c>
      <c r="C1952" s="506">
        <v>1</v>
      </c>
      <c r="D1952" s="499" t="s">
        <v>508</v>
      </c>
      <c r="E1952" s="489">
        <f>FLOOR(SUM(F1942:F1950)*0.2,1)</f>
        <v>103948</v>
      </c>
      <c r="F1952" s="489">
        <f>E1952*C1952</f>
        <v>103948</v>
      </c>
      <c r="G1952" s="507">
        <f>E1952*0.3</f>
        <v>31184.399999999998</v>
      </c>
      <c r="H1952" s="489">
        <f>G1952*C1952</f>
        <v>31184.399999999998</v>
      </c>
      <c r="I1952" s="490">
        <f t="shared" si="155"/>
        <v>135132.4</v>
      </c>
      <c r="J1952" s="489"/>
    </row>
    <row r="1953" spans="1:10">
      <c r="A1953" s="551"/>
      <c r="B1953" s="938" t="s">
        <v>510</v>
      </c>
      <c r="C1953" s="506">
        <v>1</v>
      </c>
      <c r="D1953" s="943" t="s">
        <v>508</v>
      </c>
      <c r="E1953" s="489">
        <f>ROUNDDOWN(SUM(F1942:F1950)*10%,0)</f>
        <v>51974</v>
      </c>
      <c r="F1953" s="489">
        <f>C1953*E1953</f>
        <v>51974</v>
      </c>
      <c r="G1953" s="507">
        <f>ROUNDDOWN(E1953*0.3,0)</f>
        <v>15592</v>
      </c>
      <c r="H1953" s="940">
        <f>C1953*G1953</f>
        <v>15592</v>
      </c>
      <c r="I1953" s="490">
        <f t="shared" si="155"/>
        <v>67566</v>
      </c>
      <c r="J1953" s="489"/>
    </row>
    <row r="1954" spans="1:10">
      <c r="A1954" s="548"/>
      <c r="B1954" s="549" t="s">
        <v>563</v>
      </c>
      <c r="C1954" s="506"/>
      <c r="D1954" s="499"/>
      <c r="E1954" s="489"/>
      <c r="F1954" s="489"/>
      <c r="G1954" s="507"/>
      <c r="H1954" s="490"/>
      <c r="I1954" s="490"/>
      <c r="J1954" s="489"/>
    </row>
    <row r="1955" spans="1:10">
      <c r="A1955" s="548"/>
      <c r="B1955" s="549" t="s">
        <v>577</v>
      </c>
      <c r="C1955" s="506">
        <v>6</v>
      </c>
      <c r="D1955" s="499" t="s">
        <v>565</v>
      </c>
      <c r="E1955" s="489">
        <v>580</v>
      </c>
      <c r="F1955" s="489">
        <f>C1955*E1955</f>
        <v>3480</v>
      </c>
      <c r="G1955" s="507">
        <v>50</v>
      </c>
      <c r="H1955" s="490">
        <f>C1955*G1955</f>
        <v>300</v>
      </c>
      <c r="I1955" s="490">
        <f t="shared" si="155"/>
        <v>3780</v>
      </c>
      <c r="J1955" s="489"/>
    </row>
    <row r="1956" spans="1:10">
      <c r="A1956" s="548"/>
      <c r="B1956" s="549" t="s">
        <v>564</v>
      </c>
      <c r="C1956" s="506">
        <v>262</v>
      </c>
      <c r="D1956" s="499" t="s">
        <v>565</v>
      </c>
      <c r="E1956" s="489">
        <v>580</v>
      </c>
      <c r="F1956" s="489">
        <f>C1956*E1956</f>
        <v>151960</v>
      </c>
      <c r="G1956" s="507">
        <v>50</v>
      </c>
      <c r="H1956" s="490">
        <f>C1956*G1956</f>
        <v>13100</v>
      </c>
      <c r="I1956" s="490">
        <f t="shared" si="155"/>
        <v>165060</v>
      </c>
      <c r="J1956" s="489"/>
    </row>
    <row r="1957" spans="1:10">
      <c r="A1957" s="548"/>
      <c r="B1957" s="549" t="s">
        <v>591</v>
      </c>
      <c r="C1957" s="506"/>
      <c r="D1957" s="499"/>
      <c r="E1957" s="489"/>
      <c r="F1957" s="489"/>
      <c r="G1957" s="507"/>
      <c r="H1957" s="490"/>
      <c r="I1957" s="490"/>
      <c r="J1957" s="489"/>
    </row>
    <row r="1958" spans="1:10">
      <c r="A1958" s="548"/>
      <c r="B1958" s="549" t="s">
        <v>592</v>
      </c>
      <c r="C1958" s="506">
        <v>8</v>
      </c>
      <c r="D1958" s="499" t="s">
        <v>574</v>
      </c>
      <c r="E1958" s="489">
        <v>7000</v>
      </c>
      <c r="F1958" s="489">
        <f>C1958*E1958</f>
        <v>56000</v>
      </c>
      <c r="G1958" s="507">
        <v>800</v>
      </c>
      <c r="H1958" s="490">
        <f>C1958*G1958</f>
        <v>6400</v>
      </c>
      <c r="I1958" s="490">
        <f t="shared" si="155"/>
        <v>62400</v>
      </c>
      <c r="J1958" s="489"/>
    </row>
    <row r="1959" spans="1:10">
      <c r="A1959" s="548"/>
      <c r="B1959" s="549" t="s">
        <v>593</v>
      </c>
      <c r="C1959" s="506"/>
      <c r="D1959" s="499"/>
      <c r="E1959" s="489"/>
      <c r="F1959" s="489"/>
      <c r="G1959" s="507"/>
      <c r="H1959" s="490"/>
      <c r="I1959" s="490"/>
      <c r="J1959" s="489"/>
    </row>
    <row r="1960" spans="1:10">
      <c r="A1960" s="548"/>
      <c r="B1960" s="549" t="s">
        <v>578</v>
      </c>
      <c r="C1960" s="506">
        <v>2</v>
      </c>
      <c r="D1960" s="499" t="s">
        <v>574</v>
      </c>
      <c r="E1960" s="489">
        <v>12200</v>
      </c>
      <c r="F1960" s="489">
        <f>C1960*E1960</f>
        <v>24400</v>
      </c>
      <c r="G1960" s="507">
        <v>400</v>
      </c>
      <c r="H1960" s="490">
        <f>C1960*G1960</f>
        <v>800</v>
      </c>
      <c r="I1960" s="490">
        <f t="shared" si="155"/>
        <v>25200</v>
      </c>
      <c r="J1960" s="489"/>
    </row>
    <row r="1961" spans="1:10">
      <c r="A1961" s="548"/>
      <c r="B1961" s="549" t="s">
        <v>592</v>
      </c>
      <c r="C1961" s="506">
        <v>1</v>
      </c>
      <c r="D1961" s="499" t="s">
        <v>574</v>
      </c>
      <c r="E1961" s="489">
        <v>45000</v>
      </c>
      <c r="F1961" s="489">
        <f>C1961*E1961</f>
        <v>45000</v>
      </c>
      <c r="G1961" s="507">
        <v>800</v>
      </c>
      <c r="H1961" s="490">
        <f>C1961*G1961</f>
        <v>800</v>
      </c>
      <c r="I1961" s="490">
        <f t="shared" si="155"/>
        <v>45800</v>
      </c>
      <c r="J1961" s="489"/>
    </row>
    <row r="1962" spans="1:10">
      <c r="A1962" s="548"/>
      <c r="B1962" s="549" t="s">
        <v>594</v>
      </c>
      <c r="C1962" s="506"/>
      <c r="D1962" s="499"/>
      <c r="E1962" s="489"/>
      <c r="F1962" s="489"/>
      <c r="G1962" s="507"/>
      <c r="H1962" s="490"/>
      <c r="I1962" s="490"/>
      <c r="J1962" s="489"/>
    </row>
    <row r="1963" spans="1:10">
      <c r="A1963" s="548"/>
      <c r="B1963" s="549" t="s">
        <v>592</v>
      </c>
      <c r="C1963" s="506">
        <v>1</v>
      </c>
      <c r="D1963" s="499" t="s">
        <v>574</v>
      </c>
      <c r="E1963" s="489">
        <v>80000</v>
      </c>
      <c r="F1963" s="489">
        <f>C1963*E1963</f>
        <v>80000</v>
      </c>
      <c r="G1963" s="507">
        <v>5000</v>
      </c>
      <c r="H1963" s="490">
        <f>C1963*G1963</f>
        <v>5000</v>
      </c>
      <c r="I1963" s="490">
        <f t="shared" si="155"/>
        <v>85000</v>
      </c>
      <c r="J1963" s="489"/>
    </row>
    <row r="1964" spans="1:10">
      <c r="A1964" s="548"/>
      <c r="B1964" s="549" t="s">
        <v>595</v>
      </c>
      <c r="C1964" s="506"/>
      <c r="D1964" s="499"/>
      <c r="E1964" s="489"/>
      <c r="F1964" s="489"/>
      <c r="G1964" s="507"/>
      <c r="H1964" s="490"/>
      <c r="I1964" s="490"/>
      <c r="J1964" s="489"/>
    </row>
    <row r="1965" spans="1:10">
      <c r="A1965" s="548"/>
      <c r="B1965" s="549" t="s">
        <v>557</v>
      </c>
      <c r="C1965" s="506">
        <v>1</v>
      </c>
      <c r="D1965" s="499" t="s">
        <v>574</v>
      </c>
      <c r="E1965" s="550">
        <v>33000</v>
      </c>
      <c r="F1965" s="489">
        <f>C1965*E1965</f>
        <v>33000</v>
      </c>
      <c r="G1965" s="507">
        <v>15000</v>
      </c>
      <c r="H1965" s="490">
        <f>C1965*G1965</f>
        <v>15000</v>
      </c>
      <c r="I1965" s="490">
        <f t="shared" si="155"/>
        <v>48000</v>
      </c>
      <c r="J1965" s="489"/>
    </row>
    <row r="1966" spans="1:10">
      <c r="A1966" s="548"/>
      <c r="B1966" s="549" t="s">
        <v>570</v>
      </c>
      <c r="C1966" s="506">
        <v>1</v>
      </c>
      <c r="D1966" s="499" t="s">
        <v>574</v>
      </c>
      <c r="E1966" s="550">
        <v>111000</v>
      </c>
      <c r="F1966" s="489">
        <f>C1966*E1966</f>
        <v>111000</v>
      </c>
      <c r="G1966" s="507">
        <v>5000</v>
      </c>
      <c r="H1966" s="490">
        <f>C1966*G1966</f>
        <v>5000</v>
      </c>
      <c r="I1966" s="490">
        <f t="shared" si="155"/>
        <v>116000</v>
      </c>
      <c r="J1966" s="489"/>
    </row>
    <row r="1967" spans="1:10">
      <c r="A1967" s="548"/>
      <c r="B1967" s="549" t="s">
        <v>596</v>
      </c>
      <c r="C1967" s="506"/>
      <c r="D1967" s="499"/>
      <c r="E1967" s="489"/>
      <c r="F1967" s="489"/>
      <c r="G1967" s="507"/>
      <c r="H1967" s="490"/>
      <c r="I1967" s="490"/>
      <c r="J1967" s="489"/>
    </row>
    <row r="1968" spans="1:10">
      <c r="A1968" s="548"/>
      <c r="B1968" s="549" t="s">
        <v>578</v>
      </c>
      <c r="C1968" s="506">
        <v>2</v>
      </c>
      <c r="D1968" s="499" t="s">
        <v>574</v>
      </c>
      <c r="E1968" s="489">
        <v>20000</v>
      </c>
      <c r="F1968" s="489">
        <f>C1968*E1968</f>
        <v>40000</v>
      </c>
      <c r="G1968" s="507">
        <v>600</v>
      </c>
      <c r="H1968" s="490">
        <f>C1968*G1968</f>
        <v>1200</v>
      </c>
      <c r="I1968" s="490">
        <f>F1968+H1968</f>
        <v>41200</v>
      </c>
      <c r="J1968" s="489"/>
    </row>
    <row r="1969" spans="1:10">
      <c r="A1969" s="548"/>
      <c r="B1969" s="549" t="s">
        <v>592</v>
      </c>
      <c r="C1969" s="506">
        <v>1</v>
      </c>
      <c r="D1969" s="499" t="s">
        <v>574</v>
      </c>
      <c r="E1969" s="489">
        <v>45000</v>
      </c>
      <c r="F1969" s="489">
        <f>C1969*E1969</f>
        <v>45000</v>
      </c>
      <c r="G1969" s="507">
        <v>800</v>
      </c>
      <c r="H1969" s="490">
        <f>C1969*G1969</f>
        <v>800</v>
      </c>
      <c r="I1969" s="490">
        <f t="shared" si="155"/>
        <v>45800</v>
      </c>
      <c r="J1969" s="489"/>
    </row>
    <row r="1970" spans="1:10">
      <c r="A1970" s="548"/>
      <c r="B1970" s="549" t="s">
        <v>597</v>
      </c>
      <c r="C1970" s="506">
        <v>1</v>
      </c>
      <c r="D1970" s="499" t="s">
        <v>574</v>
      </c>
      <c r="E1970" s="489">
        <v>5200</v>
      </c>
      <c r="F1970" s="489">
        <f>C1970*E1970</f>
        <v>5200</v>
      </c>
      <c r="G1970" s="507">
        <v>150</v>
      </c>
      <c r="H1970" s="490">
        <f>C1970*G1970</f>
        <v>150</v>
      </c>
      <c r="I1970" s="490">
        <f t="shared" si="155"/>
        <v>5350</v>
      </c>
      <c r="J1970" s="489"/>
    </row>
    <row r="1971" spans="1:10">
      <c r="A1971" s="548"/>
      <c r="B1971" s="549" t="s">
        <v>598</v>
      </c>
      <c r="C1971" s="506"/>
      <c r="D1971" s="499"/>
      <c r="E1971" s="489"/>
      <c r="F1971" s="489"/>
      <c r="G1971" s="507"/>
      <c r="H1971" s="490"/>
      <c r="I1971" s="490"/>
      <c r="J1971" s="489"/>
    </row>
    <row r="1972" spans="1:10">
      <c r="A1972" s="548"/>
      <c r="B1972" s="549" t="s">
        <v>558</v>
      </c>
      <c r="C1972" s="506">
        <v>2</v>
      </c>
      <c r="D1972" s="499" t="s">
        <v>574</v>
      </c>
      <c r="E1972" s="489">
        <v>11400</v>
      </c>
      <c r="F1972" s="489">
        <f>C1972*E1972</f>
        <v>22800</v>
      </c>
      <c r="G1972" s="507">
        <v>300</v>
      </c>
      <c r="H1972" s="490">
        <f>C1972*G1972</f>
        <v>600</v>
      </c>
      <c r="I1972" s="490">
        <f t="shared" si="155"/>
        <v>23400</v>
      </c>
      <c r="J1972" s="489"/>
    </row>
    <row r="1973" spans="1:10">
      <c r="A1973" s="548"/>
      <c r="B1973" s="549" t="s">
        <v>599</v>
      </c>
      <c r="C1973" s="506"/>
      <c r="D1973" s="499"/>
      <c r="E1973" s="489"/>
      <c r="F1973" s="489"/>
      <c r="G1973" s="507"/>
      <c r="H1973" s="490"/>
      <c r="I1973" s="490"/>
      <c r="J1973" s="489"/>
    </row>
    <row r="1974" spans="1:10">
      <c r="A1974" s="548"/>
      <c r="B1974" s="549" t="s">
        <v>578</v>
      </c>
      <c r="C1974" s="506">
        <v>2</v>
      </c>
      <c r="D1974" s="499" t="s">
        <v>574</v>
      </c>
      <c r="E1974" s="489">
        <v>20000</v>
      </c>
      <c r="F1974" s="489">
        <f>C1974*E1974</f>
        <v>40000</v>
      </c>
      <c r="G1974" s="507">
        <v>400</v>
      </c>
      <c r="H1974" s="490">
        <f>C1974*G1974</f>
        <v>800</v>
      </c>
      <c r="I1974" s="490">
        <f t="shared" si="155"/>
        <v>40800</v>
      </c>
      <c r="J1974" s="489"/>
    </row>
    <row r="1975" spans="1:10">
      <c r="A1975" s="548"/>
      <c r="B1975" s="549" t="s">
        <v>570</v>
      </c>
      <c r="C1975" s="506">
        <v>1</v>
      </c>
      <c r="D1975" s="499" t="s">
        <v>574</v>
      </c>
      <c r="E1975" s="489">
        <v>35000</v>
      </c>
      <c r="F1975" s="489">
        <f>C1975*E1975</f>
        <v>35000</v>
      </c>
      <c r="G1975" s="507">
        <v>600</v>
      </c>
      <c r="H1975" s="490">
        <f>C1975*G1975</f>
        <v>600</v>
      </c>
      <c r="I1975" s="490">
        <f t="shared" si="155"/>
        <v>35600</v>
      </c>
      <c r="J1975" s="489"/>
    </row>
    <row r="1976" spans="1:10">
      <c r="A1976" s="548"/>
      <c r="B1976" s="549" t="s">
        <v>600</v>
      </c>
      <c r="C1976" s="506"/>
      <c r="D1976" s="499"/>
      <c r="E1976" s="489"/>
      <c r="F1976" s="489"/>
      <c r="G1976" s="507"/>
      <c r="H1976" s="490"/>
      <c r="I1976" s="490"/>
      <c r="J1976" s="489"/>
    </row>
    <row r="1977" spans="1:10">
      <c r="A1977" s="502"/>
      <c r="B1977" s="503" t="s">
        <v>554</v>
      </c>
      <c r="C1977" s="506">
        <v>9</v>
      </c>
      <c r="D1977" s="499" t="s">
        <v>565</v>
      </c>
      <c r="E1977" s="489">
        <v>500</v>
      </c>
      <c r="F1977" s="489">
        <f>C1977*E1977</f>
        <v>4500</v>
      </c>
      <c r="G1977" s="507">
        <v>200</v>
      </c>
      <c r="H1977" s="490">
        <f>C1977*G1977</f>
        <v>1800</v>
      </c>
      <c r="I1977" s="490">
        <f t="shared" si="155"/>
        <v>6300</v>
      </c>
      <c r="J1977" s="489"/>
    </row>
    <row r="1978" spans="1:10">
      <c r="A1978" s="502"/>
      <c r="B1978" s="503" t="s">
        <v>601</v>
      </c>
      <c r="C1978" s="506"/>
      <c r="D1978" s="499"/>
      <c r="E1978" s="489"/>
      <c r="F1978" s="489"/>
      <c r="G1978" s="507"/>
      <c r="H1978" s="490"/>
      <c r="I1978" s="490"/>
      <c r="J1978" s="489"/>
    </row>
    <row r="1979" spans="1:10">
      <c r="A1979" s="502"/>
      <c r="B1979" s="503" t="s">
        <v>558</v>
      </c>
      <c r="C1979" s="506">
        <v>1</v>
      </c>
      <c r="D1979" s="499" t="s">
        <v>574</v>
      </c>
      <c r="E1979" s="489">
        <v>3360</v>
      </c>
      <c r="F1979" s="489">
        <f>C1979*E1979</f>
        <v>3360</v>
      </c>
      <c r="G1979" s="507">
        <v>500</v>
      </c>
      <c r="H1979" s="490">
        <f>C1979*G1979</f>
        <v>500</v>
      </c>
      <c r="I1979" s="490">
        <f t="shared" si="155"/>
        <v>3860</v>
      </c>
      <c r="J1979" s="489"/>
    </row>
    <row r="1980" spans="1:10">
      <c r="A1980" s="502"/>
      <c r="B1980" s="503" t="s">
        <v>584</v>
      </c>
      <c r="C1980" s="506">
        <v>4</v>
      </c>
      <c r="D1980" s="499" t="s">
        <v>574</v>
      </c>
      <c r="E1980" s="489">
        <v>1560</v>
      </c>
      <c r="F1980" s="489">
        <f>C1980*E1980</f>
        <v>6240</v>
      </c>
      <c r="G1980" s="507">
        <v>150</v>
      </c>
      <c r="H1980" s="490">
        <f>C1980*G1980</f>
        <v>600</v>
      </c>
      <c r="I1980" s="490">
        <f t="shared" si="155"/>
        <v>6840</v>
      </c>
      <c r="J1980" s="489"/>
    </row>
    <row r="1981" spans="1:10">
      <c r="A1981" s="502"/>
      <c r="B1981" s="503" t="s">
        <v>585</v>
      </c>
      <c r="C1981" s="506"/>
      <c r="D1981" s="499"/>
      <c r="E1981" s="489"/>
      <c r="F1981" s="489"/>
      <c r="G1981" s="507"/>
      <c r="H1981" s="490"/>
      <c r="I1981" s="490"/>
      <c r="J1981" s="489"/>
    </row>
    <row r="1982" spans="1:10">
      <c r="A1982" s="502"/>
      <c r="B1982" s="503" t="s">
        <v>558</v>
      </c>
      <c r="C1982" s="506">
        <v>1</v>
      </c>
      <c r="D1982" s="499" t="s">
        <v>574</v>
      </c>
      <c r="E1982" s="489">
        <v>4490</v>
      </c>
      <c r="F1982" s="489">
        <f>C1982*E1982</f>
        <v>4490</v>
      </c>
      <c r="G1982" s="507">
        <v>300</v>
      </c>
      <c r="H1982" s="490">
        <f>C1982*G1982</f>
        <v>300</v>
      </c>
      <c r="I1982" s="490">
        <f t="shared" si="155"/>
        <v>4790</v>
      </c>
      <c r="J1982" s="489"/>
    </row>
    <row r="1983" spans="1:10">
      <c r="A1983" s="502"/>
      <c r="B1983" s="503" t="s">
        <v>592</v>
      </c>
      <c r="C1983" s="506">
        <v>1</v>
      </c>
      <c r="D1983" s="499" t="s">
        <v>574</v>
      </c>
      <c r="E1983" s="489">
        <v>33700</v>
      </c>
      <c r="F1983" s="489">
        <f>C1983*E1983</f>
        <v>33700</v>
      </c>
      <c r="G1983" s="507">
        <v>800</v>
      </c>
      <c r="H1983" s="490">
        <f>C1983*G1983</f>
        <v>800</v>
      </c>
      <c r="I1983" s="490">
        <f t="shared" si="155"/>
        <v>34500</v>
      </c>
      <c r="J1983" s="489"/>
    </row>
    <row r="1984" spans="1:10">
      <c r="A1984" s="502"/>
      <c r="B1984" s="503" t="s">
        <v>602</v>
      </c>
      <c r="C1984" s="506"/>
      <c r="D1984" s="499"/>
      <c r="E1984" s="489"/>
      <c r="F1984" s="489"/>
      <c r="G1984" s="507"/>
      <c r="H1984" s="490"/>
      <c r="I1984" s="490"/>
      <c r="J1984" s="489"/>
    </row>
    <row r="1985" spans="1:10">
      <c r="A1985" s="502"/>
      <c r="B1985" s="503" t="s">
        <v>554</v>
      </c>
      <c r="C1985" s="506">
        <v>9</v>
      </c>
      <c r="D1985" s="499" t="s">
        <v>565</v>
      </c>
      <c r="E1985" s="489">
        <v>3250</v>
      </c>
      <c r="F1985" s="489">
        <f>C1985*E1985</f>
        <v>29250</v>
      </c>
      <c r="G1985" s="507">
        <v>200</v>
      </c>
      <c r="H1985" s="490">
        <f>C1985*G1985</f>
        <v>1800</v>
      </c>
      <c r="I1985" s="490">
        <f t="shared" si="155"/>
        <v>31050</v>
      </c>
      <c r="J1985" s="489"/>
    </row>
    <row r="1986" spans="1:10">
      <c r="A1986" s="502"/>
      <c r="B1986" s="503" t="s">
        <v>519</v>
      </c>
      <c r="C1986" s="506">
        <v>1</v>
      </c>
      <c r="D1986" s="499" t="s">
        <v>567</v>
      </c>
      <c r="E1986" s="550" t="s">
        <v>332</v>
      </c>
      <c r="F1986" s="550" t="s">
        <v>332</v>
      </c>
      <c r="G1986" s="507">
        <v>70000</v>
      </c>
      <c r="H1986" s="490">
        <f>C1986*G1986</f>
        <v>70000</v>
      </c>
      <c r="I1986" s="490">
        <f>H1986</f>
        <v>70000</v>
      </c>
      <c r="J1986" s="489"/>
    </row>
    <row r="1987" spans="1:10">
      <c r="A1987" s="947"/>
      <c r="B1987" s="537"/>
      <c r="C1987" s="506"/>
      <c r="D1987" s="499"/>
      <c r="E1987" s="489"/>
      <c r="F1987" s="489"/>
      <c r="G1987" s="489"/>
      <c r="H1987" s="489"/>
      <c r="I1987" s="489"/>
      <c r="J1987" s="489"/>
    </row>
    <row r="1988" spans="1:10">
      <c r="A1988" s="496" t="s">
        <v>547</v>
      </c>
      <c r="B1988" s="937" t="s">
        <v>568</v>
      </c>
      <c r="C1988" s="506"/>
      <c r="D1988" s="499"/>
      <c r="E1988" s="489"/>
      <c r="F1988" s="489"/>
      <c r="G1988" s="507"/>
      <c r="H1988" s="490"/>
      <c r="I1988" s="490"/>
      <c r="J1988" s="489"/>
    </row>
    <row r="1989" spans="1:10">
      <c r="A1989" s="537" t="s">
        <v>1231</v>
      </c>
      <c r="B1989" s="538" t="s">
        <v>496</v>
      </c>
      <c r="C1989" s="506"/>
      <c r="D1989" s="499"/>
      <c r="E1989" s="489"/>
      <c r="F1989" s="489"/>
      <c r="G1989" s="507"/>
      <c r="H1989" s="490"/>
      <c r="I1989" s="490"/>
      <c r="J1989" s="489"/>
    </row>
    <row r="1990" spans="1:10">
      <c r="A1990" s="539"/>
      <c r="B1990" s="540" t="s">
        <v>498</v>
      </c>
      <c r="C1990" s="939"/>
      <c r="D1990" s="499"/>
      <c r="E1990" s="940"/>
      <c r="F1990" s="940"/>
      <c r="G1990" s="940"/>
      <c r="H1990" s="940"/>
      <c r="I1990" s="940"/>
      <c r="J1990" s="489"/>
    </row>
    <row r="1991" spans="1:10">
      <c r="A1991" s="539"/>
      <c r="B1991" s="540" t="s">
        <v>499</v>
      </c>
      <c r="C1991" s="939">
        <v>160</v>
      </c>
      <c r="D1991" s="499" t="s">
        <v>14</v>
      </c>
      <c r="E1991" s="940">
        <v>35</v>
      </c>
      <c r="F1991" s="940">
        <f>C1991*E1991</f>
        <v>5600</v>
      </c>
      <c r="G1991" s="940">
        <v>30</v>
      </c>
      <c r="H1991" s="940">
        <f t="shared" ref="H1991:H2001" si="159">C1991*G1991</f>
        <v>4800</v>
      </c>
      <c r="I1991" s="940">
        <f>F1991+H1991</f>
        <v>10400</v>
      </c>
      <c r="J1991" s="489"/>
    </row>
    <row r="1992" spans="1:10">
      <c r="A1992" s="539"/>
      <c r="B1992" s="540" t="s">
        <v>500</v>
      </c>
      <c r="C1992" s="941">
        <v>150</v>
      </c>
      <c r="D1992" s="499" t="s">
        <v>14</v>
      </c>
      <c r="E1992" s="940">
        <v>46</v>
      </c>
      <c r="F1992" s="940">
        <f>C1992*E1992</f>
        <v>6900</v>
      </c>
      <c r="G1992" s="940">
        <v>30</v>
      </c>
      <c r="H1992" s="940">
        <f t="shared" si="159"/>
        <v>4500</v>
      </c>
      <c r="I1992" s="940">
        <f>F1992+H1992</f>
        <v>11400</v>
      </c>
      <c r="J1992" s="489"/>
    </row>
    <row r="1993" spans="1:10">
      <c r="A1993" s="539"/>
      <c r="B1993" s="938" t="s">
        <v>501</v>
      </c>
      <c r="C1993" s="939">
        <v>200</v>
      </c>
      <c r="D1993" s="942" t="s">
        <v>14</v>
      </c>
      <c r="E1993" s="940">
        <v>76</v>
      </c>
      <c r="F1993" s="940">
        <f t="shared" ref="F1993:F1999" si="160">C1993*E1993</f>
        <v>15200</v>
      </c>
      <c r="G1993" s="940">
        <v>30</v>
      </c>
      <c r="H1993" s="940">
        <f t="shared" si="159"/>
        <v>6000</v>
      </c>
      <c r="I1993" s="940">
        <f t="shared" ref="I1993:I2001" si="161">F1993+H1993</f>
        <v>21200</v>
      </c>
      <c r="J1993" s="489"/>
    </row>
    <row r="1994" spans="1:10">
      <c r="A1994" s="539"/>
      <c r="B1994" s="938" t="s">
        <v>502</v>
      </c>
      <c r="C1994" s="939">
        <v>300</v>
      </c>
      <c r="D1994" s="942" t="s">
        <v>14</v>
      </c>
      <c r="E1994" s="940">
        <v>180</v>
      </c>
      <c r="F1994" s="940">
        <f t="shared" si="160"/>
        <v>54000</v>
      </c>
      <c r="G1994" s="940">
        <v>50</v>
      </c>
      <c r="H1994" s="940">
        <f t="shared" si="159"/>
        <v>15000</v>
      </c>
      <c r="I1994" s="940">
        <f t="shared" si="161"/>
        <v>69000</v>
      </c>
      <c r="J1994" s="489"/>
    </row>
    <row r="1995" spans="1:10">
      <c r="A1995" s="539"/>
      <c r="B1995" s="938" t="s">
        <v>503</v>
      </c>
      <c r="C1995" s="939">
        <v>80</v>
      </c>
      <c r="D1995" s="943" t="s">
        <v>14</v>
      </c>
      <c r="E1995" s="940">
        <v>287</v>
      </c>
      <c r="F1995" s="940">
        <f t="shared" si="160"/>
        <v>22960</v>
      </c>
      <c r="G1995" s="940">
        <v>75</v>
      </c>
      <c r="H1995" s="940">
        <f t="shared" si="159"/>
        <v>6000</v>
      </c>
      <c r="I1995" s="940">
        <f t="shared" si="161"/>
        <v>28960</v>
      </c>
      <c r="J1995" s="489"/>
    </row>
    <row r="1996" spans="1:10">
      <c r="A1996" s="539"/>
      <c r="B1996" s="944" t="s">
        <v>504</v>
      </c>
      <c r="C1996" s="939">
        <v>80</v>
      </c>
      <c r="D1996" s="541" t="s">
        <v>14</v>
      </c>
      <c r="E1996" s="946">
        <v>402</v>
      </c>
      <c r="F1996" s="946">
        <f t="shared" si="160"/>
        <v>32160</v>
      </c>
      <c r="G1996" s="542">
        <v>100</v>
      </c>
      <c r="H1996" s="543">
        <f t="shared" si="159"/>
        <v>8000</v>
      </c>
      <c r="I1996" s="543">
        <f t="shared" si="161"/>
        <v>40160</v>
      </c>
      <c r="J1996" s="489"/>
    </row>
    <row r="1997" spans="1:10">
      <c r="A1997" s="539"/>
      <c r="B1997" s="540" t="s">
        <v>505</v>
      </c>
      <c r="C1997" s="939">
        <v>50</v>
      </c>
      <c r="D1997" s="544" t="s">
        <v>14</v>
      </c>
      <c r="E1997" s="940">
        <v>562</v>
      </c>
      <c r="F1997" s="940">
        <f t="shared" si="160"/>
        <v>28100</v>
      </c>
      <c r="G1997" s="940">
        <v>120</v>
      </c>
      <c r="H1997" s="490">
        <f t="shared" si="159"/>
        <v>6000</v>
      </c>
      <c r="I1997" s="490">
        <f t="shared" si="161"/>
        <v>34100</v>
      </c>
      <c r="J1997" s="489"/>
    </row>
    <row r="1998" spans="1:10">
      <c r="A1998" s="539"/>
      <c r="B1998" s="540" t="s">
        <v>506</v>
      </c>
      <c r="C1998" s="939">
        <v>50</v>
      </c>
      <c r="D1998" s="544" t="s">
        <v>14</v>
      </c>
      <c r="E1998" s="940">
        <v>834</v>
      </c>
      <c r="F1998" s="940">
        <f t="shared" si="160"/>
        <v>41700</v>
      </c>
      <c r="G1998" s="940">
        <v>150</v>
      </c>
      <c r="H1998" s="490">
        <f t="shared" si="159"/>
        <v>7500</v>
      </c>
      <c r="I1998" s="490">
        <f t="shared" si="161"/>
        <v>49200</v>
      </c>
      <c r="J1998" s="489"/>
    </row>
    <row r="1999" spans="1:10">
      <c r="A1999" s="539"/>
      <c r="B1999" s="540" t="s">
        <v>507</v>
      </c>
      <c r="C1999" s="506">
        <v>1</v>
      </c>
      <c r="D1999" s="544" t="s">
        <v>508</v>
      </c>
      <c r="E1999" s="940">
        <f>ROUNDDOWN(SUM(F1991:F1998)*35%,0)</f>
        <v>72317</v>
      </c>
      <c r="F1999" s="940">
        <f t="shared" si="160"/>
        <v>72317</v>
      </c>
      <c r="G1999" s="940">
        <f>ROUNDDOWN(E1999*0.2,0)</f>
        <v>14463</v>
      </c>
      <c r="H1999" s="490">
        <f t="shared" si="159"/>
        <v>14463</v>
      </c>
      <c r="I1999" s="490">
        <f t="shared" si="161"/>
        <v>86780</v>
      </c>
      <c r="J1999" s="489"/>
    </row>
    <row r="2000" spans="1:10">
      <c r="A2000" s="539"/>
      <c r="B2000" s="938" t="s">
        <v>509</v>
      </c>
      <c r="C2000" s="506">
        <v>1</v>
      </c>
      <c r="D2000" s="942" t="s">
        <v>508</v>
      </c>
      <c r="E2000" s="946">
        <f>ROUNDDOWN(SUM(F1991:F1998)*20%,0)</f>
        <v>41324</v>
      </c>
      <c r="F2000" s="946">
        <f>C2000*E2000</f>
        <v>41324</v>
      </c>
      <c r="G2000" s="946">
        <f>ROUNDDOWN(E2000*0.2,0)</f>
        <v>8264</v>
      </c>
      <c r="H2000" s="490">
        <f t="shared" si="159"/>
        <v>8264</v>
      </c>
      <c r="I2000" s="490">
        <f t="shared" si="161"/>
        <v>49588</v>
      </c>
      <c r="J2000" s="489"/>
    </row>
    <row r="2001" spans="1:10">
      <c r="A2001" s="539"/>
      <c r="B2001" s="540" t="s">
        <v>510</v>
      </c>
      <c r="C2001" s="506">
        <v>1</v>
      </c>
      <c r="D2001" s="544" t="s">
        <v>508</v>
      </c>
      <c r="E2001" s="489">
        <f>ROUNDDOWN(SUM(F1991:F1998)*10%,0)</f>
        <v>20662</v>
      </c>
      <c r="F2001" s="489">
        <f>C2001*E2001</f>
        <v>20662</v>
      </c>
      <c r="G2001" s="489">
        <f>ROUNDDOWN(E2001*0.3,0)</f>
        <v>6198</v>
      </c>
      <c r="H2001" s="489">
        <f t="shared" si="159"/>
        <v>6198</v>
      </c>
      <c r="I2001" s="489">
        <f t="shared" si="161"/>
        <v>26860</v>
      </c>
      <c r="J2001" s="489"/>
    </row>
    <row r="2002" spans="1:10">
      <c r="A2002" s="539"/>
      <c r="B2002" s="938" t="s">
        <v>512</v>
      </c>
      <c r="C2002" s="506"/>
      <c r="D2002" s="499"/>
      <c r="E2002" s="866"/>
      <c r="F2002" s="866"/>
      <c r="G2002" s="489"/>
      <c r="H2002" s="489"/>
      <c r="I2002" s="489"/>
      <c r="J2002" s="489"/>
    </row>
    <row r="2003" spans="1:10">
      <c r="A2003" s="559"/>
      <c r="B2003" s="560" t="s">
        <v>513</v>
      </c>
      <c r="C2003" s="506">
        <v>2</v>
      </c>
      <c r="D2003" s="499" t="s">
        <v>15</v>
      </c>
      <c r="E2003" s="489">
        <v>2674</v>
      </c>
      <c r="F2003" s="489">
        <f>C2003*E2003</f>
        <v>5348</v>
      </c>
      <c r="G2003" s="507">
        <v>500</v>
      </c>
      <c r="H2003" s="490">
        <f>C2003*G2003</f>
        <v>1000</v>
      </c>
      <c r="I2003" s="490">
        <f>F2003+H2003</f>
        <v>6348</v>
      </c>
      <c r="J2003" s="489"/>
    </row>
    <row r="2004" spans="1:10">
      <c r="A2004" s="559"/>
      <c r="B2004" s="560" t="s">
        <v>514</v>
      </c>
      <c r="C2004" s="506">
        <v>2</v>
      </c>
      <c r="D2004" s="499" t="s">
        <v>15</v>
      </c>
      <c r="E2004" s="489">
        <v>3677</v>
      </c>
      <c r="F2004" s="489">
        <f>C2004*E2004</f>
        <v>7354</v>
      </c>
      <c r="G2004" s="507">
        <v>600</v>
      </c>
      <c r="H2004" s="490">
        <f>C2004*G2004</f>
        <v>1200</v>
      </c>
      <c r="I2004" s="490">
        <f>F2004+H2004</f>
        <v>8554</v>
      </c>
      <c r="J2004" s="489"/>
    </row>
    <row r="2005" spans="1:10">
      <c r="A2005" s="539"/>
      <c r="B2005" s="938" t="s">
        <v>515</v>
      </c>
      <c r="C2005" s="506">
        <v>2</v>
      </c>
      <c r="D2005" s="499" t="s">
        <v>15</v>
      </c>
      <c r="E2005" s="489">
        <v>7070</v>
      </c>
      <c r="F2005" s="489">
        <f>C2005*E2005</f>
        <v>14140</v>
      </c>
      <c r="G2005" s="507">
        <v>800</v>
      </c>
      <c r="H2005" s="490">
        <f>C2005*G2005</f>
        <v>1600</v>
      </c>
      <c r="I2005" s="490">
        <f>F2005+H2005</f>
        <v>15740</v>
      </c>
      <c r="J2005" s="489"/>
    </row>
    <row r="2006" spans="1:10">
      <c r="A2006" s="539"/>
      <c r="B2006" s="938" t="s">
        <v>517</v>
      </c>
      <c r="C2006" s="506"/>
      <c r="D2006" s="499"/>
      <c r="E2006" s="489"/>
      <c r="F2006" s="489"/>
      <c r="G2006" s="489"/>
      <c r="H2006" s="489"/>
      <c r="I2006" s="489"/>
      <c r="J2006" s="489"/>
    </row>
    <row r="2007" spans="1:10">
      <c r="A2007" s="539"/>
      <c r="B2007" s="938" t="s">
        <v>499</v>
      </c>
      <c r="C2007" s="506">
        <v>50</v>
      </c>
      <c r="D2007" s="499" t="s">
        <v>15</v>
      </c>
      <c r="E2007" s="489">
        <v>169</v>
      </c>
      <c r="F2007" s="489">
        <f>E2007*C2007</f>
        <v>8450</v>
      </c>
      <c r="G2007" s="489">
        <v>50</v>
      </c>
      <c r="H2007" s="489">
        <f>G2007*C2007</f>
        <v>2500</v>
      </c>
      <c r="I2007" s="489">
        <f>H2007+F2007</f>
        <v>10950</v>
      </c>
      <c r="J2007" s="489"/>
    </row>
    <row r="2008" spans="1:10">
      <c r="A2008" s="539"/>
      <c r="B2008" s="938" t="s">
        <v>584</v>
      </c>
      <c r="C2008" s="506">
        <v>1</v>
      </c>
      <c r="D2008" s="499" t="s">
        <v>15</v>
      </c>
      <c r="E2008" s="489">
        <v>1450</v>
      </c>
      <c r="F2008" s="489">
        <f>C2008*E2008</f>
        <v>1450</v>
      </c>
      <c r="G2008" s="489">
        <v>150</v>
      </c>
      <c r="H2008" s="489">
        <f>C2008*G2008</f>
        <v>150</v>
      </c>
      <c r="I2008" s="489">
        <f>F2008+H2008</f>
        <v>1600</v>
      </c>
      <c r="J2008" s="489"/>
    </row>
    <row r="2009" spans="1:10">
      <c r="A2009" s="537" t="s">
        <v>1232</v>
      </c>
      <c r="B2009" s="937" t="s">
        <v>520</v>
      </c>
      <c r="C2009" s="506"/>
      <c r="D2009" s="499"/>
      <c r="E2009" s="489"/>
      <c r="F2009" s="489"/>
      <c r="G2009" s="489"/>
      <c r="H2009" s="489"/>
      <c r="I2009" s="489"/>
      <c r="J2009" s="489"/>
    </row>
    <row r="2010" spans="1:10">
      <c r="A2010" s="539"/>
      <c r="B2010" s="938" t="s">
        <v>522</v>
      </c>
      <c r="C2010" s="506"/>
      <c r="D2010" s="499"/>
      <c r="E2010" s="489"/>
      <c r="F2010" s="489"/>
      <c r="G2010" s="489"/>
      <c r="H2010" s="489"/>
      <c r="I2010" s="489"/>
      <c r="J2010" s="489"/>
    </row>
    <row r="2011" spans="1:10">
      <c r="A2011" s="539"/>
      <c r="B2011" s="938" t="s">
        <v>523</v>
      </c>
      <c r="C2011" s="506">
        <v>130</v>
      </c>
      <c r="D2011" s="499" t="s">
        <v>14</v>
      </c>
      <c r="E2011" s="489">
        <v>24</v>
      </c>
      <c r="F2011" s="489">
        <f>E2011*C2011</f>
        <v>3120</v>
      </c>
      <c r="G2011" s="489">
        <v>30</v>
      </c>
      <c r="H2011" s="489">
        <f>G2011*C2011</f>
        <v>3900</v>
      </c>
      <c r="I2011" s="489">
        <f>H2011+F2011</f>
        <v>7020</v>
      </c>
      <c r="J2011" s="489"/>
    </row>
    <row r="2012" spans="1:10">
      <c r="A2012" s="539"/>
      <c r="B2012" s="938" t="s">
        <v>524</v>
      </c>
      <c r="C2012" s="506">
        <v>160</v>
      </c>
      <c r="D2012" s="499" t="s">
        <v>14</v>
      </c>
      <c r="E2012" s="489">
        <v>50</v>
      </c>
      <c r="F2012" s="489">
        <f t="shared" ref="F2012:F2017" si="162">E2012*C2012</f>
        <v>8000</v>
      </c>
      <c r="G2012" s="489">
        <v>40</v>
      </c>
      <c r="H2012" s="489">
        <f t="shared" ref="H2012:H2017" si="163">G2012*C2012</f>
        <v>6400</v>
      </c>
      <c r="I2012" s="489">
        <f t="shared" ref="I2012:I2017" si="164">H2012+F2012</f>
        <v>14400</v>
      </c>
      <c r="J2012" s="489"/>
    </row>
    <row r="2013" spans="1:10">
      <c r="A2013" s="502"/>
      <c r="B2013" s="503" t="s">
        <v>525</v>
      </c>
      <c r="C2013" s="506">
        <v>120</v>
      </c>
      <c r="D2013" s="499" t="s">
        <v>14</v>
      </c>
      <c r="E2013" s="489">
        <v>109</v>
      </c>
      <c r="F2013" s="489">
        <f t="shared" si="162"/>
        <v>13080</v>
      </c>
      <c r="G2013" s="489">
        <v>75</v>
      </c>
      <c r="H2013" s="489">
        <f t="shared" si="163"/>
        <v>9000</v>
      </c>
      <c r="I2013" s="489">
        <f t="shared" si="164"/>
        <v>22080</v>
      </c>
      <c r="J2013" s="489"/>
    </row>
    <row r="2014" spans="1:10">
      <c r="A2014" s="502"/>
      <c r="B2014" s="503" t="s">
        <v>526</v>
      </c>
      <c r="C2014" s="506">
        <v>150</v>
      </c>
      <c r="D2014" s="499" t="s">
        <v>14</v>
      </c>
      <c r="E2014" s="489">
        <v>177</v>
      </c>
      <c r="F2014" s="489">
        <f t="shared" si="162"/>
        <v>26550</v>
      </c>
      <c r="G2014" s="489">
        <v>100</v>
      </c>
      <c r="H2014" s="489">
        <f t="shared" si="163"/>
        <v>15000</v>
      </c>
      <c r="I2014" s="489">
        <f t="shared" si="164"/>
        <v>41550</v>
      </c>
      <c r="J2014" s="489"/>
    </row>
    <row r="2015" spans="1:10">
      <c r="A2015" s="539"/>
      <c r="B2015" s="938" t="s">
        <v>527</v>
      </c>
      <c r="C2015" s="506">
        <v>50</v>
      </c>
      <c r="D2015" s="499" t="s">
        <v>14</v>
      </c>
      <c r="E2015" s="677">
        <v>291</v>
      </c>
      <c r="F2015" s="677">
        <f t="shared" si="162"/>
        <v>14550</v>
      </c>
      <c r="G2015" s="677">
        <v>200</v>
      </c>
      <c r="H2015" s="677">
        <f t="shared" si="163"/>
        <v>10000</v>
      </c>
      <c r="I2015" s="677">
        <f t="shared" si="164"/>
        <v>24550</v>
      </c>
      <c r="J2015" s="489"/>
    </row>
    <row r="2016" spans="1:10">
      <c r="A2016" s="539"/>
      <c r="B2016" s="938" t="s">
        <v>507</v>
      </c>
      <c r="C2016" s="506">
        <v>1</v>
      </c>
      <c r="D2016" s="499" t="s">
        <v>508</v>
      </c>
      <c r="E2016" s="489">
        <f>FLOOR(SUM(F2011:F2015)*0.4,1)</f>
        <v>26120</v>
      </c>
      <c r="F2016" s="489">
        <f t="shared" si="162"/>
        <v>26120</v>
      </c>
      <c r="G2016" s="489">
        <f>E2016*0.3</f>
        <v>7836</v>
      </c>
      <c r="H2016" s="489">
        <f t="shared" si="163"/>
        <v>7836</v>
      </c>
      <c r="I2016" s="489">
        <f t="shared" si="164"/>
        <v>33956</v>
      </c>
      <c r="J2016" s="489"/>
    </row>
    <row r="2017" spans="1:10">
      <c r="A2017" s="539"/>
      <c r="B2017" s="938" t="s">
        <v>509</v>
      </c>
      <c r="C2017" s="506">
        <v>1</v>
      </c>
      <c r="D2017" s="499" t="s">
        <v>508</v>
      </c>
      <c r="E2017" s="489">
        <f>FLOOR(SUM(F2011:F2015)*0.3,1)</f>
        <v>19590</v>
      </c>
      <c r="F2017" s="489">
        <f t="shared" si="162"/>
        <v>19590</v>
      </c>
      <c r="G2017" s="489">
        <f>E2017*0.3</f>
        <v>5877</v>
      </c>
      <c r="H2017" s="489">
        <f t="shared" si="163"/>
        <v>5877</v>
      </c>
      <c r="I2017" s="489">
        <f t="shared" si="164"/>
        <v>25467</v>
      </c>
      <c r="J2017" s="489"/>
    </row>
    <row r="2018" spans="1:10">
      <c r="A2018" s="539"/>
      <c r="B2018" s="938" t="s">
        <v>510</v>
      </c>
      <c r="C2018" s="506">
        <v>1</v>
      </c>
      <c r="D2018" s="499" t="s">
        <v>508</v>
      </c>
      <c r="E2018" s="489">
        <f>ROUNDDOWN(SUM(F2011:F2015)*10%,0)</f>
        <v>6530</v>
      </c>
      <c r="F2018" s="489">
        <f>C2018*E2018</f>
        <v>6530</v>
      </c>
      <c r="G2018" s="489">
        <f>ROUNDDOWN(E2018*0.3,0)</f>
        <v>1959</v>
      </c>
      <c r="H2018" s="489">
        <f>C2018*G2018</f>
        <v>1959</v>
      </c>
      <c r="I2018" s="489">
        <f>F2018+H2018</f>
        <v>8489</v>
      </c>
      <c r="J2018" s="489"/>
    </row>
    <row r="2019" spans="1:10">
      <c r="A2019" s="539"/>
      <c r="B2019" s="938" t="s">
        <v>529</v>
      </c>
      <c r="C2019" s="506"/>
      <c r="D2019" s="499"/>
      <c r="E2019" s="489"/>
      <c r="F2019" s="489"/>
      <c r="G2019" s="489"/>
      <c r="H2019" s="489"/>
      <c r="I2019" s="489"/>
      <c r="J2019" s="489"/>
    </row>
    <row r="2020" spans="1:10">
      <c r="A2020" s="539"/>
      <c r="B2020" s="938" t="s">
        <v>523</v>
      </c>
      <c r="C2020" s="506">
        <v>40</v>
      </c>
      <c r="D2020" s="499" t="s">
        <v>14</v>
      </c>
      <c r="E2020" s="489">
        <v>24</v>
      </c>
      <c r="F2020" s="489">
        <f>E2020*C2020</f>
        <v>960</v>
      </c>
      <c r="G2020" s="489">
        <v>30</v>
      </c>
      <c r="H2020" s="489">
        <f>G2020*C2020</f>
        <v>1200</v>
      </c>
      <c r="I2020" s="489">
        <f>H2020+F2020</f>
        <v>2160</v>
      </c>
      <c r="J2020" s="489"/>
    </row>
    <row r="2021" spans="1:10">
      <c r="A2021" s="539"/>
      <c r="B2021" s="938" t="s">
        <v>524</v>
      </c>
      <c r="C2021" s="506">
        <v>40</v>
      </c>
      <c r="D2021" s="499" t="s">
        <v>14</v>
      </c>
      <c r="E2021" s="489">
        <v>84</v>
      </c>
      <c r="F2021" s="489">
        <f>E2021*C2021</f>
        <v>3360</v>
      </c>
      <c r="G2021" s="489">
        <v>75</v>
      </c>
      <c r="H2021" s="489">
        <f>G2021*C2021</f>
        <v>3000</v>
      </c>
      <c r="I2021" s="489">
        <f>H2021+F2021</f>
        <v>6360</v>
      </c>
      <c r="J2021" s="489"/>
    </row>
    <row r="2022" spans="1:10">
      <c r="A2022" s="539"/>
      <c r="B2022" s="938" t="s">
        <v>525</v>
      </c>
      <c r="C2022" s="506">
        <v>60</v>
      </c>
      <c r="D2022" s="499" t="s">
        <v>14</v>
      </c>
      <c r="E2022" s="489">
        <f>FLOOR(SUM(F2020:F2021)*0.4,1)</f>
        <v>1728</v>
      </c>
      <c r="F2022" s="489">
        <f>E2022*C2022</f>
        <v>103680</v>
      </c>
      <c r="G2022" s="489">
        <f>E2022*0.3</f>
        <v>518.4</v>
      </c>
      <c r="H2022" s="489">
        <f>G2022*C2022</f>
        <v>31104</v>
      </c>
      <c r="I2022" s="489">
        <f>H2022+F2022</f>
        <v>134784</v>
      </c>
      <c r="J2022" s="489"/>
    </row>
    <row r="2023" spans="1:10">
      <c r="A2023" s="539"/>
      <c r="B2023" s="938" t="s">
        <v>507</v>
      </c>
      <c r="C2023" s="506">
        <v>1</v>
      </c>
      <c r="D2023" s="499" t="s">
        <v>508</v>
      </c>
      <c r="E2023" s="489">
        <f>FLOOR(SUM(F2020:F2022)*0.4,1)</f>
        <v>43200</v>
      </c>
      <c r="F2023" s="489">
        <f>E2023*C2023</f>
        <v>43200</v>
      </c>
      <c r="G2023" s="489">
        <f>E2023*0.3</f>
        <v>12960</v>
      </c>
      <c r="H2023" s="489">
        <f>G2023*C2023</f>
        <v>12960</v>
      </c>
      <c r="I2023" s="489">
        <f>H2023+F2023</f>
        <v>56160</v>
      </c>
      <c r="J2023" s="489"/>
    </row>
    <row r="2024" spans="1:10">
      <c r="A2024" s="539"/>
      <c r="B2024" s="938" t="s">
        <v>509</v>
      </c>
      <c r="C2024" s="506">
        <v>1</v>
      </c>
      <c r="D2024" s="499" t="s">
        <v>508</v>
      </c>
      <c r="E2024" s="489">
        <f>FLOOR(SUM(F2020:F2022)*0.3,1)</f>
        <v>32400</v>
      </c>
      <c r="F2024" s="489">
        <f>E2024*C2024</f>
        <v>32400</v>
      </c>
      <c r="G2024" s="489">
        <f>E2024*0.3</f>
        <v>9720</v>
      </c>
      <c r="H2024" s="489">
        <f>G2024*C2024</f>
        <v>9720</v>
      </c>
      <c r="I2024" s="489">
        <f>H2024+F2024</f>
        <v>42120</v>
      </c>
      <c r="J2024" s="489"/>
    </row>
    <row r="2025" spans="1:10">
      <c r="A2025" s="539"/>
      <c r="B2025" s="938" t="s">
        <v>510</v>
      </c>
      <c r="C2025" s="506">
        <v>1</v>
      </c>
      <c r="D2025" s="499" t="s">
        <v>508</v>
      </c>
      <c r="E2025" s="489">
        <f>ROUNDDOWN(SUM(F2020:F2022)*10%,0)</f>
        <v>10800</v>
      </c>
      <c r="F2025" s="489">
        <f>C2025*E2025</f>
        <v>10800</v>
      </c>
      <c r="G2025" s="489">
        <f>ROUNDDOWN(E2025*0.3,0)</f>
        <v>3240</v>
      </c>
      <c r="H2025" s="489">
        <f>C2025*G2025</f>
        <v>3240</v>
      </c>
      <c r="I2025" s="489">
        <f>F2025+H2025</f>
        <v>14040</v>
      </c>
      <c r="J2025" s="489"/>
    </row>
    <row r="2026" spans="1:10">
      <c r="A2026" s="539"/>
      <c r="B2026" s="938" t="s">
        <v>530</v>
      </c>
      <c r="C2026" s="506"/>
      <c r="D2026" s="499"/>
      <c r="E2026" s="489"/>
      <c r="F2026" s="489"/>
      <c r="G2026" s="489"/>
      <c r="H2026" s="489"/>
      <c r="I2026" s="489"/>
      <c r="J2026" s="489"/>
    </row>
    <row r="2027" spans="1:10">
      <c r="A2027" s="539"/>
      <c r="B2027" s="938" t="s">
        <v>524</v>
      </c>
      <c r="C2027" s="506">
        <v>10</v>
      </c>
      <c r="D2027" s="499" t="s">
        <v>15</v>
      </c>
      <c r="E2027" s="489">
        <v>710</v>
      </c>
      <c r="F2027" s="489">
        <f>C2027*E2027</f>
        <v>7100</v>
      </c>
      <c r="G2027" s="489">
        <v>200</v>
      </c>
      <c r="H2027" s="489">
        <f>C2027*G2027</f>
        <v>2000</v>
      </c>
      <c r="I2027" s="489">
        <f>F2027+H2027</f>
        <v>9100</v>
      </c>
      <c r="J2027" s="489"/>
    </row>
    <row r="2028" spans="1:10">
      <c r="A2028" s="539"/>
      <c r="B2028" s="938" t="s">
        <v>531</v>
      </c>
      <c r="C2028" s="506"/>
      <c r="D2028" s="499"/>
      <c r="E2028" s="489"/>
      <c r="F2028" s="489"/>
      <c r="G2028" s="489"/>
      <c r="H2028" s="489"/>
      <c r="I2028" s="489"/>
      <c r="J2028" s="489"/>
    </row>
    <row r="2029" spans="1:10">
      <c r="A2029" s="502"/>
      <c r="B2029" s="549" t="s">
        <v>524</v>
      </c>
      <c r="C2029" s="506">
        <v>2</v>
      </c>
      <c r="D2029" s="499" t="s">
        <v>15</v>
      </c>
      <c r="E2029" s="489">
        <v>600</v>
      </c>
      <c r="F2029" s="489">
        <f>C2029*E2029</f>
        <v>1200</v>
      </c>
      <c r="G2029" s="507">
        <v>200</v>
      </c>
      <c r="H2029" s="490">
        <f>C2029*G2029</f>
        <v>400</v>
      </c>
      <c r="I2029" s="490">
        <f>F2029+H2029</f>
        <v>1600</v>
      </c>
      <c r="J2029" s="489"/>
    </row>
    <row r="2030" spans="1:10">
      <c r="A2030" s="502"/>
      <c r="B2030" s="561" t="s">
        <v>525</v>
      </c>
      <c r="C2030" s="506">
        <v>5</v>
      </c>
      <c r="D2030" s="499" t="s">
        <v>15</v>
      </c>
      <c r="E2030" s="489">
        <v>680</v>
      </c>
      <c r="F2030" s="489">
        <f>C2030*E2030</f>
        <v>3400</v>
      </c>
      <c r="G2030" s="507">
        <v>300</v>
      </c>
      <c r="H2030" s="490">
        <f>C2030*G2030</f>
        <v>1500</v>
      </c>
      <c r="I2030" s="490">
        <f>F2030+H2030</f>
        <v>4900</v>
      </c>
      <c r="J2030" s="489"/>
    </row>
    <row r="2031" spans="1:10">
      <c r="A2031" s="548"/>
      <c r="B2031" s="549" t="s">
        <v>526</v>
      </c>
      <c r="C2031" s="506">
        <v>5</v>
      </c>
      <c r="D2031" s="499" t="s">
        <v>15</v>
      </c>
      <c r="E2031" s="489">
        <v>750</v>
      </c>
      <c r="F2031" s="489">
        <f>C2031*E2031</f>
        <v>3750</v>
      </c>
      <c r="G2031" s="507">
        <v>400</v>
      </c>
      <c r="H2031" s="490">
        <f>C2031*G2031</f>
        <v>2000</v>
      </c>
      <c r="I2031" s="490">
        <f>F2031+H2031</f>
        <v>5750</v>
      </c>
      <c r="J2031" s="489"/>
    </row>
    <row r="2032" spans="1:10">
      <c r="A2032" s="548"/>
      <c r="B2032" s="549" t="s">
        <v>535</v>
      </c>
      <c r="C2032" s="506">
        <v>1</v>
      </c>
      <c r="D2032" s="499" t="s">
        <v>508</v>
      </c>
      <c r="E2032" s="489">
        <f>FLOOR((SUM(F2012:F2015)+SUM(F2021:F2022))*0.1,1)</f>
        <v>16922</v>
      </c>
      <c r="F2032" s="489">
        <f>E2032*C2032</f>
        <v>16922</v>
      </c>
      <c r="G2032" s="507">
        <f>E2032*0.3</f>
        <v>5076.5999999999995</v>
      </c>
      <c r="H2032" s="490">
        <f>G2032*C2032</f>
        <v>5076.5999999999995</v>
      </c>
      <c r="I2032" s="490">
        <f>F2032+H2032</f>
        <v>21998.6</v>
      </c>
      <c r="J2032" s="489"/>
    </row>
    <row r="2033" spans="1:10">
      <c r="A2033" s="551" t="s">
        <v>1233</v>
      </c>
      <c r="B2033" s="552" t="s">
        <v>536</v>
      </c>
      <c r="C2033" s="506"/>
      <c r="D2033" s="499"/>
      <c r="E2033" s="489"/>
      <c r="F2033" s="489"/>
      <c r="G2033" s="507"/>
      <c r="H2033" s="490"/>
      <c r="I2033" s="490"/>
      <c r="J2033" s="489"/>
    </row>
    <row r="2034" spans="1:10">
      <c r="A2034" s="548"/>
      <c r="B2034" s="549" t="s">
        <v>569</v>
      </c>
      <c r="C2034" s="506"/>
      <c r="D2034" s="499"/>
      <c r="E2034" s="489"/>
      <c r="F2034" s="940"/>
      <c r="G2034" s="507"/>
      <c r="H2034" s="940"/>
      <c r="I2034" s="940"/>
      <c r="J2034" s="489"/>
    </row>
    <row r="2035" spans="1:10">
      <c r="A2035" s="548"/>
      <c r="B2035" s="549" t="s">
        <v>570</v>
      </c>
      <c r="C2035" s="506">
        <v>20</v>
      </c>
      <c r="D2035" s="942" t="s">
        <v>565</v>
      </c>
      <c r="E2035" s="940">
        <v>865</v>
      </c>
      <c r="F2035" s="940">
        <f>C2035*E2035</f>
        <v>17300</v>
      </c>
      <c r="G2035" s="940">
        <v>600</v>
      </c>
      <c r="H2035" s="940">
        <f>C2035*G2035</f>
        <v>12000</v>
      </c>
      <c r="I2035" s="940">
        <f>F2035+H2035</f>
        <v>29300</v>
      </c>
      <c r="J2035" s="489"/>
    </row>
    <row r="2036" spans="1:10">
      <c r="A2036" s="548"/>
      <c r="B2036" s="549" t="s">
        <v>538</v>
      </c>
      <c r="C2036" s="506"/>
      <c r="D2036" s="499"/>
      <c r="E2036" s="489"/>
      <c r="F2036" s="489"/>
      <c r="G2036" s="507"/>
      <c r="H2036" s="490"/>
      <c r="I2036" s="490"/>
      <c r="J2036" s="489"/>
    </row>
    <row r="2037" spans="1:10">
      <c r="A2037" s="548"/>
      <c r="B2037" s="549" t="s">
        <v>527</v>
      </c>
      <c r="C2037" s="506">
        <v>150</v>
      </c>
      <c r="D2037" s="499" t="s">
        <v>14</v>
      </c>
      <c r="E2037" s="489">
        <v>291</v>
      </c>
      <c r="F2037" s="489">
        <f>E2037*C2037</f>
        <v>43650</v>
      </c>
      <c r="G2037" s="507">
        <v>100</v>
      </c>
      <c r="H2037" s="490">
        <f>G2037*C2037</f>
        <v>15000</v>
      </c>
      <c r="I2037" s="490">
        <f>H2037+F2037</f>
        <v>58650</v>
      </c>
      <c r="J2037" s="489"/>
    </row>
    <row r="2038" spans="1:10">
      <c r="A2038" s="548"/>
      <c r="B2038" s="549" t="s">
        <v>507</v>
      </c>
      <c r="C2038" s="506">
        <v>1</v>
      </c>
      <c r="D2038" s="499" t="s">
        <v>508</v>
      </c>
      <c r="E2038" s="489">
        <f>FLOOR(SUM(F2037)*0.4,10)</f>
        <v>17460</v>
      </c>
      <c r="F2038" s="489">
        <f>E2038*C2038</f>
        <v>17460</v>
      </c>
      <c r="G2038" s="507">
        <f>E2038*0.3</f>
        <v>5238</v>
      </c>
      <c r="H2038" s="490">
        <f>G2038*C2038</f>
        <v>5238</v>
      </c>
      <c r="I2038" s="490">
        <f>H2038+F2038</f>
        <v>22698</v>
      </c>
      <c r="J2038" s="489"/>
    </row>
    <row r="2039" spans="1:10">
      <c r="A2039" s="548"/>
      <c r="B2039" s="549" t="s">
        <v>509</v>
      </c>
      <c r="C2039" s="506">
        <v>1</v>
      </c>
      <c r="D2039" s="499" t="s">
        <v>508</v>
      </c>
      <c r="E2039" s="489">
        <f>FLOOR(SUM(F2037)*0.3,10)</f>
        <v>13090</v>
      </c>
      <c r="F2039" s="489">
        <f>E2039*C2039</f>
        <v>13090</v>
      </c>
      <c r="G2039" s="507">
        <f>E2039*0.3</f>
        <v>3927</v>
      </c>
      <c r="H2039" s="490">
        <f>G2039*C2039</f>
        <v>3927</v>
      </c>
      <c r="I2039" s="490">
        <f>H2039+F2039</f>
        <v>17017</v>
      </c>
      <c r="J2039" s="489"/>
    </row>
    <row r="2040" spans="1:10">
      <c r="A2040" s="548"/>
      <c r="B2040" s="549" t="s">
        <v>539</v>
      </c>
      <c r="C2040" s="506">
        <v>1</v>
      </c>
      <c r="D2040" s="499" t="s">
        <v>508</v>
      </c>
      <c r="E2040" s="489">
        <f>FLOOR(SUM(F2037)*0.1,10)</f>
        <v>4360</v>
      </c>
      <c r="F2040" s="489">
        <f>E2040*C2040</f>
        <v>4360</v>
      </c>
      <c r="G2040" s="507">
        <f>E2040*0.3</f>
        <v>1308</v>
      </c>
      <c r="H2040" s="490">
        <f>G2040*C2040</f>
        <v>1308</v>
      </c>
      <c r="I2040" s="490">
        <f>H2040+F2040</f>
        <v>5668</v>
      </c>
      <c r="J2040" s="489"/>
    </row>
    <row r="2041" spans="1:10">
      <c r="A2041" s="551" t="s">
        <v>1234</v>
      </c>
      <c r="B2041" s="552" t="s">
        <v>543</v>
      </c>
      <c r="C2041" s="506"/>
      <c r="D2041" s="499"/>
      <c r="E2041" s="489"/>
      <c r="F2041" s="489"/>
      <c r="G2041" s="507"/>
      <c r="H2041" s="490"/>
      <c r="I2041" s="490"/>
      <c r="J2041" s="489"/>
    </row>
    <row r="2042" spans="1:10">
      <c r="A2042" s="548"/>
      <c r="B2042" s="549" t="s">
        <v>545</v>
      </c>
      <c r="C2042" s="506">
        <v>7</v>
      </c>
      <c r="D2042" s="499" t="s">
        <v>546</v>
      </c>
      <c r="E2042" s="489">
        <v>14000</v>
      </c>
      <c r="F2042" s="489">
        <f>C2042*E2042</f>
        <v>98000</v>
      </c>
      <c r="G2042" s="507">
        <v>1000</v>
      </c>
      <c r="H2042" s="490">
        <f>C2042*G2042</f>
        <v>7000</v>
      </c>
      <c r="I2042" s="490">
        <f>F2042+H2042</f>
        <v>105000</v>
      </c>
      <c r="J2042" s="489"/>
    </row>
    <row r="2043" spans="1:10">
      <c r="A2043" s="548"/>
      <c r="B2043" s="549" t="s">
        <v>548</v>
      </c>
      <c r="C2043" s="506">
        <v>1</v>
      </c>
      <c r="D2043" s="499" t="s">
        <v>546</v>
      </c>
      <c r="E2043" s="489">
        <v>5800</v>
      </c>
      <c r="F2043" s="489">
        <f>C2043*E2043</f>
        <v>5800</v>
      </c>
      <c r="G2043" s="507">
        <v>100</v>
      </c>
      <c r="H2043" s="490">
        <f>C2043*G2043</f>
        <v>100</v>
      </c>
      <c r="I2043" s="490">
        <f t="shared" ref="I2043:I2057" si="165">F2043+H2043</f>
        <v>5900</v>
      </c>
      <c r="J2043" s="489"/>
    </row>
    <row r="2044" spans="1:10">
      <c r="A2044" s="548"/>
      <c r="B2044" s="549" t="s">
        <v>552</v>
      </c>
      <c r="C2044" s="506">
        <v>1</v>
      </c>
      <c r="D2044" s="499" t="s">
        <v>546</v>
      </c>
      <c r="E2044" s="489">
        <v>855</v>
      </c>
      <c r="F2044" s="489">
        <f>C2044*E2044</f>
        <v>855</v>
      </c>
      <c r="G2044" s="507">
        <v>80</v>
      </c>
      <c r="H2044" s="490">
        <f>C2044*G2044</f>
        <v>80</v>
      </c>
      <c r="I2044" s="490">
        <f t="shared" si="165"/>
        <v>935</v>
      </c>
      <c r="J2044" s="489"/>
    </row>
    <row r="2045" spans="1:10">
      <c r="A2045" s="548"/>
      <c r="B2045" s="549" t="s">
        <v>553</v>
      </c>
      <c r="C2045" s="506"/>
      <c r="D2045" s="499"/>
      <c r="E2045" s="489"/>
      <c r="F2045" s="489"/>
      <c r="G2045" s="507"/>
      <c r="H2045" s="490"/>
      <c r="I2045" s="490"/>
      <c r="J2045" s="489"/>
    </row>
    <row r="2046" spans="1:10">
      <c r="A2046" s="548"/>
      <c r="B2046" s="549" t="s">
        <v>554</v>
      </c>
      <c r="C2046" s="506">
        <v>875</v>
      </c>
      <c r="D2046" s="499" t="s">
        <v>555</v>
      </c>
      <c r="E2046" s="489">
        <v>79</v>
      </c>
      <c r="F2046" s="489">
        <f t="shared" ref="F2046:F2052" si="166">C2046*E2046</f>
        <v>69125</v>
      </c>
      <c r="G2046" s="507">
        <v>60</v>
      </c>
      <c r="H2046" s="490">
        <f t="shared" ref="H2046:H2052" si="167">C2046*G2046</f>
        <v>52500</v>
      </c>
      <c r="I2046" s="490">
        <f t="shared" si="165"/>
        <v>121625</v>
      </c>
      <c r="J2046" s="489"/>
    </row>
    <row r="2047" spans="1:10">
      <c r="A2047" s="548"/>
      <c r="B2047" s="549" t="s">
        <v>556</v>
      </c>
      <c r="C2047" s="506">
        <v>30</v>
      </c>
      <c r="D2047" s="499" t="s">
        <v>555</v>
      </c>
      <c r="E2047" s="489">
        <v>108</v>
      </c>
      <c r="F2047" s="489">
        <f t="shared" si="166"/>
        <v>3240</v>
      </c>
      <c r="G2047" s="507">
        <v>80</v>
      </c>
      <c r="H2047" s="490">
        <f t="shared" si="167"/>
        <v>2400</v>
      </c>
      <c r="I2047" s="490">
        <f t="shared" si="165"/>
        <v>5640</v>
      </c>
      <c r="J2047" s="489"/>
    </row>
    <row r="2048" spans="1:10">
      <c r="A2048" s="548"/>
      <c r="B2048" s="549" t="s">
        <v>557</v>
      </c>
      <c r="C2048" s="506">
        <v>90</v>
      </c>
      <c r="D2048" s="499" t="s">
        <v>555</v>
      </c>
      <c r="E2048" s="489">
        <v>125</v>
      </c>
      <c r="F2048" s="489">
        <f t="shared" si="166"/>
        <v>11250</v>
      </c>
      <c r="G2048" s="507">
        <v>90</v>
      </c>
      <c r="H2048" s="490">
        <f t="shared" si="167"/>
        <v>8100</v>
      </c>
      <c r="I2048" s="490">
        <f t="shared" si="165"/>
        <v>19350</v>
      </c>
      <c r="J2048" s="489"/>
    </row>
    <row r="2049" spans="1:10">
      <c r="A2049" s="548"/>
      <c r="B2049" s="549" t="s">
        <v>558</v>
      </c>
      <c r="C2049" s="506">
        <v>130</v>
      </c>
      <c r="D2049" s="499" t="s">
        <v>555</v>
      </c>
      <c r="E2049" s="489">
        <v>170</v>
      </c>
      <c r="F2049" s="489">
        <f t="shared" si="166"/>
        <v>22100</v>
      </c>
      <c r="G2049" s="507">
        <v>120</v>
      </c>
      <c r="H2049" s="490">
        <f t="shared" si="167"/>
        <v>15600</v>
      </c>
      <c r="I2049" s="490">
        <f t="shared" si="165"/>
        <v>37700</v>
      </c>
      <c r="J2049" s="489"/>
    </row>
    <row r="2050" spans="1:10">
      <c r="A2050" s="548"/>
      <c r="B2050" s="549" t="s">
        <v>559</v>
      </c>
      <c r="C2050" s="506">
        <v>220</v>
      </c>
      <c r="D2050" s="499" t="s">
        <v>555</v>
      </c>
      <c r="E2050" s="489">
        <v>270</v>
      </c>
      <c r="F2050" s="489">
        <f t="shared" si="166"/>
        <v>59400</v>
      </c>
      <c r="G2050" s="507">
        <v>200</v>
      </c>
      <c r="H2050" s="490">
        <f t="shared" si="167"/>
        <v>44000</v>
      </c>
      <c r="I2050" s="490">
        <f t="shared" si="165"/>
        <v>103400</v>
      </c>
      <c r="J2050" s="489"/>
    </row>
    <row r="2051" spans="1:10">
      <c r="A2051" s="548"/>
      <c r="B2051" s="549" t="s">
        <v>560</v>
      </c>
      <c r="C2051" s="506">
        <v>88</v>
      </c>
      <c r="D2051" s="499" t="s">
        <v>14</v>
      </c>
      <c r="E2051" s="489">
        <v>109</v>
      </c>
      <c r="F2051" s="489">
        <f>E2051*C2051</f>
        <v>9592</v>
      </c>
      <c r="G2051" s="507">
        <v>75</v>
      </c>
      <c r="H2051" s="490">
        <f t="shared" si="167"/>
        <v>6600</v>
      </c>
      <c r="I2051" s="490">
        <f t="shared" si="165"/>
        <v>16192</v>
      </c>
      <c r="J2051" s="489"/>
    </row>
    <row r="2052" spans="1:10">
      <c r="A2052" s="548"/>
      <c r="B2052" s="549" t="s">
        <v>561</v>
      </c>
      <c r="C2052" s="506">
        <v>202</v>
      </c>
      <c r="D2052" s="499" t="s">
        <v>555</v>
      </c>
      <c r="E2052" s="489">
        <v>523</v>
      </c>
      <c r="F2052" s="489">
        <f t="shared" si="166"/>
        <v>105646</v>
      </c>
      <c r="G2052" s="507">
        <v>375</v>
      </c>
      <c r="H2052" s="490">
        <f t="shared" si="167"/>
        <v>75750</v>
      </c>
      <c r="I2052" s="490">
        <f t="shared" si="165"/>
        <v>181396</v>
      </c>
      <c r="J2052" s="489"/>
    </row>
    <row r="2053" spans="1:10">
      <c r="A2053" s="548"/>
      <c r="B2053" s="549" t="s">
        <v>507</v>
      </c>
      <c r="C2053" s="506">
        <v>1</v>
      </c>
      <c r="D2053" s="499" t="s">
        <v>508</v>
      </c>
      <c r="E2053" s="489">
        <f>FLOOR(SUM(F2046:F2052)*0.5,1)</f>
        <v>140176</v>
      </c>
      <c r="F2053" s="489">
        <f>E2053*C2053</f>
        <v>140176</v>
      </c>
      <c r="G2053" s="507">
        <f>E2053*0.3</f>
        <v>42052.799999999996</v>
      </c>
      <c r="H2053" s="490">
        <f>G2053*C2053</f>
        <v>42052.799999999996</v>
      </c>
      <c r="I2053" s="490">
        <f t="shared" si="165"/>
        <v>182228.8</v>
      </c>
      <c r="J2053" s="489"/>
    </row>
    <row r="2054" spans="1:10">
      <c r="A2054" s="548"/>
      <c r="B2054" s="549" t="s">
        <v>509</v>
      </c>
      <c r="C2054" s="506">
        <v>1</v>
      </c>
      <c r="D2054" s="499" t="s">
        <v>508</v>
      </c>
      <c r="E2054" s="489">
        <f>FLOOR(SUM(F2046:F2052)*0.2,1)</f>
        <v>56070</v>
      </c>
      <c r="F2054" s="489">
        <f>E2054*C2054</f>
        <v>56070</v>
      </c>
      <c r="G2054" s="507">
        <f>E2054*0.3</f>
        <v>16821</v>
      </c>
      <c r="H2054" s="490">
        <f>G2054*C2054</f>
        <v>16821</v>
      </c>
      <c r="I2054" s="490">
        <f t="shared" si="165"/>
        <v>72891</v>
      </c>
      <c r="J2054" s="489"/>
    </row>
    <row r="2055" spans="1:10">
      <c r="A2055" s="548"/>
      <c r="B2055" s="549" t="s">
        <v>510</v>
      </c>
      <c r="C2055" s="506">
        <v>1</v>
      </c>
      <c r="D2055" s="499" t="s">
        <v>508</v>
      </c>
      <c r="E2055" s="489">
        <f>ROUNDDOWN(SUM(F2046:F2052)*10%,0)</f>
        <v>28035</v>
      </c>
      <c r="F2055" s="489">
        <f>C2055*E2055</f>
        <v>28035</v>
      </c>
      <c r="G2055" s="507">
        <f>ROUNDDOWN(E2055*0.3,0)</f>
        <v>8410</v>
      </c>
      <c r="H2055" s="490">
        <f>C2055*G2055</f>
        <v>8410</v>
      </c>
      <c r="I2055" s="490">
        <f t="shared" si="165"/>
        <v>36445</v>
      </c>
      <c r="J2055" s="489"/>
    </row>
    <row r="2056" spans="1:10">
      <c r="A2056" s="548"/>
      <c r="B2056" s="549" t="s">
        <v>563</v>
      </c>
      <c r="C2056" s="506"/>
      <c r="D2056" s="499"/>
      <c r="E2056" s="489"/>
      <c r="F2056" s="489"/>
      <c r="G2056" s="507"/>
      <c r="H2056" s="490"/>
      <c r="I2056" s="490"/>
      <c r="J2056" s="489"/>
    </row>
    <row r="2057" spans="1:10">
      <c r="A2057" s="548"/>
      <c r="B2057" s="549" t="s">
        <v>564</v>
      </c>
      <c r="C2057" s="506">
        <v>215</v>
      </c>
      <c r="D2057" s="499" t="s">
        <v>565</v>
      </c>
      <c r="E2057" s="489">
        <v>580</v>
      </c>
      <c r="F2057" s="489">
        <f>C2057*E2057</f>
        <v>124700</v>
      </c>
      <c r="G2057" s="507">
        <v>50</v>
      </c>
      <c r="H2057" s="490">
        <f>C2057*G2057</f>
        <v>10750</v>
      </c>
      <c r="I2057" s="490">
        <f t="shared" si="165"/>
        <v>135450</v>
      </c>
      <c r="J2057" s="489"/>
    </row>
    <row r="2058" spans="1:10">
      <c r="A2058" s="548"/>
      <c r="B2058" s="549" t="s">
        <v>593</v>
      </c>
      <c r="C2058" s="506"/>
      <c r="D2058" s="499"/>
      <c r="E2058" s="489"/>
      <c r="F2058" s="489"/>
      <c r="G2058" s="507"/>
      <c r="H2058" s="490"/>
      <c r="I2058" s="490"/>
      <c r="J2058" s="489"/>
    </row>
    <row r="2059" spans="1:10">
      <c r="A2059" s="548"/>
      <c r="B2059" s="549" t="s">
        <v>578</v>
      </c>
      <c r="C2059" s="506">
        <v>1</v>
      </c>
      <c r="D2059" s="499" t="s">
        <v>546</v>
      </c>
      <c r="E2059" s="489">
        <v>12200</v>
      </c>
      <c r="F2059" s="489">
        <f>C2059*E2059</f>
        <v>12200</v>
      </c>
      <c r="G2059" s="507">
        <v>600</v>
      </c>
      <c r="H2059" s="490">
        <f>C2059*G2059</f>
        <v>600</v>
      </c>
      <c r="I2059" s="490">
        <f>F2059+H2059</f>
        <v>12800</v>
      </c>
      <c r="J2059" s="489"/>
    </row>
    <row r="2060" spans="1:10">
      <c r="A2060" s="548"/>
      <c r="B2060" s="549" t="s">
        <v>596</v>
      </c>
      <c r="C2060" s="506"/>
      <c r="D2060" s="499"/>
      <c r="E2060" s="489"/>
      <c r="F2060" s="489"/>
      <c r="G2060" s="507"/>
      <c r="H2060" s="490"/>
      <c r="I2060" s="490"/>
      <c r="J2060" s="489"/>
    </row>
    <row r="2061" spans="1:10">
      <c r="A2061" s="548"/>
      <c r="B2061" s="549" t="s">
        <v>578</v>
      </c>
      <c r="C2061" s="506">
        <v>1</v>
      </c>
      <c r="D2061" s="499" t="s">
        <v>574</v>
      </c>
      <c r="E2061" s="489">
        <v>20000</v>
      </c>
      <c r="F2061" s="489">
        <f>C2061*E2061</f>
        <v>20000</v>
      </c>
      <c r="G2061" s="507">
        <v>500</v>
      </c>
      <c r="H2061" s="490">
        <f>C2061*G2061</f>
        <v>500</v>
      </c>
      <c r="I2061" s="490">
        <f>F2061+H2061</f>
        <v>20500</v>
      </c>
      <c r="J2061" s="489"/>
    </row>
    <row r="2062" spans="1:10">
      <c r="A2062" s="548"/>
      <c r="B2062" s="549" t="s">
        <v>597</v>
      </c>
      <c r="C2062" s="506">
        <v>1</v>
      </c>
      <c r="D2062" s="499" t="s">
        <v>574</v>
      </c>
      <c r="E2062" s="489">
        <v>9360</v>
      </c>
      <c r="F2062" s="489">
        <f>C2062*E2062</f>
        <v>9360</v>
      </c>
      <c r="G2062" s="507">
        <v>150</v>
      </c>
      <c r="H2062" s="490">
        <f>C2062*G2062</f>
        <v>150</v>
      </c>
      <c r="I2062" s="490">
        <f>F2062+H2062</f>
        <v>9510</v>
      </c>
      <c r="J2062" s="489"/>
    </row>
    <row r="2063" spans="1:10">
      <c r="A2063" s="548"/>
      <c r="B2063" s="549" t="s">
        <v>598</v>
      </c>
      <c r="C2063" s="506"/>
      <c r="D2063" s="499"/>
      <c r="E2063" s="489"/>
      <c r="F2063" s="489"/>
      <c r="G2063" s="507"/>
      <c r="H2063" s="490"/>
      <c r="I2063" s="490"/>
      <c r="J2063" s="489"/>
    </row>
    <row r="2064" spans="1:10">
      <c r="A2064" s="548"/>
      <c r="B2064" s="549" t="s">
        <v>554</v>
      </c>
      <c r="C2064" s="506">
        <v>2</v>
      </c>
      <c r="D2064" s="499" t="s">
        <v>574</v>
      </c>
      <c r="E2064" s="489">
        <v>11400</v>
      </c>
      <c r="F2064" s="489">
        <f>C2064*E2064</f>
        <v>22800</v>
      </c>
      <c r="G2064" s="507">
        <v>300</v>
      </c>
      <c r="H2064" s="490">
        <f>C2064*G2064</f>
        <v>600</v>
      </c>
      <c r="I2064" s="490">
        <f>F2064+H2064</f>
        <v>23400</v>
      </c>
      <c r="J2064" s="489"/>
    </row>
    <row r="2065" spans="1:10">
      <c r="A2065" s="548"/>
      <c r="B2065" s="549" t="s">
        <v>600</v>
      </c>
      <c r="C2065" s="506"/>
      <c r="D2065" s="499"/>
      <c r="E2065" s="489"/>
      <c r="F2065" s="489"/>
      <c r="G2065" s="507"/>
      <c r="H2065" s="490"/>
      <c r="I2065" s="490"/>
      <c r="J2065" s="489"/>
    </row>
    <row r="2066" spans="1:10">
      <c r="A2066" s="548"/>
      <c r="B2066" s="549" t="s">
        <v>554</v>
      </c>
      <c r="C2066" s="506">
        <v>1</v>
      </c>
      <c r="D2066" s="499" t="s">
        <v>565</v>
      </c>
      <c r="E2066" s="489">
        <v>500</v>
      </c>
      <c r="F2066" s="489">
        <f>C2066*E2066</f>
        <v>500</v>
      </c>
      <c r="G2066" s="507">
        <v>200</v>
      </c>
      <c r="H2066" s="490">
        <f>C2066*G2066</f>
        <v>200</v>
      </c>
      <c r="I2066" s="490">
        <f>F2066+H2066</f>
        <v>700</v>
      </c>
      <c r="J2066" s="489"/>
    </row>
    <row r="2067" spans="1:10">
      <c r="A2067" s="548"/>
      <c r="B2067" s="549"/>
      <c r="C2067" s="506"/>
      <c r="D2067" s="499"/>
      <c r="E2067" s="489"/>
      <c r="F2067" s="489"/>
      <c r="G2067" s="507"/>
      <c r="H2067" s="490"/>
      <c r="I2067" s="490"/>
      <c r="J2067" s="489"/>
    </row>
    <row r="2068" spans="1:10">
      <c r="A2068" s="496" t="s">
        <v>549</v>
      </c>
      <c r="B2068" s="1155" t="s">
        <v>571</v>
      </c>
      <c r="C2068" s="506"/>
      <c r="D2068" s="499"/>
      <c r="E2068" s="489"/>
      <c r="F2068" s="489"/>
      <c r="G2068" s="507"/>
      <c r="H2068" s="490"/>
      <c r="I2068" s="490"/>
      <c r="J2068" s="489"/>
    </row>
    <row r="2069" spans="1:10">
      <c r="A2069" s="537" t="s">
        <v>1235</v>
      </c>
      <c r="B2069" s="538" t="s">
        <v>496</v>
      </c>
      <c r="C2069" s="506"/>
      <c r="D2069" s="499"/>
      <c r="E2069" s="489"/>
      <c r="F2069" s="489"/>
      <c r="G2069" s="507"/>
      <c r="H2069" s="490"/>
      <c r="I2069" s="490"/>
      <c r="J2069" s="489"/>
    </row>
    <row r="2070" spans="1:10">
      <c r="A2070" s="539"/>
      <c r="B2070" s="540" t="s">
        <v>498</v>
      </c>
      <c r="C2070" s="939"/>
      <c r="D2070" s="499"/>
      <c r="E2070" s="940"/>
      <c r="F2070" s="940"/>
      <c r="G2070" s="940"/>
      <c r="H2070" s="940"/>
      <c r="I2070" s="940"/>
      <c r="J2070" s="489"/>
    </row>
    <row r="2071" spans="1:10">
      <c r="A2071" s="539"/>
      <c r="B2071" s="540" t="s">
        <v>499</v>
      </c>
      <c r="C2071" s="939">
        <v>160</v>
      </c>
      <c r="D2071" s="499" t="s">
        <v>14</v>
      </c>
      <c r="E2071" s="940">
        <v>35</v>
      </c>
      <c r="F2071" s="940">
        <f>C2071*E2071</f>
        <v>5600</v>
      </c>
      <c r="G2071" s="940">
        <v>30</v>
      </c>
      <c r="H2071" s="940">
        <f t="shared" ref="H2071:H2081" si="168">C2071*G2071</f>
        <v>4800</v>
      </c>
      <c r="I2071" s="940">
        <f>F2071+H2071</f>
        <v>10400</v>
      </c>
      <c r="J2071" s="489"/>
    </row>
    <row r="2072" spans="1:10">
      <c r="A2072" s="539"/>
      <c r="B2072" s="540" t="s">
        <v>500</v>
      </c>
      <c r="C2072" s="941">
        <v>150</v>
      </c>
      <c r="D2072" s="499" t="s">
        <v>14</v>
      </c>
      <c r="E2072" s="940">
        <v>46</v>
      </c>
      <c r="F2072" s="940">
        <f>C2072*E2072</f>
        <v>6900</v>
      </c>
      <c r="G2072" s="940">
        <v>30</v>
      </c>
      <c r="H2072" s="940">
        <f t="shared" si="168"/>
        <v>4500</v>
      </c>
      <c r="I2072" s="940">
        <f>F2072+H2072</f>
        <v>11400</v>
      </c>
      <c r="J2072" s="489"/>
    </row>
    <row r="2073" spans="1:10">
      <c r="A2073" s="539"/>
      <c r="B2073" s="938" t="s">
        <v>501</v>
      </c>
      <c r="C2073" s="939">
        <v>200</v>
      </c>
      <c r="D2073" s="942" t="s">
        <v>14</v>
      </c>
      <c r="E2073" s="940">
        <v>76</v>
      </c>
      <c r="F2073" s="940">
        <f t="shared" ref="F2073:F2079" si="169">C2073*E2073</f>
        <v>15200</v>
      </c>
      <c r="G2073" s="940">
        <v>30</v>
      </c>
      <c r="H2073" s="940">
        <f t="shared" si="168"/>
        <v>6000</v>
      </c>
      <c r="I2073" s="940">
        <f t="shared" ref="I2073:I2081" si="170">F2073+H2073</f>
        <v>21200</v>
      </c>
      <c r="J2073" s="489"/>
    </row>
    <row r="2074" spans="1:10">
      <c r="A2074" s="539"/>
      <c r="B2074" s="938" t="s">
        <v>502</v>
      </c>
      <c r="C2074" s="939">
        <v>300</v>
      </c>
      <c r="D2074" s="942" t="s">
        <v>14</v>
      </c>
      <c r="E2074" s="940">
        <v>180</v>
      </c>
      <c r="F2074" s="940">
        <f t="shared" si="169"/>
        <v>54000</v>
      </c>
      <c r="G2074" s="940">
        <v>50</v>
      </c>
      <c r="H2074" s="940">
        <f t="shared" si="168"/>
        <v>15000</v>
      </c>
      <c r="I2074" s="940">
        <f t="shared" si="170"/>
        <v>69000</v>
      </c>
      <c r="J2074" s="489"/>
    </row>
    <row r="2075" spans="1:10">
      <c r="A2075" s="539"/>
      <c r="B2075" s="938" t="s">
        <v>503</v>
      </c>
      <c r="C2075" s="939">
        <v>80</v>
      </c>
      <c r="D2075" s="943" t="s">
        <v>14</v>
      </c>
      <c r="E2075" s="940">
        <v>287</v>
      </c>
      <c r="F2075" s="940">
        <f t="shared" si="169"/>
        <v>22960</v>
      </c>
      <c r="G2075" s="940">
        <v>75</v>
      </c>
      <c r="H2075" s="940">
        <f t="shared" si="168"/>
        <v>6000</v>
      </c>
      <c r="I2075" s="940">
        <f t="shared" si="170"/>
        <v>28960</v>
      </c>
      <c r="J2075" s="489"/>
    </row>
    <row r="2076" spans="1:10">
      <c r="A2076" s="539"/>
      <c r="B2076" s="944" t="s">
        <v>504</v>
      </c>
      <c r="C2076" s="939">
        <v>80</v>
      </c>
      <c r="D2076" s="541" t="s">
        <v>14</v>
      </c>
      <c r="E2076" s="946">
        <v>402</v>
      </c>
      <c r="F2076" s="946">
        <f t="shared" si="169"/>
        <v>32160</v>
      </c>
      <c r="G2076" s="542">
        <v>100</v>
      </c>
      <c r="H2076" s="543">
        <f t="shared" si="168"/>
        <v>8000</v>
      </c>
      <c r="I2076" s="543">
        <f t="shared" si="170"/>
        <v>40160</v>
      </c>
      <c r="J2076" s="489"/>
    </row>
    <row r="2077" spans="1:10">
      <c r="A2077" s="539"/>
      <c r="B2077" s="540" t="s">
        <v>505</v>
      </c>
      <c r="C2077" s="939">
        <v>50</v>
      </c>
      <c r="D2077" s="544" t="s">
        <v>14</v>
      </c>
      <c r="E2077" s="940">
        <v>562</v>
      </c>
      <c r="F2077" s="940">
        <f t="shared" si="169"/>
        <v>28100</v>
      </c>
      <c r="G2077" s="940">
        <v>120</v>
      </c>
      <c r="H2077" s="490">
        <f t="shared" si="168"/>
        <v>6000</v>
      </c>
      <c r="I2077" s="490">
        <f t="shared" si="170"/>
        <v>34100</v>
      </c>
      <c r="J2077" s="489"/>
    </row>
    <row r="2078" spans="1:10">
      <c r="A2078" s="539"/>
      <c r="B2078" s="540" t="s">
        <v>506</v>
      </c>
      <c r="C2078" s="939">
        <v>50</v>
      </c>
      <c r="D2078" s="544" t="s">
        <v>14</v>
      </c>
      <c r="E2078" s="940">
        <v>834</v>
      </c>
      <c r="F2078" s="940">
        <f t="shared" si="169"/>
        <v>41700</v>
      </c>
      <c r="G2078" s="940">
        <v>150</v>
      </c>
      <c r="H2078" s="490">
        <f t="shared" si="168"/>
        <v>7500</v>
      </c>
      <c r="I2078" s="490">
        <f t="shared" si="170"/>
        <v>49200</v>
      </c>
      <c r="J2078" s="489"/>
    </row>
    <row r="2079" spans="1:10">
      <c r="A2079" s="539"/>
      <c r="B2079" s="938" t="s">
        <v>507</v>
      </c>
      <c r="C2079" s="506">
        <v>1</v>
      </c>
      <c r="D2079" s="544" t="s">
        <v>508</v>
      </c>
      <c r="E2079" s="940">
        <f>ROUNDDOWN(SUM(F2071:F2078)*35%,0)</f>
        <v>72317</v>
      </c>
      <c r="F2079" s="940">
        <f t="shared" si="169"/>
        <v>72317</v>
      </c>
      <c r="G2079" s="940">
        <f>ROUNDDOWN(E2079*0.2,0)</f>
        <v>14463</v>
      </c>
      <c r="H2079" s="490">
        <f t="shared" si="168"/>
        <v>14463</v>
      </c>
      <c r="I2079" s="490">
        <f t="shared" si="170"/>
        <v>86780</v>
      </c>
      <c r="J2079" s="489"/>
    </row>
    <row r="2080" spans="1:10">
      <c r="A2080" s="539"/>
      <c r="B2080" s="938" t="s">
        <v>509</v>
      </c>
      <c r="C2080" s="506">
        <v>1</v>
      </c>
      <c r="D2080" s="942" t="s">
        <v>508</v>
      </c>
      <c r="E2080" s="946">
        <f>ROUNDDOWN(SUM(F2071:F2078)*20%,0)</f>
        <v>41324</v>
      </c>
      <c r="F2080" s="946">
        <f>C2080*E2080</f>
        <v>41324</v>
      </c>
      <c r="G2080" s="946">
        <f>ROUNDDOWN(E2080*0.2,0)</f>
        <v>8264</v>
      </c>
      <c r="H2080" s="490">
        <f t="shared" si="168"/>
        <v>8264</v>
      </c>
      <c r="I2080" s="490">
        <f t="shared" si="170"/>
        <v>49588</v>
      </c>
      <c r="J2080" s="489"/>
    </row>
    <row r="2081" spans="1:10">
      <c r="A2081" s="539"/>
      <c r="B2081" s="938" t="s">
        <v>510</v>
      </c>
      <c r="C2081" s="506">
        <v>1</v>
      </c>
      <c r="D2081" s="544" t="s">
        <v>508</v>
      </c>
      <c r="E2081" s="489">
        <f>ROUNDDOWN(SUM(F2071:F2078)*10%,0)</f>
        <v>20662</v>
      </c>
      <c r="F2081" s="489">
        <f>C2081*E2081</f>
        <v>20662</v>
      </c>
      <c r="G2081" s="489">
        <f>ROUNDDOWN(E2081*0.3,0)</f>
        <v>6198</v>
      </c>
      <c r="H2081" s="489">
        <f t="shared" si="168"/>
        <v>6198</v>
      </c>
      <c r="I2081" s="489">
        <f t="shared" si="170"/>
        <v>26860</v>
      </c>
      <c r="J2081" s="489"/>
    </row>
    <row r="2082" spans="1:10">
      <c r="A2082" s="539"/>
      <c r="B2082" s="938" t="s">
        <v>512</v>
      </c>
      <c r="C2082" s="506"/>
      <c r="D2082" s="499"/>
      <c r="E2082" s="866"/>
      <c r="F2082" s="866"/>
      <c r="G2082" s="489"/>
      <c r="H2082" s="489"/>
      <c r="I2082" s="489"/>
      <c r="J2082" s="489"/>
    </row>
    <row r="2083" spans="1:10">
      <c r="A2083" s="559"/>
      <c r="B2083" s="560" t="s">
        <v>513</v>
      </c>
      <c r="C2083" s="506">
        <v>6</v>
      </c>
      <c r="D2083" s="499" t="s">
        <v>15</v>
      </c>
      <c r="E2083" s="489">
        <v>2674</v>
      </c>
      <c r="F2083" s="489">
        <f>C2083*E2083</f>
        <v>16044</v>
      </c>
      <c r="G2083" s="507">
        <v>500</v>
      </c>
      <c r="H2083" s="490">
        <f>C2083*G2083</f>
        <v>3000</v>
      </c>
      <c r="I2083" s="490">
        <f>F2083+H2083</f>
        <v>19044</v>
      </c>
      <c r="J2083" s="489"/>
    </row>
    <row r="2084" spans="1:10">
      <c r="A2084" s="559"/>
      <c r="B2084" s="560" t="s">
        <v>514</v>
      </c>
      <c r="C2084" s="506">
        <v>6</v>
      </c>
      <c r="D2084" s="499" t="s">
        <v>15</v>
      </c>
      <c r="E2084" s="489">
        <v>3677</v>
      </c>
      <c r="F2084" s="489">
        <f>C2084*E2084</f>
        <v>22062</v>
      </c>
      <c r="G2084" s="507">
        <v>600</v>
      </c>
      <c r="H2084" s="490">
        <f>C2084*G2084</f>
        <v>3600</v>
      </c>
      <c r="I2084" s="490">
        <f>F2084+H2084</f>
        <v>25662</v>
      </c>
      <c r="J2084" s="489"/>
    </row>
    <row r="2085" spans="1:10">
      <c r="A2085" s="539"/>
      <c r="B2085" s="938" t="s">
        <v>515</v>
      </c>
      <c r="C2085" s="506">
        <v>6</v>
      </c>
      <c r="D2085" s="499" t="s">
        <v>15</v>
      </c>
      <c r="E2085" s="489">
        <v>7070</v>
      </c>
      <c r="F2085" s="489">
        <f>C2085*E2085</f>
        <v>42420</v>
      </c>
      <c r="G2085" s="507">
        <v>800</v>
      </c>
      <c r="H2085" s="490">
        <f>C2085*G2085</f>
        <v>4800</v>
      </c>
      <c r="I2085" s="490">
        <f>F2085+H2085</f>
        <v>47220</v>
      </c>
      <c r="J2085" s="489"/>
    </row>
    <row r="2086" spans="1:10">
      <c r="A2086" s="539"/>
      <c r="B2086" s="938" t="s">
        <v>517</v>
      </c>
      <c r="C2086" s="506"/>
      <c r="D2086" s="499"/>
      <c r="E2086" s="489"/>
      <c r="F2086" s="489"/>
      <c r="G2086" s="489"/>
      <c r="H2086" s="489"/>
      <c r="I2086" s="489"/>
      <c r="J2086" s="489"/>
    </row>
    <row r="2087" spans="1:10">
      <c r="A2087" s="539"/>
      <c r="B2087" s="938" t="s">
        <v>499</v>
      </c>
      <c r="C2087" s="506">
        <v>50</v>
      </c>
      <c r="D2087" s="499" t="s">
        <v>15</v>
      </c>
      <c r="E2087" s="489">
        <v>169</v>
      </c>
      <c r="F2087" s="489">
        <f>E2087*C2087</f>
        <v>8450</v>
      </c>
      <c r="G2087" s="489">
        <v>50</v>
      </c>
      <c r="H2087" s="489">
        <f>G2087*C2087</f>
        <v>2500</v>
      </c>
      <c r="I2087" s="489">
        <f>H2087+F2087</f>
        <v>10950</v>
      </c>
      <c r="J2087" s="489"/>
    </row>
    <row r="2088" spans="1:10">
      <c r="A2088" s="539"/>
      <c r="B2088" s="938" t="s">
        <v>584</v>
      </c>
      <c r="C2088" s="506">
        <v>1</v>
      </c>
      <c r="D2088" s="499" t="s">
        <v>15</v>
      </c>
      <c r="E2088" s="489">
        <v>1450</v>
      </c>
      <c r="F2088" s="489">
        <f>C2088*E2088</f>
        <v>1450</v>
      </c>
      <c r="G2088" s="489">
        <v>150</v>
      </c>
      <c r="H2088" s="489">
        <f>C2088*G2088</f>
        <v>150</v>
      </c>
      <c r="I2088" s="489">
        <f>F2088+H2088</f>
        <v>1600</v>
      </c>
      <c r="J2088" s="489"/>
    </row>
    <row r="2089" spans="1:10">
      <c r="A2089" s="537" t="s">
        <v>1236</v>
      </c>
      <c r="B2089" s="937" t="s">
        <v>520</v>
      </c>
      <c r="C2089" s="506"/>
      <c r="D2089" s="499"/>
      <c r="E2089" s="489"/>
      <c r="F2089" s="489"/>
      <c r="G2089" s="489"/>
      <c r="H2089" s="489"/>
      <c r="I2089" s="489"/>
      <c r="J2089" s="489"/>
    </row>
    <row r="2090" spans="1:10">
      <c r="A2090" s="539"/>
      <c r="B2090" s="938" t="s">
        <v>522</v>
      </c>
      <c r="C2090" s="506"/>
      <c r="D2090" s="499"/>
      <c r="E2090" s="489"/>
      <c r="F2090" s="489"/>
      <c r="G2090" s="489"/>
      <c r="H2090" s="489"/>
      <c r="I2090" s="489"/>
      <c r="J2090" s="489"/>
    </row>
    <row r="2091" spans="1:10">
      <c r="A2091" s="539"/>
      <c r="B2091" s="938" t="s">
        <v>523</v>
      </c>
      <c r="C2091" s="506">
        <v>130</v>
      </c>
      <c r="D2091" s="499" t="s">
        <v>14</v>
      </c>
      <c r="E2091" s="489">
        <v>24</v>
      </c>
      <c r="F2091" s="489">
        <f>E2091*C2091</f>
        <v>3120</v>
      </c>
      <c r="G2091" s="489">
        <v>30</v>
      </c>
      <c r="H2091" s="489">
        <f>G2091*C2091</f>
        <v>3900</v>
      </c>
      <c r="I2091" s="489">
        <f>H2091+F2091</f>
        <v>7020</v>
      </c>
      <c r="J2091" s="489"/>
    </row>
    <row r="2092" spans="1:10">
      <c r="A2092" s="539"/>
      <c r="B2092" s="938" t="s">
        <v>524</v>
      </c>
      <c r="C2092" s="506">
        <v>160</v>
      </c>
      <c r="D2092" s="499" t="s">
        <v>14</v>
      </c>
      <c r="E2092" s="489">
        <v>50</v>
      </c>
      <c r="F2092" s="489">
        <f t="shared" ref="F2092:F2097" si="171">E2092*C2092</f>
        <v>8000</v>
      </c>
      <c r="G2092" s="489">
        <v>40</v>
      </c>
      <c r="H2092" s="489">
        <f t="shared" ref="H2092:H2097" si="172">G2092*C2092</f>
        <v>6400</v>
      </c>
      <c r="I2092" s="489">
        <f t="shared" ref="I2092:I2097" si="173">H2092+F2092</f>
        <v>14400</v>
      </c>
      <c r="J2092" s="489"/>
    </row>
    <row r="2093" spans="1:10">
      <c r="A2093" s="502"/>
      <c r="B2093" s="503" t="s">
        <v>525</v>
      </c>
      <c r="C2093" s="506">
        <v>120</v>
      </c>
      <c r="D2093" s="499" t="s">
        <v>14</v>
      </c>
      <c r="E2093" s="489">
        <v>109</v>
      </c>
      <c r="F2093" s="489">
        <f t="shared" si="171"/>
        <v>13080</v>
      </c>
      <c r="G2093" s="489">
        <v>75</v>
      </c>
      <c r="H2093" s="489">
        <f t="shared" si="172"/>
        <v>9000</v>
      </c>
      <c r="I2093" s="489">
        <f t="shared" si="173"/>
        <v>22080</v>
      </c>
      <c r="J2093" s="489"/>
    </row>
    <row r="2094" spans="1:10">
      <c r="A2094" s="502"/>
      <c r="B2094" s="503" t="s">
        <v>526</v>
      </c>
      <c r="C2094" s="506">
        <v>150</v>
      </c>
      <c r="D2094" s="499" t="s">
        <v>14</v>
      </c>
      <c r="E2094" s="489">
        <v>177</v>
      </c>
      <c r="F2094" s="489">
        <f t="shared" si="171"/>
        <v>26550</v>
      </c>
      <c r="G2094" s="489">
        <v>100</v>
      </c>
      <c r="H2094" s="489">
        <f t="shared" si="172"/>
        <v>15000</v>
      </c>
      <c r="I2094" s="489">
        <f t="shared" si="173"/>
        <v>41550</v>
      </c>
      <c r="J2094" s="489"/>
    </row>
    <row r="2095" spans="1:10">
      <c r="A2095" s="539"/>
      <c r="B2095" s="938" t="s">
        <v>527</v>
      </c>
      <c r="C2095" s="506">
        <v>50</v>
      </c>
      <c r="D2095" s="499" t="s">
        <v>14</v>
      </c>
      <c r="E2095" s="489">
        <v>291</v>
      </c>
      <c r="F2095" s="489">
        <f t="shared" si="171"/>
        <v>14550</v>
      </c>
      <c r="G2095" s="489">
        <v>200</v>
      </c>
      <c r="H2095" s="489">
        <f t="shared" si="172"/>
        <v>10000</v>
      </c>
      <c r="I2095" s="489">
        <f t="shared" si="173"/>
        <v>24550</v>
      </c>
      <c r="J2095" s="489"/>
    </row>
    <row r="2096" spans="1:10">
      <c r="A2096" s="539"/>
      <c r="B2096" s="938" t="s">
        <v>507</v>
      </c>
      <c r="C2096" s="939">
        <v>1</v>
      </c>
      <c r="D2096" s="499" t="s">
        <v>508</v>
      </c>
      <c r="E2096" s="489">
        <f>FLOOR(SUM(F2091:F2095)*0.4,1)</f>
        <v>26120</v>
      </c>
      <c r="F2096" s="489">
        <f t="shared" si="171"/>
        <v>26120</v>
      </c>
      <c r="G2096" s="489">
        <f>E2096*0.3</f>
        <v>7836</v>
      </c>
      <c r="H2096" s="489">
        <f t="shared" si="172"/>
        <v>7836</v>
      </c>
      <c r="I2096" s="489">
        <f t="shared" si="173"/>
        <v>33956</v>
      </c>
      <c r="J2096" s="489"/>
    </row>
    <row r="2097" spans="1:10">
      <c r="A2097" s="539"/>
      <c r="B2097" s="938" t="s">
        <v>509</v>
      </c>
      <c r="C2097" s="939">
        <v>1</v>
      </c>
      <c r="D2097" s="499" t="s">
        <v>508</v>
      </c>
      <c r="E2097" s="489">
        <f>FLOOR(SUM(F2091:F2095)*0.3,1)</f>
        <v>19590</v>
      </c>
      <c r="F2097" s="489">
        <f t="shared" si="171"/>
        <v>19590</v>
      </c>
      <c r="G2097" s="489">
        <f>E2097*0.3</f>
        <v>5877</v>
      </c>
      <c r="H2097" s="489">
        <f t="shared" si="172"/>
        <v>5877</v>
      </c>
      <c r="I2097" s="489">
        <f t="shared" si="173"/>
        <v>25467</v>
      </c>
      <c r="J2097" s="489"/>
    </row>
    <row r="2098" spans="1:10">
      <c r="A2098" s="539"/>
      <c r="B2098" s="938" t="s">
        <v>510</v>
      </c>
      <c r="C2098" s="939">
        <v>1</v>
      </c>
      <c r="D2098" s="499" t="s">
        <v>508</v>
      </c>
      <c r="E2098" s="489">
        <f>ROUNDDOWN(SUM(F2091:F2095)*10%,0)</f>
        <v>6530</v>
      </c>
      <c r="F2098" s="489">
        <f>C2098*E2098</f>
        <v>6530</v>
      </c>
      <c r="G2098" s="489">
        <f>ROUNDDOWN(E2098*0.3,0)</f>
        <v>1959</v>
      </c>
      <c r="H2098" s="489">
        <f>C2098*G2098</f>
        <v>1959</v>
      </c>
      <c r="I2098" s="489">
        <f>F2098+H2098</f>
        <v>8489</v>
      </c>
      <c r="J2098" s="489"/>
    </row>
    <row r="2099" spans="1:10">
      <c r="A2099" s="539"/>
      <c r="B2099" s="938" t="s">
        <v>529</v>
      </c>
      <c r="C2099" s="506"/>
      <c r="D2099" s="499"/>
      <c r="E2099" s="489"/>
      <c r="F2099" s="489"/>
      <c r="G2099" s="489"/>
      <c r="H2099" s="489"/>
      <c r="I2099" s="489"/>
      <c r="J2099" s="489"/>
    </row>
    <row r="2100" spans="1:10">
      <c r="A2100" s="539"/>
      <c r="B2100" s="938" t="s">
        <v>523</v>
      </c>
      <c r="C2100" s="506">
        <v>40</v>
      </c>
      <c r="D2100" s="499" t="s">
        <v>14</v>
      </c>
      <c r="E2100" s="489">
        <v>24</v>
      </c>
      <c r="F2100" s="489">
        <f>E2100*C2100</f>
        <v>960</v>
      </c>
      <c r="G2100" s="489">
        <v>30</v>
      </c>
      <c r="H2100" s="489">
        <f>G2100*C2100</f>
        <v>1200</v>
      </c>
      <c r="I2100" s="489">
        <f>H2100+F2100</f>
        <v>2160</v>
      </c>
      <c r="J2100" s="489"/>
    </row>
    <row r="2101" spans="1:10">
      <c r="A2101" s="539"/>
      <c r="B2101" s="938" t="s">
        <v>524</v>
      </c>
      <c r="C2101" s="506">
        <v>40</v>
      </c>
      <c r="D2101" s="499" t="s">
        <v>14</v>
      </c>
      <c r="E2101" s="489">
        <v>84</v>
      </c>
      <c r="F2101" s="489">
        <f>E2101*C2101</f>
        <v>3360</v>
      </c>
      <c r="G2101" s="489">
        <v>75</v>
      </c>
      <c r="H2101" s="489">
        <f>G2101*C2101</f>
        <v>3000</v>
      </c>
      <c r="I2101" s="489">
        <f>H2101+F2101</f>
        <v>6360</v>
      </c>
      <c r="J2101" s="489"/>
    </row>
    <row r="2102" spans="1:10">
      <c r="A2102" s="539" t="s">
        <v>1</v>
      </c>
      <c r="B2102" s="938" t="s">
        <v>525</v>
      </c>
      <c r="C2102" s="506">
        <v>60</v>
      </c>
      <c r="D2102" s="499" t="s">
        <v>508</v>
      </c>
      <c r="E2102" s="489">
        <f>FLOOR(SUM(F2100:F2101)*0.4,1)</f>
        <v>1728</v>
      </c>
      <c r="F2102" s="489">
        <f>E2102*C2102</f>
        <v>103680</v>
      </c>
      <c r="G2102" s="489">
        <f>E2102*0.3</f>
        <v>518.4</v>
      </c>
      <c r="H2102" s="489">
        <f>G2102*C2102</f>
        <v>31104</v>
      </c>
      <c r="I2102" s="489">
        <f>H2102+F2102</f>
        <v>134784</v>
      </c>
      <c r="J2102" s="489"/>
    </row>
    <row r="2103" spans="1:10">
      <c r="A2103" s="539"/>
      <c r="B2103" s="938" t="s">
        <v>507</v>
      </c>
      <c r="C2103" s="506">
        <v>1</v>
      </c>
      <c r="D2103" s="499" t="s">
        <v>508</v>
      </c>
      <c r="E2103" s="489">
        <f>FLOOR(SUM(F2100:F2102)*0.4,1)</f>
        <v>43200</v>
      </c>
      <c r="F2103" s="489">
        <f>E2103*C2103</f>
        <v>43200</v>
      </c>
      <c r="G2103" s="489">
        <f>E2103*0.3</f>
        <v>12960</v>
      </c>
      <c r="H2103" s="489">
        <f>G2103*C2103</f>
        <v>12960</v>
      </c>
      <c r="I2103" s="489">
        <f>H2103+F2103</f>
        <v>56160</v>
      </c>
      <c r="J2103" s="489"/>
    </row>
    <row r="2104" spans="1:10">
      <c r="A2104" s="539"/>
      <c r="B2104" s="938" t="s">
        <v>509</v>
      </c>
      <c r="C2104" s="506">
        <v>1</v>
      </c>
      <c r="D2104" s="499" t="s">
        <v>508</v>
      </c>
      <c r="E2104" s="489">
        <f>FLOOR(SUM(F2100:F2102)*0.3,1)</f>
        <v>32400</v>
      </c>
      <c r="F2104" s="489">
        <f>E2104*C2104</f>
        <v>32400</v>
      </c>
      <c r="G2104" s="489">
        <f>E2104*0.3</f>
        <v>9720</v>
      </c>
      <c r="H2104" s="489">
        <f>G2104*C2104</f>
        <v>9720</v>
      </c>
      <c r="I2104" s="489">
        <f>H2104+F2104</f>
        <v>42120</v>
      </c>
      <c r="J2104" s="489"/>
    </row>
    <row r="2105" spans="1:10">
      <c r="A2105" s="539"/>
      <c r="B2105" s="938" t="s">
        <v>510</v>
      </c>
      <c r="C2105" s="506">
        <v>1</v>
      </c>
      <c r="D2105" s="499" t="s">
        <v>508</v>
      </c>
      <c r="E2105" s="489">
        <f>ROUNDDOWN(SUM(F2100:F2102)*10%,0)</f>
        <v>10800</v>
      </c>
      <c r="F2105" s="489">
        <f>C2105*E2105</f>
        <v>10800</v>
      </c>
      <c r="G2105" s="489">
        <f>ROUNDDOWN(E2105*0.3,0)</f>
        <v>3240</v>
      </c>
      <c r="H2105" s="489">
        <f>C2105*G2105</f>
        <v>3240</v>
      </c>
      <c r="I2105" s="489">
        <f>F2105+H2105</f>
        <v>14040</v>
      </c>
      <c r="J2105" s="489"/>
    </row>
    <row r="2106" spans="1:10">
      <c r="A2106" s="539"/>
      <c r="B2106" s="938" t="s">
        <v>530</v>
      </c>
      <c r="C2106" s="506"/>
      <c r="D2106" s="499"/>
      <c r="E2106" s="489"/>
      <c r="F2106" s="489"/>
      <c r="G2106" s="489"/>
      <c r="H2106" s="489"/>
      <c r="I2106" s="489"/>
      <c r="J2106" s="489"/>
    </row>
    <row r="2107" spans="1:10">
      <c r="A2107" s="539"/>
      <c r="B2107" s="938" t="s">
        <v>524</v>
      </c>
      <c r="C2107" s="506">
        <v>10</v>
      </c>
      <c r="D2107" s="499" t="s">
        <v>15</v>
      </c>
      <c r="E2107" s="489">
        <v>710</v>
      </c>
      <c r="F2107" s="489">
        <f>C2107*E2107</f>
        <v>7100</v>
      </c>
      <c r="G2107" s="489">
        <v>200</v>
      </c>
      <c r="H2107" s="489">
        <f>C2107*G2107</f>
        <v>2000</v>
      </c>
      <c r="I2107" s="489">
        <f>F2107+H2107</f>
        <v>9100</v>
      </c>
      <c r="J2107" s="489"/>
    </row>
    <row r="2108" spans="1:10">
      <c r="A2108" s="539"/>
      <c r="B2108" s="938" t="s">
        <v>531</v>
      </c>
      <c r="C2108" s="506"/>
      <c r="D2108" s="499"/>
      <c r="E2108" s="489"/>
      <c r="F2108" s="489"/>
      <c r="G2108" s="489"/>
      <c r="H2108" s="489"/>
      <c r="I2108" s="489"/>
      <c r="J2108" s="489"/>
    </row>
    <row r="2109" spans="1:10">
      <c r="A2109" s="502"/>
      <c r="B2109" s="549" t="s">
        <v>524</v>
      </c>
      <c r="C2109" s="506">
        <v>2</v>
      </c>
      <c r="D2109" s="499" t="s">
        <v>15</v>
      </c>
      <c r="E2109" s="489">
        <v>600</v>
      </c>
      <c r="F2109" s="489">
        <f>C2109*E2109</f>
        <v>1200</v>
      </c>
      <c r="G2109" s="507">
        <v>200</v>
      </c>
      <c r="H2109" s="490">
        <f>C2109*G2109</f>
        <v>400</v>
      </c>
      <c r="I2109" s="490">
        <f>F2109+H2109</f>
        <v>1600</v>
      </c>
      <c r="J2109" s="489"/>
    </row>
    <row r="2110" spans="1:10">
      <c r="A2110" s="502"/>
      <c r="B2110" s="561" t="s">
        <v>525</v>
      </c>
      <c r="C2110" s="506">
        <v>5</v>
      </c>
      <c r="D2110" s="499" t="s">
        <v>15</v>
      </c>
      <c r="E2110" s="489">
        <v>680</v>
      </c>
      <c r="F2110" s="489">
        <f>C2110*E2110</f>
        <v>3400</v>
      </c>
      <c r="G2110" s="507">
        <v>300</v>
      </c>
      <c r="H2110" s="490">
        <f>C2110*G2110</f>
        <v>1500</v>
      </c>
      <c r="I2110" s="490">
        <f>F2110+H2110</f>
        <v>4900</v>
      </c>
      <c r="J2110" s="489"/>
    </row>
    <row r="2111" spans="1:10">
      <c r="A2111" s="548"/>
      <c r="B2111" s="549" t="s">
        <v>526</v>
      </c>
      <c r="C2111" s="506">
        <v>5</v>
      </c>
      <c r="D2111" s="499" t="s">
        <v>15</v>
      </c>
      <c r="E2111" s="489">
        <v>750</v>
      </c>
      <c r="F2111" s="489">
        <f>C2111*E2111</f>
        <v>3750</v>
      </c>
      <c r="G2111" s="507">
        <v>400</v>
      </c>
      <c r="H2111" s="490">
        <f>C2111*G2111</f>
        <v>2000</v>
      </c>
      <c r="I2111" s="490">
        <f>F2111+H2111</f>
        <v>5750</v>
      </c>
      <c r="J2111" s="489"/>
    </row>
    <row r="2112" spans="1:10">
      <c r="A2112" s="548"/>
      <c r="B2112" s="549" t="s">
        <v>535</v>
      </c>
      <c r="C2112" s="506">
        <v>1</v>
      </c>
      <c r="D2112" s="499" t="s">
        <v>508</v>
      </c>
      <c r="E2112" s="489">
        <f>FLOOR((SUM(F2092:F2095)+SUM(F2101:F2102))*0.1,1)</f>
        <v>16922</v>
      </c>
      <c r="F2112" s="489">
        <f>E2112*C2112</f>
        <v>16922</v>
      </c>
      <c r="G2112" s="507">
        <f>E2112*0.3</f>
        <v>5076.5999999999995</v>
      </c>
      <c r="H2112" s="490">
        <f>G2112*C2112</f>
        <v>5076.5999999999995</v>
      </c>
      <c r="I2112" s="490">
        <f>F2112+H2112</f>
        <v>21998.6</v>
      </c>
      <c r="J2112" s="489"/>
    </row>
    <row r="2113" spans="1:10">
      <c r="A2113" s="551" t="s">
        <v>1237</v>
      </c>
      <c r="B2113" s="552" t="s">
        <v>536</v>
      </c>
      <c r="C2113" s="506"/>
      <c r="D2113" s="499"/>
      <c r="E2113" s="489"/>
      <c r="F2113" s="489"/>
      <c r="G2113" s="507"/>
      <c r="H2113" s="490"/>
      <c r="I2113" s="490"/>
      <c r="J2113" s="489"/>
    </row>
    <row r="2114" spans="1:10">
      <c r="A2114" s="548"/>
      <c r="B2114" s="549" t="s">
        <v>569</v>
      </c>
      <c r="C2114" s="506"/>
      <c r="D2114" s="499"/>
      <c r="E2114" s="489"/>
      <c r="F2114" s="940"/>
      <c r="G2114" s="507"/>
      <c r="H2114" s="940"/>
      <c r="I2114" s="940"/>
      <c r="J2114" s="489"/>
    </row>
    <row r="2115" spans="1:10">
      <c r="A2115" s="548"/>
      <c r="B2115" s="549" t="s">
        <v>570</v>
      </c>
      <c r="C2115" s="506">
        <v>45</v>
      </c>
      <c r="D2115" s="942" t="s">
        <v>565</v>
      </c>
      <c r="E2115" s="940">
        <v>865</v>
      </c>
      <c r="F2115" s="940">
        <f>C2115*E2115</f>
        <v>38925</v>
      </c>
      <c r="G2115" s="940">
        <v>600</v>
      </c>
      <c r="H2115" s="940">
        <f>C2115*G2115</f>
        <v>27000</v>
      </c>
      <c r="I2115" s="940">
        <f>F2115+H2115</f>
        <v>65925</v>
      </c>
      <c r="J2115" s="489"/>
    </row>
    <row r="2116" spans="1:10">
      <c r="A2116" s="548"/>
      <c r="B2116" s="549" t="s">
        <v>538</v>
      </c>
      <c r="C2116" s="506"/>
      <c r="D2116" s="499"/>
      <c r="E2116" s="489"/>
      <c r="F2116" s="489"/>
      <c r="G2116" s="507"/>
      <c r="H2116" s="490"/>
      <c r="I2116" s="490"/>
      <c r="J2116" s="489"/>
    </row>
    <row r="2117" spans="1:10">
      <c r="A2117" s="548"/>
      <c r="B2117" s="549" t="s">
        <v>527</v>
      </c>
      <c r="C2117" s="506">
        <v>150</v>
      </c>
      <c r="D2117" s="499" t="s">
        <v>14</v>
      </c>
      <c r="E2117" s="489">
        <v>291</v>
      </c>
      <c r="F2117" s="489">
        <f>E2117*C2117</f>
        <v>43650</v>
      </c>
      <c r="G2117" s="507">
        <v>100</v>
      </c>
      <c r="H2117" s="490">
        <f>G2117*C2117</f>
        <v>15000</v>
      </c>
      <c r="I2117" s="490">
        <f>H2117+F2117</f>
        <v>58650</v>
      </c>
      <c r="J2117" s="489"/>
    </row>
    <row r="2118" spans="1:10">
      <c r="A2118" s="548"/>
      <c r="B2118" s="549" t="s">
        <v>507</v>
      </c>
      <c r="C2118" s="506">
        <v>1</v>
      </c>
      <c r="D2118" s="499" t="s">
        <v>508</v>
      </c>
      <c r="E2118" s="489">
        <f>FLOOR(SUM(F2117)*0.4,10)</f>
        <v>17460</v>
      </c>
      <c r="F2118" s="489">
        <f>E2118*C2118</f>
        <v>17460</v>
      </c>
      <c r="G2118" s="507">
        <f>E2118*0.3</f>
        <v>5238</v>
      </c>
      <c r="H2118" s="490">
        <f>G2118*C2118</f>
        <v>5238</v>
      </c>
      <c r="I2118" s="490">
        <f>H2118+F2118</f>
        <v>22698</v>
      </c>
      <c r="J2118" s="489"/>
    </row>
    <row r="2119" spans="1:10">
      <c r="A2119" s="548"/>
      <c r="B2119" s="549" t="s">
        <v>509</v>
      </c>
      <c r="C2119" s="506">
        <v>1</v>
      </c>
      <c r="D2119" s="499" t="s">
        <v>508</v>
      </c>
      <c r="E2119" s="489">
        <f>FLOOR(SUM(F2117)*0.3,10)</f>
        <v>13090</v>
      </c>
      <c r="F2119" s="489">
        <f>E2119*C2119</f>
        <v>13090</v>
      </c>
      <c r="G2119" s="507">
        <f>E2119*0.3</f>
        <v>3927</v>
      </c>
      <c r="H2119" s="490">
        <f>G2119*C2119</f>
        <v>3927</v>
      </c>
      <c r="I2119" s="490">
        <f>H2119+F2119</f>
        <v>17017</v>
      </c>
      <c r="J2119" s="489"/>
    </row>
    <row r="2120" spans="1:10">
      <c r="A2120" s="548"/>
      <c r="B2120" s="549" t="s">
        <v>539</v>
      </c>
      <c r="C2120" s="506">
        <v>1</v>
      </c>
      <c r="D2120" s="499" t="s">
        <v>508</v>
      </c>
      <c r="E2120" s="489">
        <f>FLOOR(SUM(F2117)*0.1,10)</f>
        <v>4360</v>
      </c>
      <c r="F2120" s="489">
        <f>E2120*C2120</f>
        <v>4360</v>
      </c>
      <c r="G2120" s="507">
        <f>E2120*0.3</f>
        <v>1308</v>
      </c>
      <c r="H2120" s="490">
        <f>G2120*C2120</f>
        <v>1308</v>
      </c>
      <c r="I2120" s="490">
        <f>H2120+F2120</f>
        <v>5668</v>
      </c>
      <c r="J2120" s="489"/>
    </row>
    <row r="2121" spans="1:10">
      <c r="A2121" s="551" t="s">
        <v>1238</v>
      </c>
      <c r="B2121" s="552" t="s">
        <v>543</v>
      </c>
      <c r="C2121" s="506"/>
      <c r="D2121" s="499"/>
      <c r="E2121" s="489"/>
      <c r="F2121" s="489"/>
      <c r="G2121" s="507"/>
      <c r="H2121" s="490"/>
      <c r="I2121" s="660"/>
      <c r="J2121" s="508"/>
    </row>
    <row r="2122" spans="1:10">
      <c r="A2122" s="548"/>
      <c r="B2122" s="549" t="s">
        <v>545</v>
      </c>
      <c r="C2122" s="506">
        <v>4</v>
      </c>
      <c r="D2122" s="499" t="s">
        <v>546</v>
      </c>
      <c r="E2122" s="489">
        <v>14000</v>
      </c>
      <c r="F2122" s="489">
        <f>C2122*E2122</f>
        <v>56000</v>
      </c>
      <c r="G2122" s="507">
        <v>1000</v>
      </c>
      <c r="H2122" s="490">
        <f>C2122*G2122</f>
        <v>4000</v>
      </c>
      <c r="I2122" s="490">
        <f>F2122+H2122</f>
        <v>60000</v>
      </c>
      <c r="J2122" s="489"/>
    </row>
    <row r="2123" spans="1:10">
      <c r="A2123" s="548"/>
      <c r="B2123" s="549" t="s">
        <v>548</v>
      </c>
      <c r="C2123" s="506">
        <v>1</v>
      </c>
      <c r="D2123" s="499" t="s">
        <v>546</v>
      </c>
      <c r="E2123" s="489">
        <v>5800</v>
      </c>
      <c r="F2123" s="489">
        <f>C2123*E2123</f>
        <v>5800</v>
      </c>
      <c r="G2123" s="507">
        <v>100</v>
      </c>
      <c r="H2123" s="490">
        <f>C2123*G2123</f>
        <v>100</v>
      </c>
      <c r="I2123" s="490">
        <f>F2123+H2123</f>
        <v>5900</v>
      </c>
      <c r="J2123" s="489"/>
    </row>
    <row r="2124" spans="1:10">
      <c r="A2124" s="548"/>
      <c r="B2124" s="549" t="s">
        <v>552</v>
      </c>
      <c r="C2124" s="506">
        <v>1</v>
      </c>
      <c r="D2124" s="499" t="s">
        <v>546</v>
      </c>
      <c r="E2124" s="489">
        <v>855</v>
      </c>
      <c r="F2124" s="489">
        <f>C2124*E2124</f>
        <v>855</v>
      </c>
      <c r="G2124" s="507">
        <v>80</v>
      </c>
      <c r="H2124" s="490">
        <f>C2124*G2124</f>
        <v>80</v>
      </c>
      <c r="I2124" s="490">
        <f>F2124+H2124</f>
        <v>935</v>
      </c>
      <c r="J2124" s="489"/>
    </row>
    <row r="2125" spans="1:10">
      <c r="A2125" s="548"/>
      <c r="B2125" s="549" t="s">
        <v>553</v>
      </c>
      <c r="C2125" s="506"/>
      <c r="D2125" s="499"/>
      <c r="E2125" s="489"/>
      <c r="F2125" s="489"/>
      <c r="G2125" s="507"/>
      <c r="H2125" s="490"/>
      <c r="I2125" s="490"/>
      <c r="J2125" s="489"/>
    </row>
    <row r="2126" spans="1:10">
      <c r="A2126" s="548"/>
      <c r="B2126" s="549" t="s">
        <v>554</v>
      </c>
      <c r="C2126" s="506">
        <v>1100</v>
      </c>
      <c r="D2126" s="499" t="s">
        <v>555</v>
      </c>
      <c r="E2126" s="489">
        <v>79</v>
      </c>
      <c r="F2126" s="489">
        <f>C2126*E2126</f>
        <v>86900</v>
      </c>
      <c r="G2126" s="507">
        <v>60</v>
      </c>
      <c r="H2126" s="490">
        <f>C2126*G2126</f>
        <v>66000</v>
      </c>
      <c r="I2126" s="490">
        <f>F2126+H2126</f>
        <v>152900</v>
      </c>
      <c r="J2126" s="489"/>
    </row>
    <row r="2127" spans="1:10">
      <c r="A2127" s="548"/>
      <c r="B2127" s="549" t="s">
        <v>556</v>
      </c>
      <c r="C2127" s="506">
        <v>30</v>
      </c>
      <c r="D2127" s="499" t="s">
        <v>555</v>
      </c>
      <c r="E2127" s="489">
        <v>108</v>
      </c>
      <c r="F2127" s="489">
        <f>C2127*E2127</f>
        <v>3240</v>
      </c>
      <c r="G2127" s="507">
        <v>80</v>
      </c>
      <c r="H2127" s="490">
        <f>C2127*G2127</f>
        <v>2400</v>
      </c>
      <c r="I2127" s="490">
        <f>F2127+H2127</f>
        <v>5640</v>
      </c>
      <c r="J2127" s="489"/>
    </row>
    <row r="2128" spans="1:10">
      <c r="A2128" s="548"/>
      <c r="B2128" s="549" t="s">
        <v>557</v>
      </c>
      <c r="C2128" s="506">
        <v>100</v>
      </c>
      <c r="D2128" s="499" t="s">
        <v>555</v>
      </c>
      <c r="E2128" s="489">
        <v>125</v>
      </c>
      <c r="F2128" s="489">
        <f>C2128*E2128</f>
        <v>12500</v>
      </c>
      <c r="G2128" s="507">
        <v>90</v>
      </c>
      <c r="H2128" s="490">
        <f>C2128*G2128</f>
        <v>9000</v>
      </c>
      <c r="I2128" s="490">
        <f>F2128+H2128</f>
        <v>21500</v>
      </c>
      <c r="J2128" s="489"/>
    </row>
    <row r="2129" spans="1:10">
      <c r="A2129" s="548"/>
      <c r="B2129" s="549" t="s">
        <v>558</v>
      </c>
      <c r="C2129" s="506">
        <v>150</v>
      </c>
      <c r="D2129" s="499" t="s">
        <v>555</v>
      </c>
      <c r="E2129" s="489">
        <v>170</v>
      </c>
      <c r="F2129" s="489">
        <f>C2129*E2129</f>
        <v>25500</v>
      </c>
      <c r="G2129" s="507">
        <v>120</v>
      </c>
      <c r="H2129" s="490">
        <f>C2129*G2129</f>
        <v>18000</v>
      </c>
      <c r="I2129" s="490">
        <f>F2129+H2129</f>
        <v>43500</v>
      </c>
      <c r="J2129" s="489"/>
    </row>
    <row r="2130" spans="1:10">
      <c r="A2130" s="548"/>
      <c r="B2130" s="549" t="s">
        <v>559</v>
      </c>
      <c r="C2130" s="506">
        <v>230</v>
      </c>
      <c r="D2130" s="499" t="s">
        <v>555</v>
      </c>
      <c r="E2130" s="489">
        <v>270</v>
      </c>
      <c r="F2130" s="489">
        <f>C2130*E2130</f>
        <v>62100</v>
      </c>
      <c r="G2130" s="507">
        <v>200</v>
      </c>
      <c r="H2130" s="490">
        <f>C2130*G2130</f>
        <v>46000</v>
      </c>
      <c r="I2130" s="490">
        <f>F2130+H2130</f>
        <v>108100</v>
      </c>
      <c r="J2130" s="489"/>
    </row>
    <row r="2131" spans="1:10">
      <c r="A2131" s="548"/>
      <c r="B2131" s="549" t="s">
        <v>1503</v>
      </c>
      <c r="C2131" s="506">
        <v>95</v>
      </c>
      <c r="D2131" s="499" t="s">
        <v>14</v>
      </c>
      <c r="E2131" s="489">
        <v>109</v>
      </c>
      <c r="F2131" s="489">
        <f>E2131*C2131</f>
        <v>10355</v>
      </c>
      <c r="G2131" s="507">
        <v>75</v>
      </c>
      <c r="H2131" s="490">
        <f>G2131*C2131</f>
        <v>7125</v>
      </c>
      <c r="I2131" s="490">
        <f>H2131+F2131</f>
        <v>17480</v>
      </c>
      <c r="J2131" s="489"/>
    </row>
    <row r="2132" spans="1:10">
      <c r="A2132" s="548"/>
      <c r="B2132" s="549" t="s">
        <v>560</v>
      </c>
      <c r="C2132" s="506">
        <v>210</v>
      </c>
      <c r="D2132" s="499" t="s">
        <v>555</v>
      </c>
      <c r="E2132" s="489">
        <v>523</v>
      </c>
      <c r="F2132" s="489">
        <f>C2132*E2132</f>
        <v>109830</v>
      </c>
      <c r="G2132" s="507">
        <v>375</v>
      </c>
      <c r="H2132" s="490">
        <f>C2132*G2132</f>
        <v>78750</v>
      </c>
      <c r="I2132" s="490">
        <f>F2132+H2132</f>
        <v>188580</v>
      </c>
      <c r="J2132" s="489"/>
    </row>
    <row r="2133" spans="1:10">
      <c r="A2133" s="548"/>
      <c r="B2133" s="549" t="s">
        <v>507</v>
      </c>
      <c r="C2133" s="506">
        <v>1</v>
      </c>
      <c r="D2133" s="499" t="s">
        <v>508</v>
      </c>
      <c r="E2133" s="489">
        <f>FLOOR(SUM(F2126:F2132)*0.5,1)</f>
        <v>155212</v>
      </c>
      <c r="F2133" s="489">
        <f>E2133*C2133</f>
        <v>155212</v>
      </c>
      <c r="G2133" s="507">
        <f>E2133*0.3</f>
        <v>46563.6</v>
      </c>
      <c r="H2133" s="490">
        <f>G2133*C2133</f>
        <v>46563.6</v>
      </c>
      <c r="I2133" s="490">
        <f>F2133+H2133</f>
        <v>201775.6</v>
      </c>
      <c r="J2133" s="489"/>
    </row>
    <row r="2134" spans="1:10">
      <c r="A2134" s="548"/>
      <c r="B2134" s="549" t="s">
        <v>509</v>
      </c>
      <c r="C2134" s="506">
        <v>1</v>
      </c>
      <c r="D2134" s="499" t="s">
        <v>508</v>
      </c>
      <c r="E2134" s="489">
        <f>FLOOR(SUM(F2126:F2132)*0.2,1)</f>
        <v>62085</v>
      </c>
      <c r="F2134" s="489">
        <f>E2134*C2134</f>
        <v>62085</v>
      </c>
      <c r="G2134" s="507">
        <f>E2134*0.3</f>
        <v>18625.5</v>
      </c>
      <c r="H2134" s="490">
        <f>G2134*C2134</f>
        <v>18625.5</v>
      </c>
      <c r="I2134" s="490">
        <f>F2134+H2134</f>
        <v>80710.5</v>
      </c>
      <c r="J2134" s="489"/>
    </row>
    <row r="2135" spans="1:10">
      <c r="A2135" s="548"/>
      <c r="B2135" s="549" t="s">
        <v>510</v>
      </c>
      <c r="C2135" s="506">
        <v>1</v>
      </c>
      <c r="D2135" s="499" t="s">
        <v>508</v>
      </c>
      <c r="E2135" s="489">
        <f>ROUNDDOWN(SUM(F2126:F2132)*10%,0)</f>
        <v>31042</v>
      </c>
      <c r="F2135" s="489">
        <f>C2135*E2135</f>
        <v>31042</v>
      </c>
      <c r="G2135" s="507">
        <f>ROUNDDOWN(E2135*0.3,0)</f>
        <v>9312</v>
      </c>
      <c r="H2135" s="490">
        <f>C2135*G2135</f>
        <v>9312</v>
      </c>
      <c r="I2135" s="490">
        <f>F2135+H2135</f>
        <v>40354</v>
      </c>
      <c r="J2135" s="489"/>
    </row>
    <row r="2136" spans="1:10">
      <c r="A2136" s="548"/>
      <c r="B2136" s="549" t="s">
        <v>563</v>
      </c>
      <c r="C2136" s="506"/>
      <c r="D2136" s="499"/>
      <c r="E2136" s="489"/>
      <c r="F2136" s="489"/>
      <c r="G2136" s="507"/>
      <c r="H2136" s="490"/>
      <c r="I2136" s="490"/>
      <c r="J2136" s="489"/>
    </row>
    <row r="2137" spans="1:10">
      <c r="A2137" s="548"/>
      <c r="B2137" s="549" t="s">
        <v>564</v>
      </c>
      <c r="C2137" s="506">
        <v>651</v>
      </c>
      <c r="D2137" s="499" t="s">
        <v>565</v>
      </c>
      <c r="E2137" s="489">
        <v>580</v>
      </c>
      <c r="F2137" s="489">
        <f>C2137*E2137</f>
        <v>377580</v>
      </c>
      <c r="G2137" s="507">
        <v>50</v>
      </c>
      <c r="H2137" s="490">
        <f>C2137*G2137</f>
        <v>32550</v>
      </c>
      <c r="I2137" s="490">
        <f>F2137+H2137</f>
        <v>410130</v>
      </c>
      <c r="J2137" s="489"/>
    </row>
    <row r="2138" spans="1:10">
      <c r="A2138" s="548"/>
      <c r="B2138" s="549" t="s">
        <v>566</v>
      </c>
      <c r="C2138" s="506"/>
      <c r="D2138" s="499"/>
      <c r="E2138" s="489"/>
      <c r="F2138" s="489"/>
      <c r="G2138" s="507"/>
      <c r="H2138" s="490"/>
      <c r="I2138" s="490"/>
      <c r="J2138" s="489"/>
    </row>
    <row r="2139" spans="1:10">
      <c r="A2139" s="548"/>
      <c r="B2139" s="549" t="s">
        <v>593</v>
      </c>
      <c r="C2139" s="506"/>
      <c r="D2139" s="499"/>
      <c r="E2139" s="489"/>
      <c r="F2139" s="489"/>
      <c r="G2139" s="507"/>
      <c r="H2139" s="490"/>
      <c r="I2139" s="490"/>
      <c r="J2139" s="489"/>
    </row>
    <row r="2140" spans="1:10">
      <c r="A2140" s="548"/>
      <c r="B2140" s="549" t="s">
        <v>578</v>
      </c>
      <c r="C2140" s="506">
        <v>1</v>
      </c>
      <c r="D2140" s="499" t="s">
        <v>546</v>
      </c>
      <c r="E2140" s="489">
        <v>12200</v>
      </c>
      <c r="F2140" s="489">
        <f>C2140*E2140</f>
        <v>12200</v>
      </c>
      <c r="G2140" s="507">
        <v>600</v>
      </c>
      <c r="H2140" s="490">
        <f>C2140*G2140</f>
        <v>600</v>
      </c>
      <c r="I2140" s="490">
        <f>F2140+H2140</f>
        <v>12800</v>
      </c>
      <c r="J2140" s="489"/>
    </row>
    <row r="2141" spans="1:10">
      <c r="A2141" s="548"/>
      <c r="B2141" s="549" t="s">
        <v>596</v>
      </c>
      <c r="C2141" s="506"/>
      <c r="D2141" s="499"/>
      <c r="E2141" s="489"/>
      <c r="F2141" s="489"/>
      <c r="G2141" s="507"/>
      <c r="H2141" s="490"/>
      <c r="I2141" s="490"/>
      <c r="J2141" s="489"/>
    </row>
    <row r="2142" spans="1:10">
      <c r="A2142" s="548"/>
      <c r="B2142" s="549" t="s">
        <v>578</v>
      </c>
      <c r="C2142" s="506">
        <v>1</v>
      </c>
      <c r="D2142" s="499" t="s">
        <v>574</v>
      </c>
      <c r="E2142" s="489">
        <v>20000</v>
      </c>
      <c r="F2142" s="489">
        <f>C2142*E2142</f>
        <v>20000</v>
      </c>
      <c r="G2142" s="507">
        <v>500</v>
      </c>
      <c r="H2142" s="490">
        <f>C2142*G2142</f>
        <v>500</v>
      </c>
      <c r="I2142" s="490">
        <f>F2142+H2142</f>
        <v>20500</v>
      </c>
      <c r="J2142" s="489"/>
    </row>
    <row r="2143" spans="1:10">
      <c r="A2143" s="548"/>
      <c r="B2143" s="549" t="s">
        <v>597</v>
      </c>
      <c r="C2143" s="506">
        <v>1</v>
      </c>
      <c r="D2143" s="499" t="s">
        <v>574</v>
      </c>
      <c r="E2143" s="489">
        <v>9360</v>
      </c>
      <c r="F2143" s="489">
        <f>C2143*E2143</f>
        <v>9360</v>
      </c>
      <c r="G2143" s="507">
        <v>150</v>
      </c>
      <c r="H2143" s="490">
        <f>C2143*G2143</f>
        <v>150</v>
      </c>
      <c r="I2143" s="490">
        <f>F2143+H2143</f>
        <v>9510</v>
      </c>
      <c r="J2143" s="489"/>
    </row>
    <row r="2144" spans="1:10">
      <c r="A2144" s="548"/>
      <c r="B2144" s="549" t="s">
        <v>598</v>
      </c>
      <c r="C2144" s="506"/>
      <c r="D2144" s="499"/>
      <c r="E2144" s="489"/>
      <c r="F2144" s="489"/>
      <c r="G2144" s="507"/>
      <c r="H2144" s="490"/>
      <c r="I2144" s="490"/>
      <c r="J2144" s="489"/>
    </row>
    <row r="2145" spans="1:10">
      <c r="A2145" s="548"/>
      <c r="B2145" s="549" t="s">
        <v>554</v>
      </c>
      <c r="C2145" s="506">
        <v>2</v>
      </c>
      <c r="D2145" s="499" t="s">
        <v>574</v>
      </c>
      <c r="E2145" s="489">
        <v>11400</v>
      </c>
      <c r="F2145" s="489">
        <f>C2145*E2145</f>
        <v>22800</v>
      </c>
      <c r="G2145" s="507">
        <v>300</v>
      </c>
      <c r="H2145" s="490">
        <f>C2145*G2145</f>
        <v>600</v>
      </c>
      <c r="I2145" s="490">
        <f>F2145+H2145</f>
        <v>23400</v>
      </c>
      <c r="J2145" s="489"/>
    </row>
    <row r="2146" spans="1:10">
      <c r="A2146" s="548"/>
      <c r="B2146" s="549" t="s">
        <v>600</v>
      </c>
      <c r="C2146" s="506"/>
      <c r="D2146" s="499"/>
      <c r="E2146" s="489"/>
      <c r="F2146" s="489"/>
      <c r="G2146" s="507"/>
      <c r="H2146" s="490"/>
      <c r="I2146" s="490"/>
      <c r="J2146" s="489"/>
    </row>
    <row r="2147" spans="1:10">
      <c r="A2147" s="548"/>
      <c r="B2147" s="549" t="s">
        <v>554</v>
      </c>
      <c r="C2147" s="506">
        <v>1</v>
      </c>
      <c r="D2147" s="499" t="s">
        <v>565</v>
      </c>
      <c r="E2147" s="489">
        <v>500</v>
      </c>
      <c r="F2147" s="489">
        <f>C2147*E2147</f>
        <v>500</v>
      </c>
      <c r="G2147" s="507">
        <v>200</v>
      </c>
      <c r="H2147" s="490">
        <f>C2147*G2147</f>
        <v>200</v>
      </c>
      <c r="I2147" s="490">
        <f>F2147+H2147</f>
        <v>700</v>
      </c>
      <c r="J2147" s="489"/>
    </row>
    <row r="2148" spans="1:10">
      <c r="A2148" s="562"/>
      <c r="B2148" s="537"/>
      <c r="C2148" s="506"/>
      <c r="D2148" s="499"/>
      <c r="E2148" s="489"/>
      <c r="F2148" s="489"/>
      <c r="G2148" s="507"/>
      <c r="H2148" s="489"/>
      <c r="I2148" s="489"/>
      <c r="J2148" s="489"/>
    </row>
    <row r="2149" spans="1:10">
      <c r="A2149" s="551" t="s">
        <v>551</v>
      </c>
      <c r="B2149" s="1155" t="s">
        <v>572</v>
      </c>
      <c r="C2149" s="506"/>
      <c r="D2149" s="499"/>
      <c r="E2149" s="489"/>
      <c r="F2149" s="489"/>
      <c r="G2149" s="507"/>
      <c r="H2149" s="490"/>
      <c r="I2149" s="490"/>
      <c r="J2149" s="489"/>
    </row>
    <row r="2150" spans="1:10">
      <c r="A2150" s="551" t="s">
        <v>1239</v>
      </c>
      <c r="B2150" s="552" t="s">
        <v>520</v>
      </c>
      <c r="C2150" s="506"/>
      <c r="D2150" s="499"/>
      <c r="E2150" s="489"/>
      <c r="F2150" s="489"/>
      <c r="G2150" s="507"/>
      <c r="H2150" s="490"/>
      <c r="I2150" s="490"/>
      <c r="J2150" s="489"/>
    </row>
    <row r="2151" spans="1:10">
      <c r="A2151" s="548"/>
      <c r="B2151" s="549" t="s">
        <v>529</v>
      </c>
      <c r="C2151" s="506"/>
      <c r="D2151" s="499"/>
      <c r="E2151" s="489"/>
      <c r="F2151" s="489"/>
      <c r="G2151" s="507"/>
      <c r="H2151" s="490"/>
      <c r="I2151" s="490"/>
      <c r="J2151" s="489"/>
    </row>
    <row r="2152" spans="1:10">
      <c r="A2152" s="548"/>
      <c r="B2152" s="549" t="s">
        <v>524</v>
      </c>
      <c r="C2152" s="506">
        <v>20</v>
      </c>
      <c r="D2152" s="499" t="s">
        <v>14</v>
      </c>
      <c r="E2152" s="489">
        <v>84</v>
      </c>
      <c r="F2152" s="489">
        <f>E2152*C2152</f>
        <v>1680</v>
      </c>
      <c r="G2152" s="507">
        <v>75</v>
      </c>
      <c r="H2152" s="490">
        <f>G2152*C2152</f>
        <v>1500</v>
      </c>
      <c r="I2152" s="490">
        <f>H2152+F2152</f>
        <v>3180</v>
      </c>
      <c r="J2152" s="489"/>
    </row>
    <row r="2153" spans="1:10">
      <c r="A2153" s="548" t="s">
        <v>1</v>
      </c>
      <c r="B2153" s="549" t="s">
        <v>525</v>
      </c>
      <c r="C2153" s="506">
        <v>20</v>
      </c>
      <c r="D2153" s="499" t="s">
        <v>14</v>
      </c>
      <c r="E2153" s="489">
        <f>FLOOR(SUM(F2152:F2152)*0.4,1)</f>
        <v>672</v>
      </c>
      <c r="F2153" s="489">
        <f>E2153*C2153</f>
        <v>13440</v>
      </c>
      <c r="G2153" s="507">
        <f>E2153*0.3</f>
        <v>201.6</v>
      </c>
      <c r="H2153" s="490">
        <f>G2153*C2153</f>
        <v>4032</v>
      </c>
      <c r="I2153" s="490">
        <f>H2153+F2153</f>
        <v>17472</v>
      </c>
      <c r="J2153" s="489"/>
    </row>
    <row r="2154" spans="1:10">
      <c r="A2154" s="548"/>
      <c r="B2154" s="549" t="s">
        <v>507</v>
      </c>
      <c r="C2154" s="506">
        <v>1</v>
      </c>
      <c r="D2154" s="499" t="s">
        <v>508</v>
      </c>
      <c r="E2154" s="489">
        <f>FLOOR(SUM(F2152:F2153)*0.4,1)</f>
        <v>6048</v>
      </c>
      <c r="F2154" s="489">
        <f>E2154*C2154</f>
        <v>6048</v>
      </c>
      <c r="G2154" s="507">
        <f>E2154*0.3</f>
        <v>1814.3999999999999</v>
      </c>
      <c r="H2154" s="490">
        <f>G2154*C2154</f>
        <v>1814.3999999999999</v>
      </c>
      <c r="I2154" s="490">
        <f>H2154+F2154</f>
        <v>7862.4</v>
      </c>
      <c r="J2154" s="489"/>
    </row>
    <row r="2155" spans="1:10">
      <c r="A2155" s="548"/>
      <c r="B2155" s="549" t="s">
        <v>509</v>
      </c>
      <c r="C2155" s="506">
        <v>1</v>
      </c>
      <c r="D2155" s="499" t="s">
        <v>508</v>
      </c>
      <c r="E2155" s="489">
        <f>FLOOR(SUM(F2152:F2153)*0.3,1)</f>
        <v>4536</v>
      </c>
      <c r="F2155" s="489">
        <f>E2155*C2155</f>
        <v>4536</v>
      </c>
      <c r="G2155" s="507">
        <f>E2155*0.3</f>
        <v>1360.8</v>
      </c>
      <c r="H2155" s="490">
        <f>G2155*C2155</f>
        <v>1360.8</v>
      </c>
      <c r="I2155" s="490">
        <f>H2155+F2155</f>
        <v>5896.8</v>
      </c>
      <c r="J2155" s="489"/>
    </row>
    <row r="2156" spans="1:10">
      <c r="A2156" s="548"/>
      <c r="B2156" s="549" t="s">
        <v>510</v>
      </c>
      <c r="C2156" s="506">
        <v>1</v>
      </c>
      <c r="D2156" s="499" t="s">
        <v>508</v>
      </c>
      <c r="E2156" s="489">
        <f>ROUNDDOWN(SUM(F2152:F2153)*10%,0)</f>
        <v>1512</v>
      </c>
      <c r="F2156" s="489">
        <f>C2156*E2156</f>
        <v>1512</v>
      </c>
      <c r="G2156" s="507">
        <f>ROUNDDOWN(E2156*0.3,0)</f>
        <v>453</v>
      </c>
      <c r="H2156" s="490">
        <f>C2156*G2156</f>
        <v>453</v>
      </c>
      <c r="I2156" s="490">
        <f>F2156+H2156</f>
        <v>1965</v>
      </c>
      <c r="J2156" s="489"/>
    </row>
    <row r="2157" spans="1:10">
      <c r="A2157" s="539"/>
      <c r="B2157" s="938" t="s">
        <v>573</v>
      </c>
      <c r="C2157" s="506"/>
      <c r="D2157" s="499"/>
      <c r="E2157" s="489"/>
      <c r="F2157" s="489"/>
      <c r="G2157" s="489"/>
      <c r="H2157" s="489"/>
      <c r="I2157" s="489"/>
      <c r="J2157" s="489"/>
    </row>
    <row r="2158" spans="1:10">
      <c r="A2158" s="539"/>
      <c r="B2158" s="954" t="s">
        <v>513</v>
      </c>
      <c r="C2158" s="506">
        <v>4</v>
      </c>
      <c r="D2158" s="489" t="s">
        <v>574</v>
      </c>
      <c r="E2158" s="489">
        <v>460</v>
      </c>
      <c r="F2158" s="489">
        <f>C2158*E2158</f>
        <v>1840</v>
      </c>
      <c r="G2158" s="489">
        <v>250</v>
      </c>
      <c r="H2158" s="489">
        <f>C2158*G2158</f>
        <v>1000</v>
      </c>
      <c r="I2158" s="490">
        <f>F2158+H2158</f>
        <v>2840</v>
      </c>
      <c r="J2158" s="489"/>
    </row>
    <row r="2159" spans="1:10">
      <c r="A2159" s="496" t="s">
        <v>1240</v>
      </c>
      <c r="B2159" s="553" t="s">
        <v>536</v>
      </c>
      <c r="C2159" s="506"/>
      <c r="D2159" s="499"/>
      <c r="E2159" s="489"/>
      <c r="F2159" s="940"/>
      <c r="G2159" s="507"/>
      <c r="H2159" s="940"/>
      <c r="I2159" s="940"/>
      <c r="J2159" s="489"/>
    </row>
    <row r="2160" spans="1:10">
      <c r="A2160" s="502"/>
      <c r="B2160" s="554" t="s">
        <v>569</v>
      </c>
      <c r="C2160" s="506"/>
      <c r="D2160" s="499"/>
      <c r="E2160" s="489"/>
      <c r="F2160" s="940"/>
      <c r="G2160" s="507"/>
      <c r="H2160" s="940"/>
      <c r="I2160" s="940"/>
      <c r="J2160" s="489"/>
    </row>
    <row r="2161" spans="1:10">
      <c r="A2161" s="502"/>
      <c r="B2161" s="944" t="s">
        <v>570</v>
      </c>
      <c r="C2161" s="506">
        <v>45</v>
      </c>
      <c r="D2161" s="499" t="s">
        <v>565</v>
      </c>
      <c r="E2161" s="489">
        <v>865</v>
      </c>
      <c r="F2161" s="940">
        <f>C2161*E2161</f>
        <v>38925</v>
      </c>
      <c r="G2161" s="507">
        <v>600</v>
      </c>
      <c r="H2161" s="940">
        <f>C2161*G2161</f>
        <v>27000</v>
      </c>
      <c r="I2161" s="940">
        <f>F2161+H2161</f>
        <v>65925</v>
      </c>
      <c r="J2161" s="489"/>
    </row>
    <row r="2162" spans="1:10">
      <c r="A2162" s="502"/>
      <c r="B2162" s="554" t="s">
        <v>575</v>
      </c>
      <c r="C2162" s="506"/>
      <c r="D2162" s="499"/>
      <c r="E2162" s="489"/>
      <c r="F2162" s="940"/>
      <c r="G2162" s="507"/>
      <c r="H2162" s="940"/>
      <c r="I2162" s="940"/>
      <c r="J2162" s="489"/>
    </row>
    <row r="2163" spans="1:10">
      <c r="A2163" s="502"/>
      <c r="B2163" s="944" t="s">
        <v>570</v>
      </c>
      <c r="C2163" s="506">
        <v>25</v>
      </c>
      <c r="D2163" s="499" t="s">
        <v>565</v>
      </c>
      <c r="E2163" s="489">
        <v>1800</v>
      </c>
      <c r="F2163" s="940">
        <f>C2163*E2163</f>
        <v>45000</v>
      </c>
      <c r="G2163" s="507">
        <v>600</v>
      </c>
      <c r="H2163" s="940">
        <f>C2163*G2163</f>
        <v>15000</v>
      </c>
      <c r="I2163" s="940">
        <f>F2163+H2163</f>
        <v>60000</v>
      </c>
      <c r="J2163" s="489"/>
    </row>
    <row r="2164" spans="1:10">
      <c r="A2164" s="502"/>
      <c r="B2164" s="876" t="s">
        <v>538</v>
      </c>
      <c r="C2164" s="506"/>
      <c r="D2164" s="942"/>
      <c r="E2164" s="940"/>
      <c r="F2164" s="940"/>
      <c r="G2164" s="940"/>
      <c r="H2164" s="940"/>
      <c r="I2164" s="940"/>
      <c r="J2164" s="489"/>
    </row>
    <row r="2165" spans="1:10">
      <c r="A2165" s="502"/>
      <c r="B2165" s="944" t="s">
        <v>527</v>
      </c>
      <c r="C2165" s="506">
        <v>150</v>
      </c>
      <c r="D2165" s="499" t="s">
        <v>14</v>
      </c>
      <c r="E2165" s="489">
        <v>177</v>
      </c>
      <c r="F2165" s="940">
        <f>E2165*C2165</f>
        <v>26550</v>
      </c>
      <c r="G2165" s="507">
        <v>100</v>
      </c>
      <c r="H2165" s="940">
        <f>G2165*C2165</f>
        <v>15000</v>
      </c>
      <c r="I2165" s="940">
        <f>H2165+F2165</f>
        <v>41550</v>
      </c>
      <c r="J2165" s="489"/>
    </row>
    <row r="2166" spans="1:10">
      <c r="A2166" s="502"/>
      <c r="B2166" s="876" t="s">
        <v>507</v>
      </c>
      <c r="C2166" s="506">
        <v>1</v>
      </c>
      <c r="D2166" s="942" t="s">
        <v>508</v>
      </c>
      <c r="E2166" s="940">
        <f>FLOOR(SUM(F2165)*0.4,10)</f>
        <v>10620</v>
      </c>
      <c r="F2166" s="940">
        <f>E2166*C2166</f>
        <v>10620</v>
      </c>
      <c r="G2166" s="940">
        <f>E2166*0.3</f>
        <v>3186</v>
      </c>
      <c r="H2166" s="940">
        <f>G2166*C2166</f>
        <v>3186</v>
      </c>
      <c r="I2166" s="940">
        <f>H2166+F2166</f>
        <v>13806</v>
      </c>
      <c r="J2166" s="489"/>
    </row>
    <row r="2167" spans="1:10">
      <c r="A2167" s="502"/>
      <c r="B2167" s="949" t="s">
        <v>509</v>
      </c>
      <c r="C2167" s="506">
        <v>1</v>
      </c>
      <c r="D2167" s="950" t="s">
        <v>508</v>
      </c>
      <c r="E2167" s="940">
        <f>FLOOR(SUM(F2165)*0.3,10)</f>
        <v>7960</v>
      </c>
      <c r="F2167" s="940">
        <f>E2167*C2167</f>
        <v>7960</v>
      </c>
      <c r="G2167" s="940">
        <f>E2167*0.3</f>
        <v>2388</v>
      </c>
      <c r="H2167" s="940">
        <f>G2167*C2167</f>
        <v>2388</v>
      </c>
      <c r="I2167" s="940">
        <f>H2167+F2167</f>
        <v>10348</v>
      </c>
      <c r="J2167" s="489"/>
    </row>
    <row r="2168" spans="1:10">
      <c r="A2168" s="502"/>
      <c r="B2168" s="503" t="s">
        <v>539</v>
      </c>
      <c r="C2168" s="506">
        <v>1</v>
      </c>
      <c r="D2168" s="499" t="s">
        <v>508</v>
      </c>
      <c r="E2168" s="489">
        <f>FLOOR(SUM(F2165)*0.1,10)</f>
        <v>2650</v>
      </c>
      <c r="F2168" s="489">
        <f>E2168*C2168</f>
        <v>2650</v>
      </c>
      <c r="G2168" s="507">
        <f>E2168*0.3</f>
        <v>795</v>
      </c>
      <c r="H2168" s="490">
        <f>G2168*C2168</f>
        <v>795</v>
      </c>
      <c r="I2168" s="490">
        <f>H2168+F2168</f>
        <v>3445</v>
      </c>
      <c r="J2168" s="489"/>
    </row>
    <row r="2169" spans="1:10">
      <c r="A2169" s="502"/>
      <c r="B2169" s="503"/>
      <c r="C2169" s="506"/>
      <c r="D2169" s="499"/>
      <c r="E2169" s="489"/>
      <c r="F2169" s="489"/>
      <c r="G2169" s="507"/>
      <c r="H2169" s="490"/>
      <c r="I2169" s="490"/>
      <c r="J2169" s="489"/>
    </row>
    <row r="2170" spans="1:10">
      <c r="A2170" s="838"/>
      <c r="B2170" s="833" t="s">
        <v>1248</v>
      </c>
      <c r="C2170" s="840"/>
      <c r="D2170" s="841"/>
      <c r="E2170" s="837"/>
      <c r="F2170" s="842">
        <f>SUM(F1864:F2169)</f>
        <v>9147710</v>
      </c>
      <c r="G2170" s="842"/>
      <c r="H2170" s="842">
        <f>SUM(H1864:H2169)</f>
        <v>2195711.3000000003</v>
      </c>
      <c r="I2170" s="842">
        <f>SUM(I1864:I2169)</f>
        <v>11343421.299999999</v>
      </c>
      <c r="J2170" s="837"/>
    </row>
    <row r="2171" spans="1:10">
      <c r="A2171" s="502"/>
      <c r="B2171" s="503"/>
      <c r="C2171" s="506"/>
      <c r="D2171" s="499"/>
      <c r="E2171" s="489"/>
      <c r="F2171" s="489"/>
      <c r="G2171" s="507"/>
      <c r="H2171" s="490"/>
      <c r="I2171" s="490"/>
      <c r="J2171" s="489"/>
    </row>
    <row r="2172" spans="1:10">
      <c r="A2172" s="681">
        <v>4.5</v>
      </c>
      <c r="B2172" s="666" t="s">
        <v>1170</v>
      </c>
      <c r="C2172" s="506"/>
      <c r="D2172" s="499"/>
      <c r="E2172" s="489"/>
      <c r="F2172" s="489"/>
      <c r="G2172" s="672"/>
      <c r="H2172" s="490"/>
      <c r="I2172" s="490"/>
      <c r="J2172" s="489"/>
    </row>
    <row r="2173" spans="1:10">
      <c r="A2173" s="496" t="s">
        <v>1242</v>
      </c>
      <c r="B2173" s="497" t="s">
        <v>536</v>
      </c>
      <c r="C2173" s="506"/>
      <c r="D2173" s="499"/>
      <c r="E2173" s="489"/>
      <c r="F2173" s="489"/>
      <c r="G2173" s="489"/>
      <c r="H2173" s="489"/>
      <c r="I2173" s="489"/>
      <c r="J2173" s="489"/>
    </row>
    <row r="2174" spans="1:10">
      <c r="A2174" s="539"/>
      <c r="B2174" s="938" t="s">
        <v>538</v>
      </c>
      <c r="C2174" s="904"/>
      <c r="D2174" s="499"/>
      <c r="E2174" s="499"/>
      <c r="F2174" s="499"/>
      <c r="G2174" s="499"/>
      <c r="H2174" s="499"/>
      <c r="I2174" s="499"/>
      <c r="J2174" s="489"/>
    </row>
    <row r="2175" spans="1:10">
      <c r="A2175" s="539" t="s">
        <v>1</v>
      </c>
      <c r="B2175" s="938" t="s">
        <v>527</v>
      </c>
      <c r="C2175" s="506">
        <v>40</v>
      </c>
      <c r="D2175" s="499" t="s">
        <v>14</v>
      </c>
      <c r="E2175" s="489">
        <v>291</v>
      </c>
      <c r="F2175" s="489">
        <f>E2175*C2175</f>
        <v>11640</v>
      </c>
      <c r="G2175" s="489">
        <v>100</v>
      </c>
      <c r="H2175" s="489">
        <f>G2175*C2175</f>
        <v>4000</v>
      </c>
      <c r="I2175" s="489">
        <f>H2175+F2175</f>
        <v>15640</v>
      </c>
      <c r="J2175" s="489"/>
    </row>
    <row r="2176" spans="1:10">
      <c r="A2176" s="539"/>
      <c r="B2176" s="938" t="s">
        <v>507</v>
      </c>
      <c r="C2176" s="506">
        <v>1</v>
      </c>
      <c r="D2176" s="499" t="s">
        <v>508</v>
      </c>
      <c r="E2176" s="489">
        <f>FLOOR(SUM(F2175)*0.4,10)</f>
        <v>4650</v>
      </c>
      <c r="F2176" s="489">
        <f>E2176*C2176</f>
        <v>4650</v>
      </c>
      <c r="G2176" s="489">
        <f>E2176*0.3</f>
        <v>1395</v>
      </c>
      <c r="H2176" s="489">
        <f>G2176*C2176</f>
        <v>1395</v>
      </c>
      <c r="I2176" s="489">
        <f>H2176+F2176</f>
        <v>6045</v>
      </c>
      <c r="J2176" s="489"/>
    </row>
    <row r="2177" spans="1:10">
      <c r="A2177" s="539"/>
      <c r="B2177" s="938" t="s">
        <v>509</v>
      </c>
      <c r="C2177" s="506">
        <v>1</v>
      </c>
      <c r="D2177" s="499" t="s">
        <v>508</v>
      </c>
      <c r="E2177" s="489">
        <f>FLOOR(SUM(F2175)*0.3,10)</f>
        <v>3490</v>
      </c>
      <c r="F2177" s="489">
        <f>E2177*C2177</f>
        <v>3490</v>
      </c>
      <c r="G2177" s="489">
        <f>E2177*0.3</f>
        <v>1047</v>
      </c>
      <c r="H2177" s="489">
        <f>G2177*C2177</f>
        <v>1047</v>
      </c>
      <c r="I2177" s="489">
        <f>H2177+F2177</f>
        <v>4537</v>
      </c>
      <c r="J2177" s="489"/>
    </row>
    <row r="2178" spans="1:10">
      <c r="A2178" s="539"/>
      <c r="B2178" s="938" t="s">
        <v>539</v>
      </c>
      <c r="C2178" s="506">
        <v>1</v>
      </c>
      <c r="D2178" s="499" t="s">
        <v>508</v>
      </c>
      <c r="E2178" s="489">
        <f>FLOOR(SUM(F2175)*0.1,10)</f>
        <v>1160</v>
      </c>
      <c r="F2178" s="489">
        <f>E2178*C2178</f>
        <v>1160</v>
      </c>
      <c r="G2178" s="489">
        <f>E2178*0.3</f>
        <v>348</v>
      </c>
      <c r="H2178" s="489">
        <f>G2178*C2178</f>
        <v>348</v>
      </c>
      <c r="I2178" s="489">
        <f>H2178+F2178</f>
        <v>1508</v>
      </c>
      <c r="J2178" s="489"/>
    </row>
    <row r="2179" spans="1:10">
      <c r="A2179" s="539"/>
      <c r="B2179" s="938" t="s">
        <v>532</v>
      </c>
      <c r="C2179" s="506"/>
      <c r="D2179" s="499"/>
      <c r="E2179" s="489"/>
      <c r="F2179" s="489"/>
      <c r="G2179" s="489"/>
      <c r="H2179" s="489"/>
      <c r="I2179" s="489"/>
      <c r="J2179" s="489"/>
    </row>
    <row r="2180" spans="1:10">
      <c r="A2180" s="539"/>
      <c r="B2180" s="938" t="s">
        <v>533</v>
      </c>
      <c r="C2180" s="506">
        <v>3</v>
      </c>
      <c r="D2180" s="499" t="s">
        <v>15</v>
      </c>
      <c r="E2180" s="489">
        <v>310</v>
      </c>
      <c r="F2180" s="489">
        <f>E2180*C2180</f>
        <v>930</v>
      </c>
      <c r="G2180" s="489">
        <v>300</v>
      </c>
      <c r="H2180" s="489">
        <f>G2180*C2180</f>
        <v>900</v>
      </c>
      <c r="I2180" s="489">
        <f>H2180+F2180</f>
        <v>1830</v>
      </c>
      <c r="J2180" s="489"/>
    </row>
    <row r="2181" spans="1:10">
      <c r="A2181" s="539"/>
      <c r="B2181" s="938" t="s">
        <v>542</v>
      </c>
      <c r="C2181" s="506"/>
      <c r="D2181" s="499"/>
      <c r="E2181" s="489"/>
      <c r="F2181" s="489"/>
      <c r="G2181" s="489"/>
      <c r="H2181" s="489"/>
      <c r="I2181" s="489"/>
      <c r="J2181" s="489"/>
    </row>
    <row r="2182" spans="1:10">
      <c r="A2182" s="496" t="s">
        <v>1241</v>
      </c>
      <c r="B2182" s="547" t="s">
        <v>543</v>
      </c>
      <c r="C2182" s="506"/>
      <c r="D2182" s="499"/>
      <c r="E2182" s="489"/>
      <c r="F2182" s="489"/>
      <c r="G2182" s="507"/>
      <c r="H2182" s="490"/>
      <c r="I2182" s="490"/>
      <c r="J2182" s="489"/>
    </row>
    <row r="2183" spans="1:10">
      <c r="A2183" s="548"/>
      <c r="B2183" s="938" t="s">
        <v>545</v>
      </c>
      <c r="C2183" s="506">
        <v>1</v>
      </c>
      <c r="D2183" s="499" t="s">
        <v>546</v>
      </c>
      <c r="E2183" s="489">
        <v>14000</v>
      </c>
      <c r="F2183" s="489">
        <f>C2183*E2183</f>
        <v>14000</v>
      </c>
      <c r="G2183" s="507">
        <v>1000</v>
      </c>
      <c r="H2183" s="490">
        <f>C2183*G2183</f>
        <v>1000</v>
      </c>
      <c r="I2183" s="490">
        <f>F2183+H2183</f>
        <v>15000</v>
      </c>
      <c r="J2183" s="489"/>
    </row>
    <row r="2184" spans="1:10">
      <c r="A2184" s="548"/>
      <c r="B2184" s="938" t="s">
        <v>553</v>
      </c>
      <c r="C2184" s="506"/>
      <c r="D2184" s="499"/>
      <c r="E2184" s="489"/>
      <c r="F2184" s="489"/>
      <c r="G2184" s="507"/>
      <c r="H2184" s="490"/>
      <c r="I2184" s="490"/>
      <c r="J2184" s="489"/>
    </row>
    <row r="2185" spans="1:10">
      <c r="A2185" s="548"/>
      <c r="B2185" s="549" t="s">
        <v>554</v>
      </c>
      <c r="C2185" s="506">
        <v>70</v>
      </c>
      <c r="D2185" s="499" t="s">
        <v>555</v>
      </c>
      <c r="E2185" s="489">
        <v>79</v>
      </c>
      <c r="F2185" s="489">
        <f t="shared" ref="F2185:F2191" si="174">C2185*E2185</f>
        <v>5530</v>
      </c>
      <c r="G2185" s="507">
        <v>60</v>
      </c>
      <c r="H2185" s="490">
        <f t="shared" ref="H2185:H2191" si="175">C2185*G2185</f>
        <v>4200</v>
      </c>
      <c r="I2185" s="490">
        <f t="shared" ref="I2185:I2191" si="176">F2185+H2185</f>
        <v>9730</v>
      </c>
      <c r="J2185" s="489"/>
    </row>
    <row r="2186" spans="1:10">
      <c r="A2186" s="548"/>
      <c r="B2186" s="549" t="s">
        <v>556</v>
      </c>
      <c r="C2186" s="506">
        <v>10</v>
      </c>
      <c r="D2186" s="499" t="s">
        <v>555</v>
      </c>
      <c r="E2186" s="489">
        <v>108</v>
      </c>
      <c r="F2186" s="489">
        <f t="shared" si="174"/>
        <v>1080</v>
      </c>
      <c r="G2186" s="507">
        <v>80</v>
      </c>
      <c r="H2186" s="490">
        <f t="shared" si="175"/>
        <v>800</v>
      </c>
      <c r="I2186" s="490">
        <f t="shared" si="176"/>
        <v>1880</v>
      </c>
      <c r="J2186" s="489"/>
    </row>
    <row r="2187" spans="1:10">
      <c r="A2187" s="548"/>
      <c r="B2187" s="549" t="s">
        <v>557</v>
      </c>
      <c r="C2187" s="506">
        <v>30</v>
      </c>
      <c r="D2187" s="499" t="s">
        <v>555</v>
      </c>
      <c r="E2187" s="489">
        <v>125</v>
      </c>
      <c r="F2187" s="489">
        <f t="shared" si="174"/>
        <v>3750</v>
      </c>
      <c r="G2187" s="507">
        <v>90</v>
      </c>
      <c r="H2187" s="490">
        <f t="shared" si="175"/>
        <v>2700</v>
      </c>
      <c r="I2187" s="490">
        <f t="shared" si="176"/>
        <v>6450</v>
      </c>
      <c r="J2187" s="489"/>
    </row>
    <row r="2188" spans="1:10">
      <c r="A2188" s="548"/>
      <c r="B2188" s="549" t="s">
        <v>558</v>
      </c>
      <c r="C2188" s="506">
        <v>20</v>
      </c>
      <c r="D2188" s="499" t="s">
        <v>555</v>
      </c>
      <c r="E2188" s="489">
        <v>170</v>
      </c>
      <c r="F2188" s="489">
        <f t="shared" si="174"/>
        <v>3400</v>
      </c>
      <c r="G2188" s="507">
        <v>120</v>
      </c>
      <c r="H2188" s="490">
        <f t="shared" si="175"/>
        <v>2400</v>
      </c>
      <c r="I2188" s="490">
        <f t="shared" si="176"/>
        <v>5800</v>
      </c>
      <c r="J2188" s="489"/>
    </row>
    <row r="2189" spans="1:10">
      <c r="A2189" s="548"/>
      <c r="B2189" s="549" t="s">
        <v>559</v>
      </c>
      <c r="C2189" s="506">
        <v>20</v>
      </c>
      <c r="D2189" s="499" t="s">
        <v>555</v>
      </c>
      <c r="E2189" s="489">
        <v>270</v>
      </c>
      <c r="F2189" s="489">
        <f t="shared" si="174"/>
        <v>5400</v>
      </c>
      <c r="G2189" s="507">
        <v>200</v>
      </c>
      <c r="H2189" s="490">
        <f t="shared" si="175"/>
        <v>4000</v>
      </c>
      <c r="I2189" s="490">
        <f t="shared" si="176"/>
        <v>9400</v>
      </c>
      <c r="J2189" s="489"/>
    </row>
    <row r="2190" spans="1:10">
      <c r="A2190" s="548"/>
      <c r="B2190" s="549" t="s">
        <v>560</v>
      </c>
      <c r="C2190" s="506">
        <v>25</v>
      </c>
      <c r="D2190" s="499" t="s">
        <v>555</v>
      </c>
      <c r="E2190" s="489">
        <v>523</v>
      </c>
      <c r="F2190" s="489">
        <f t="shared" si="174"/>
        <v>13075</v>
      </c>
      <c r="G2190" s="507">
        <v>375</v>
      </c>
      <c r="H2190" s="490">
        <f t="shared" si="175"/>
        <v>9375</v>
      </c>
      <c r="I2190" s="490">
        <f t="shared" si="176"/>
        <v>22450</v>
      </c>
      <c r="J2190" s="489"/>
    </row>
    <row r="2191" spans="1:10">
      <c r="A2191" s="548"/>
      <c r="B2191" s="549" t="s">
        <v>561</v>
      </c>
      <c r="C2191" s="506">
        <v>25</v>
      </c>
      <c r="D2191" s="499" t="s">
        <v>555</v>
      </c>
      <c r="E2191" s="489">
        <v>909</v>
      </c>
      <c r="F2191" s="489">
        <f t="shared" si="174"/>
        <v>22725</v>
      </c>
      <c r="G2191" s="507">
        <v>650</v>
      </c>
      <c r="H2191" s="490">
        <f t="shared" si="175"/>
        <v>16250</v>
      </c>
      <c r="I2191" s="490">
        <f t="shared" si="176"/>
        <v>38975</v>
      </c>
      <c r="J2191" s="489"/>
    </row>
    <row r="2192" spans="1:10">
      <c r="A2192" s="548"/>
      <c r="B2192" s="938" t="s">
        <v>507</v>
      </c>
      <c r="C2192" s="506">
        <v>1</v>
      </c>
      <c r="D2192" s="499" t="s">
        <v>508</v>
      </c>
      <c r="E2192" s="489">
        <f>FLOOR(SUM(F2185:F2191)*0.5,1)</f>
        <v>27480</v>
      </c>
      <c r="F2192" s="489">
        <f>E2192*C2192</f>
        <v>27480</v>
      </c>
      <c r="G2192" s="489">
        <f>E2192*0.3</f>
        <v>8244</v>
      </c>
      <c r="H2192" s="489">
        <f>G2192*C2192</f>
        <v>8244</v>
      </c>
      <c r="I2192" s="489">
        <f>H2192+F2192</f>
        <v>35724</v>
      </c>
      <c r="J2192" s="489"/>
    </row>
    <row r="2193" spans="1:10">
      <c r="A2193" s="548"/>
      <c r="B2193" s="938" t="s">
        <v>509</v>
      </c>
      <c r="C2193" s="506">
        <v>1</v>
      </c>
      <c r="D2193" s="499" t="s">
        <v>508</v>
      </c>
      <c r="E2193" s="489">
        <f>FLOOR(SUM(F2185:F2191)*0.2,1)</f>
        <v>10992</v>
      </c>
      <c r="F2193" s="489">
        <f>E2193*C2193</f>
        <v>10992</v>
      </c>
      <c r="G2193" s="489">
        <f>E2193*0.3</f>
        <v>3297.6</v>
      </c>
      <c r="H2193" s="489">
        <f>G2193*C2193</f>
        <v>3297.6</v>
      </c>
      <c r="I2193" s="489">
        <f>H2193+F2193</f>
        <v>14289.6</v>
      </c>
      <c r="J2193" s="489"/>
    </row>
    <row r="2194" spans="1:10">
      <c r="A2194" s="548"/>
      <c r="B2194" s="938" t="s">
        <v>510</v>
      </c>
      <c r="C2194" s="506">
        <v>1</v>
      </c>
      <c r="D2194" s="943" t="s">
        <v>508</v>
      </c>
      <c r="E2194" s="940">
        <f>ROUNDDOWN(SUM(F2185:F2191)*10%,0)</f>
        <v>5496</v>
      </c>
      <c r="F2194" s="940">
        <f>C2194*E2194</f>
        <v>5496</v>
      </c>
      <c r="G2194" s="940">
        <f>ROUNDDOWN(E2194*0.3,0)</f>
        <v>1648</v>
      </c>
      <c r="H2194" s="940">
        <f>C2194*G2194</f>
        <v>1648</v>
      </c>
      <c r="I2194" s="940">
        <f>F2194+H2194</f>
        <v>7144</v>
      </c>
      <c r="J2194" s="489"/>
    </row>
    <row r="2195" spans="1:10">
      <c r="A2195" s="548"/>
      <c r="B2195" s="549" t="s">
        <v>563</v>
      </c>
      <c r="C2195" s="506"/>
      <c r="D2195" s="499"/>
      <c r="E2195" s="489"/>
      <c r="F2195" s="489"/>
      <c r="G2195" s="507"/>
      <c r="H2195" s="490"/>
      <c r="I2195" s="490"/>
      <c r="J2195" s="489"/>
    </row>
    <row r="2196" spans="1:10">
      <c r="A2196" s="548"/>
      <c r="B2196" s="549" t="s">
        <v>577</v>
      </c>
      <c r="C2196" s="506">
        <v>20</v>
      </c>
      <c r="D2196" s="499" t="s">
        <v>565</v>
      </c>
      <c r="E2196" s="489">
        <v>580</v>
      </c>
      <c r="F2196" s="489">
        <f>C2196*E2196</f>
        <v>11600</v>
      </c>
      <c r="G2196" s="507">
        <v>50</v>
      </c>
      <c r="H2196" s="490">
        <f>C2196*G2196</f>
        <v>1000</v>
      </c>
      <c r="I2196" s="490">
        <f>F2196+H2196</f>
        <v>12600</v>
      </c>
      <c r="J2196" s="489"/>
    </row>
    <row r="2197" spans="1:10">
      <c r="A2197" s="548"/>
      <c r="B2197" s="549" t="s">
        <v>564</v>
      </c>
      <c r="C2197" s="506">
        <v>20</v>
      </c>
      <c r="D2197" s="499" t="s">
        <v>565</v>
      </c>
      <c r="E2197" s="489">
        <v>580</v>
      </c>
      <c r="F2197" s="489">
        <f>C2197*E2197</f>
        <v>11600</v>
      </c>
      <c r="G2197" s="507">
        <v>50</v>
      </c>
      <c r="H2197" s="490">
        <f>C2197*G2197</f>
        <v>1000</v>
      </c>
      <c r="I2197" s="490">
        <f>F2197+H2197</f>
        <v>12600</v>
      </c>
      <c r="J2197" s="489"/>
    </row>
    <row r="2198" spans="1:10">
      <c r="A2198" s="502"/>
      <c r="B2198" s="555" t="s">
        <v>593</v>
      </c>
      <c r="C2198" s="683"/>
      <c r="D2198" s="951"/>
      <c r="E2198" s="556"/>
      <c r="F2198" s="676"/>
      <c r="G2198" s="557"/>
      <c r="H2198" s="676"/>
      <c r="I2198" s="676"/>
      <c r="J2198" s="558"/>
    </row>
    <row r="2199" spans="1:10">
      <c r="A2199" s="502"/>
      <c r="B2199" s="555" t="s">
        <v>578</v>
      </c>
      <c r="C2199" s="683">
        <v>1</v>
      </c>
      <c r="D2199" s="951" t="s">
        <v>546</v>
      </c>
      <c r="E2199" s="556">
        <v>12200</v>
      </c>
      <c r="F2199" s="676">
        <f>C2199*E2199</f>
        <v>12200</v>
      </c>
      <c r="G2199" s="557">
        <v>600</v>
      </c>
      <c r="H2199" s="676">
        <f>C2199*G2199</f>
        <v>600</v>
      </c>
      <c r="I2199" s="676">
        <f>F2199+H2199</f>
        <v>12800</v>
      </c>
      <c r="J2199" s="558"/>
    </row>
    <row r="2200" spans="1:10">
      <c r="A2200" s="502"/>
      <c r="B2200" s="555" t="s">
        <v>596</v>
      </c>
      <c r="C2200" s="683"/>
      <c r="D2200" s="951"/>
      <c r="E2200" s="556"/>
      <c r="F2200" s="676"/>
      <c r="G2200" s="557"/>
      <c r="H2200" s="676"/>
      <c r="I2200" s="676"/>
      <c r="J2200" s="558"/>
    </row>
    <row r="2201" spans="1:10">
      <c r="A2201" s="502"/>
      <c r="B2201" s="555" t="s">
        <v>578</v>
      </c>
      <c r="C2201" s="683">
        <v>1</v>
      </c>
      <c r="D2201" s="951" t="s">
        <v>574</v>
      </c>
      <c r="E2201" s="556">
        <v>20000</v>
      </c>
      <c r="F2201" s="676">
        <f>C2201*E2201</f>
        <v>20000</v>
      </c>
      <c r="G2201" s="557">
        <v>500</v>
      </c>
      <c r="H2201" s="676">
        <f>C2201*G2201</f>
        <v>500</v>
      </c>
      <c r="I2201" s="676">
        <f>F2201+H2201</f>
        <v>20500</v>
      </c>
      <c r="J2201" s="558"/>
    </row>
    <row r="2202" spans="1:10">
      <c r="A2202" s="502"/>
      <c r="B2202" s="555" t="s">
        <v>597</v>
      </c>
      <c r="C2202" s="683">
        <v>1</v>
      </c>
      <c r="D2202" s="951" t="s">
        <v>574</v>
      </c>
      <c r="E2202" s="556">
        <v>9360</v>
      </c>
      <c r="F2202" s="676">
        <f>C2202*E2202</f>
        <v>9360</v>
      </c>
      <c r="G2202" s="557">
        <v>150</v>
      </c>
      <c r="H2202" s="676">
        <f>C2202*G2202</f>
        <v>150</v>
      </c>
      <c r="I2202" s="676">
        <f>F2202+H2202</f>
        <v>9510</v>
      </c>
      <c r="J2202" s="558"/>
    </row>
    <row r="2203" spans="1:10">
      <c r="A2203" s="502"/>
      <c r="B2203" s="555" t="s">
        <v>598</v>
      </c>
      <c r="C2203" s="683"/>
      <c r="D2203" s="951"/>
      <c r="E2203" s="556"/>
      <c r="F2203" s="676"/>
      <c r="G2203" s="557"/>
      <c r="H2203" s="676"/>
      <c r="I2203" s="676"/>
      <c r="J2203" s="558"/>
    </row>
    <row r="2204" spans="1:10">
      <c r="A2204" s="502"/>
      <c r="B2204" s="555" t="s">
        <v>554</v>
      </c>
      <c r="C2204" s="683">
        <v>2</v>
      </c>
      <c r="D2204" s="951" t="s">
        <v>574</v>
      </c>
      <c r="E2204" s="556">
        <v>11400</v>
      </c>
      <c r="F2204" s="676">
        <f>C2204*E2204</f>
        <v>22800</v>
      </c>
      <c r="G2204" s="557">
        <v>300</v>
      </c>
      <c r="H2204" s="676">
        <f>C2204*G2204</f>
        <v>600</v>
      </c>
      <c r="I2204" s="676">
        <f>F2204+H2204</f>
        <v>23400</v>
      </c>
      <c r="J2204" s="558"/>
    </row>
    <row r="2205" spans="1:10">
      <c r="A2205" s="502"/>
      <c r="B2205" s="555" t="s">
        <v>600</v>
      </c>
      <c r="C2205" s="683"/>
      <c r="D2205" s="951"/>
      <c r="E2205" s="556"/>
      <c r="F2205" s="676"/>
      <c r="G2205" s="557"/>
      <c r="H2205" s="676"/>
      <c r="I2205" s="676"/>
      <c r="J2205" s="558"/>
    </row>
    <row r="2206" spans="1:10">
      <c r="A2206" s="502"/>
      <c r="B2206" s="555" t="s">
        <v>554</v>
      </c>
      <c r="C2206" s="683">
        <v>1</v>
      </c>
      <c r="D2206" s="951" t="s">
        <v>565</v>
      </c>
      <c r="E2206" s="556">
        <v>500</v>
      </c>
      <c r="F2206" s="676">
        <f>C2206*E2206</f>
        <v>500</v>
      </c>
      <c r="G2206" s="557">
        <v>200</v>
      </c>
      <c r="H2206" s="676">
        <f>C2206*G2206</f>
        <v>200</v>
      </c>
      <c r="I2206" s="676">
        <f>F2206+H2206</f>
        <v>700</v>
      </c>
      <c r="J2206" s="558"/>
    </row>
    <row r="2207" spans="1:10">
      <c r="A2207" s="502"/>
      <c r="B2207" s="503" t="s">
        <v>519</v>
      </c>
      <c r="C2207" s="506">
        <v>1</v>
      </c>
      <c r="D2207" s="499" t="s">
        <v>567</v>
      </c>
      <c r="E2207" s="550" t="s">
        <v>332</v>
      </c>
      <c r="F2207" s="550" t="s">
        <v>332</v>
      </c>
      <c r="G2207" s="507">
        <v>40000</v>
      </c>
      <c r="H2207" s="490">
        <f>C2207*G2207</f>
        <v>40000</v>
      </c>
      <c r="I2207" s="490">
        <f>H2207</f>
        <v>40000</v>
      </c>
      <c r="J2207" s="489"/>
    </row>
    <row r="2208" spans="1:10">
      <c r="A2208" s="502"/>
      <c r="B2208" s="503"/>
      <c r="C2208" s="506"/>
      <c r="D2208" s="499"/>
      <c r="E2208" s="550"/>
      <c r="F2208" s="550"/>
      <c r="G2208" s="507"/>
      <c r="H2208" s="490"/>
      <c r="I2208" s="490"/>
      <c r="J2208" s="489"/>
    </row>
    <row r="2209" spans="1:10">
      <c r="A2209" s="496" t="s">
        <v>1243</v>
      </c>
      <c r="B2209" s="563" t="s">
        <v>572</v>
      </c>
      <c r="C2209" s="506"/>
      <c r="D2209" s="499"/>
      <c r="E2209" s="489"/>
      <c r="F2209" s="489"/>
      <c r="G2209" s="507"/>
      <c r="H2209" s="490"/>
      <c r="I2209" s="490"/>
      <c r="J2209" s="489"/>
    </row>
    <row r="2210" spans="1:10">
      <c r="A2210" s="496" t="s">
        <v>1244</v>
      </c>
      <c r="B2210" s="563" t="s">
        <v>536</v>
      </c>
      <c r="C2210" s="683"/>
      <c r="D2210" s="951"/>
      <c r="E2210" s="556"/>
      <c r="F2210" s="676"/>
      <c r="G2210" s="557"/>
      <c r="H2210" s="676"/>
      <c r="I2210" s="676"/>
      <c r="J2210" s="489"/>
    </row>
    <row r="2211" spans="1:10">
      <c r="A2211" s="502"/>
      <c r="B2211" s="555" t="s">
        <v>575</v>
      </c>
      <c r="C2211" s="683"/>
      <c r="D2211" s="951"/>
      <c r="E2211" s="556"/>
      <c r="F2211" s="676"/>
      <c r="G2211" s="557"/>
      <c r="H2211" s="676"/>
      <c r="I2211" s="676"/>
      <c r="J2211" s="558"/>
    </row>
    <row r="2212" spans="1:10">
      <c r="A2212" s="502"/>
      <c r="B2212" s="555" t="s">
        <v>578</v>
      </c>
      <c r="C2212" s="683">
        <v>3</v>
      </c>
      <c r="D2212" s="951" t="s">
        <v>565</v>
      </c>
      <c r="E2212" s="556">
        <v>1800</v>
      </c>
      <c r="F2212" s="676">
        <f>C2212*E2212</f>
        <v>5400</v>
      </c>
      <c r="G2212" s="557">
        <v>600</v>
      </c>
      <c r="H2212" s="676">
        <f>C2212*G2212</f>
        <v>1800</v>
      </c>
      <c r="I2212" s="676">
        <f>F2212+H2212</f>
        <v>7200</v>
      </c>
      <c r="J2212" s="558"/>
    </row>
    <row r="2213" spans="1:10">
      <c r="A2213" s="502"/>
      <c r="B2213" s="555" t="s">
        <v>538</v>
      </c>
      <c r="C2213" s="683"/>
      <c r="D2213" s="951"/>
      <c r="E2213" s="556"/>
      <c r="F2213" s="676"/>
      <c r="G2213" s="557"/>
      <c r="H2213" s="676"/>
      <c r="I2213" s="676"/>
      <c r="J2213" s="558"/>
    </row>
    <row r="2214" spans="1:10">
      <c r="A2214" s="502"/>
      <c r="B2214" s="555" t="s">
        <v>527</v>
      </c>
      <c r="C2214" s="683">
        <v>30</v>
      </c>
      <c r="D2214" s="951" t="s">
        <v>14</v>
      </c>
      <c r="E2214" s="556">
        <v>177</v>
      </c>
      <c r="F2214" s="676">
        <f>E2214*C2214</f>
        <v>5310</v>
      </c>
      <c r="G2214" s="557">
        <v>100</v>
      </c>
      <c r="H2214" s="676">
        <f>G2214*C2214</f>
        <v>3000</v>
      </c>
      <c r="I2214" s="676">
        <f>H2214+F2214</f>
        <v>8310</v>
      </c>
      <c r="J2214" s="558"/>
    </row>
    <row r="2215" spans="1:10">
      <c r="A2215" s="502"/>
      <c r="B2215" s="555" t="s">
        <v>507</v>
      </c>
      <c r="C2215" s="683">
        <v>1</v>
      </c>
      <c r="D2215" s="951" t="s">
        <v>508</v>
      </c>
      <c r="E2215" s="556">
        <f>FLOOR(SUM(F2214)*0.4,10)</f>
        <v>2120</v>
      </c>
      <c r="F2215" s="676">
        <f>E2215*C2215</f>
        <v>2120</v>
      </c>
      <c r="G2215" s="557">
        <f>E2215*0.3</f>
        <v>636</v>
      </c>
      <c r="H2215" s="676">
        <f>G2215*C2215</f>
        <v>636</v>
      </c>
      <c r="I2215" s="676">
        <f>H2215+F2215</f>
        <v>2756</v>
      </c>
      <c r="J2215" s="558"/>
    </row>
    <row r="2216" spans="1:10">
      <c r="A2216" s="502"/>
      <c r="B2216" s="555" t="s">
        <v>509</v>
      </c>
      <c r="C2216" s="683">
        <v>1</v>
      </c>
      <c r="D2216" s="951" t="s">
        <v>508</v>
      </c>
      <c r="E2216" s="556">
        <f>FLOOR(SUM(F2214)*0.3,10)</f>
        <v>1590</v>
      </c>
      <c r="F2216" s="676">
        <f>E2216*C2216</f>
        <v>1590</v>
      </c>
      <c r="G2216" s="557">
        <f>E2216*0.3</f>
        <v>477</v>
      </c>
      <c r="H2216" s="676">
        <f>G2216*C2216</f>
        <v>477</v>
      </c>
      <c r="I2216" s="676">
        <f>H2216+F2216</f>
        <v>2067</v>
      </c>
      <c r="J2216" s="558"/>
    </row>
    <row r="2217" spans="1:10">
      <c r="A2217" s="502"/>
      <c r="B2217" s="555" t="s">
        <v>539</v>
      </c>
      <c r="C2217" s="683">
        <v>1</v>
      </c>
      <c r="D2217" s="951" t="s">
        <v>508</v>
      </c>
      <c r="E2217" s="556">
        <f>FLOOR(SUM(F2214)*0.1,10)</f>
        <v>530</v>
      </c>
      <c r="F2217" s="676">
        <f>E2217*C2217</f>
        <v>530</v>
      </c>
      <c r="G2217" s="557">
        <f>E2217*0.3</f>
        <v>159</v>
      </c>
      <c r="H2217" s="676">
        <f>G2217*C2217</f>
        <v>159</v>
      </c>
      <c r="I2217" s="676">
        <f>H2217+F2217</f>
        <v>689</v>
      </c>
      <c r="J2217" s="558"/>
    </row>
    <row r="2218" spans="1:10">
      <c r="A2218" s="502"/>
      <c r="B2218" s="555"/>
      <c r="C2218" s="866"/>
      <c r="D2218" s="529"/>
      <c r="E2218" s="529"/>
      <c r="F2218" s="550"/>
      <c r="G2218" s="557"/>
      <c r="H2218" s="585"/>
      <c r="I2218" s="550"/>
      <c r="J2218" s="558"/>
    </row>
    <row r="2219" spans="1:10">
      <c r="A2219" s="838"/>
      <c r="B2219" s="833" t="s">
        <v>1249</v>
      </c>
      <c r="C2219" s="840"/>
      <c r="D2219" s="841"/>
      <c r="E2219" s="837"/>
      <c r="F2219" s="842">
        <f>SUM(F2174:F2218)</f>
        <v>237808</v>
      </c>
      <c r="G2219" s="842"/>
      <c r="H2219" s="842">
        <f>SUM(H2174:H2218)</f>
        <v>111726.6</v>
      </c>
      <c r="I2219" s="842">
        <f>SUM(I2174:I2218)</f>
        <v>349534.6</v>
      </c>
      <c r="J2219" s="837"/>
    </row>
    <row r="2220" spans="1:10">
      <c r="A2220" s="685"/>
      <c r="B2220" s="862"/>
      <c r="C2220" s="506"/>
      <c r="D2220" s="505"/>
      <c r="E2220" s="489"/>
      <c r="F2220" s="489"/>
      <c r="G2220" s="672"/>
      <c r="H2220" s="490"/>
      <c r="I2220" s="490"/>
      <c r="J2220" s="489"/>
    </row>
    <row r="2221" spans="1:10" s="5" customFormat="1">
      <c r="A2221" s="838"/>
      <c r="B2221" s="833" t="s">
        <v>1250</v>
      </c>
      <c r="C2221" s="840"/>
      <c r="D2221" s="841"/>
      <c r="E2221" s="837"/>
      <c r="F2221" s="842">
        <f>SUM(F1632+F1744+F1860+F2170+F2219)</f>
        <v>17366570</v>
      </c>
      <c r="G2221" s="842"/>
      <c r="H2221" s="842">
        <f>SUM(H1632+H1744+H1860+H2170+H2219)</f>
        <v>5429354.7999999989</v>
      </c>
      <c r="I2221" s="842">
        <f>SUM(I1632+I1744+I1860+I2170+I2219)</f>
        <v>22795924.800000004</v>
      </c>
      <c r="J2221" s="837"/>
    </row>
    <row r="2222" spans="1:10" s="5" customFormat="1">
      <c r="A2222" s="502"/>
      <c r="B2222" s="555"/>
      <c r="C2222" s="866"/>
      <c r="D2222" s="529"/>
      <c r="E2222" s="529"/>
      <c r="F2222" s="550"/>
      <c r="G2222" s="557"/>
      <c r="H2222" s="585"/>
      <c r="I2222" s="676"/>
      <c r="J2222" s="558"/>
    </row>
    <row r="2223" spans="1:10">
      <c r="A2223" s="661">
        <v>5</v>
      </c>
      <c r="B2223" s="918" t="s">
        <v>59</v>
      </c>
      <c r="C2223" s="682"/>
      <c r="D2223" s="564"/>
      <c r="E2223" s="564"/>
      <c r="F2223" s="489"/>
      <c r="G2223" s="676"/>
      <c r="H2223" s="955"/>
      <c r="I2223" s="956"/>
      <c r="J2223" s="676"/>
    </row>
    <row r="2224" spans="1:10">
      <c r="A2224" s="681">
        <v>5.0999999999999996</v>
      </c>
      <c r="B2224" s="877" t="s">
        <v>1140</v>
      </c>
      <c r="C2224" s="682"/>
      <c r="D2224" s="564"/>
      <c r="E2224" s="564"/>
      <c r="F2224" s="489"/>
      <c r="G2224" s="676"/>
      <c r="H2224" s="676"/>
      <c r="I2224" s="676"/>
      <c r="J2224" s="558"/>
    </row>
    <row r="2225" spans="1:10">
      <c r="A2225" s="681"/>
      <c r="B2225" s="957" t="s">
        <v>689</v>
      </c>
      <c r="C2225" s="895"/>
      <c r="D2225" s="486"/>
      <c r="E2225" s="958"/>
      <c r="F2225" s="680"/>
      <c r="G2225" s="959"/>
      <c r="H2225" s="680"/>
      <c r="I2225" s="680"/>
      <c r="J2225" s="565"/>
    </row>
    <row r="2226" spans="1:10">
      <c r="A2226" s="496" t="s">
        <v>690</v>
      </c>
      <c r="B2226" s="960" t="s">
        <v>691</v>
      </c>
      <c r="C2226" s="683"/>
      <c r="D2226" s="961"/>
      <c r="E2226" s="683"/>
      <c r="F2226" s="676"/>
      <c r="G2226" s="682"/>
      <c r="H2226" s="676"/>
      <c r="I2226" s="676"/>
      <c r="J2226" s="558"/>
    </row>
    <row r="2227" spans="1:10">
      <c r="A2227" s="502"/>
      <c r="B2227" s="962" t="s">
        <v>692</v>
      </c>
      <c r="C2227" s="683">
        <v>1</v>
      </c>
      <c r="D2227" s="510" t="s">
        <v>15</v>
      </c>
      <c r="E2227" s="683">
        <v>1500000</v>
      </c>
      <c r="F2227" s="674">
        <f>E2227*C2227</f>
        <v>1500000</v>
      </c>
      <c r="G2227" s="609">
        <v>50000</v>
      </c>
      <c r="H2227" s="674">
        <f>G2227*C2227</f>
        <v>50000</v>
      </c>
      <c r="I2227" s="674">
        <f>F2227+H2227</f>
        <v>1550000</v>
      </c>
      <c r="J2227" s="558"/>
    </row>
    <row r="2228" spans="1:10">
      <c r="A2228" s="502"/>
      <c r="B2228" s="962" t="s">
        <v>693</v>
      </c>
      <c r="C2228" s="683">
        <v>1</v>
      </c>
      <c r="D2228" s="510" t="s">
        <v>15</v>
      </c>
      <c r="E2228" s="963">
        <v>450000</v>
      </c>
      <c r="F2228" s="674">
        <f>E2228*C2228</f>
        <v>450000</v>
      </c>
      <c r="G2228" s="609">
        <v>20000</v>
      </c>
      <c r="H2228" s="674">
        <f>G2228*C2228</f>
        <v>20000</v>
      </c>
      <c r="I2228" s="674">
        <f>F2228+H2228</f>
        <v>470000</v>
      </c>
      <c r="J2228" s="558"/>
    </row>
    <row r="2229" spans="1:10">
      <c r="A2229" s="502"/>
      <c r="B2229" s="962" t="s">
        <v>667</v>
      </c>
      <c r="C2229" s="683">
        <v>1</v>
      </c>
      <c r="D2229" s="912" t="s">
        <v>508</v>
      </c>
      <c r="E2229" s="660">
        <f>I2229*0.8</f>
        <v>80800</v>
      </c>
      <c r="F2229" s="913">
        <f>C2229*E2229</f>
        <v>80800</v>
      </c>
      <c r="G2229" s="913">
        <f>I2229*0.2</f>
        <v>20200</v>
      </c>
      <c r="H2229" s="674">
        <f>C2229*G2229</f>
        <v>20200</v>
      </c>
      <c r="I2229" s="674">
        <f>ROUNDUP(SUM(I2227:I2228)*5%,-2)</f>
        <v>101000</v>
      </c>
      <c r="J2229" s="558"/>
    </row>
    <row r="2230" spans="1:10">
      <c r="A2230" s="496" t="s">
        <v>694</v>
      </c>
      <c r="B2230" s="960" t="s">
        <v>695</v>
      </c>
      <c r="C2230" s="683"/>
      <c r="D2230" s="961"/>
      <c r="E2230" s="683"/>
      <c r="F2230" s="676"/>
      <c r="G2230" s="682"/>
      <c r="H2230" s="676"/>
      <c r="I2230" s="676"/>
      <c r="J2230" s="558"/>
    </row>
    <row r="2231" spans="1:10">
      <c r="A2231" s="502"/>
      <c r="B2231" s="962" t="s">
        <v>696</v>
      </c>
      <c r="C2231" s="683">
        <v>1</v>
      </c>
      <c r="D2231" s="510" t="s">
        <v>15</v>
      </c>
      <c r="E2231" s="683">
        <v>269400</v>
      </c>
      <c r="F2231" s="674">
        <f>E2231*C2231</f>
        <v>269400</v>
      </c>
      <c r="G2231" s="609">
        <v>3000</v>
      </c>
      <c r="H2231" s="674">
        <f>G2231*C2231</f>
        <v>3000</v>
      </c>
      <c r="I2231" s="674">
        <f>F2231+H2231</f>
        <v>272400</v>
      </c>
      <c r="J2231" s="558"/>
    </row>
    <row r="2232" spans="1:10">
      <c r="A2232" s="502"/>
      <c r="B2232" s="962" t="s">
        <v>697</v>
      </c>
      <c r="C2232" s="683">
        <v>1</v>
      </c>
      <c r="D2232" s="510" t="s">
        <v>15</v>
      </c>
      <c r="E2232" s="963">
        <v>155800</v>
      </c>
      <c r="F2232" s="674">
        <f t="shared" ref="F2232:F2249" si="177">E2232*C2232</f>
        <v>155800</v>
      </c>
      <c r="G2232" s="609">
        <v>2500</v>
      </c>
      <c r="H2232" s="674">
        <f t="shared" ref="H2232:H2249" si="178">G2232*C2232</f>
        <v>2500</v>
      </c>
      <c r="I2232" s="674">
        <f t="shared" ref="I2232:I2249" si="179">F2232+H2232</f>
        <v>158300</v>
      </c>
      <c r="J2232" s="558"/>
    </row>
    <row r="2233" spans="1:10">
      <c r="A2233" s="502"/>
      <c r="B2233" s="962" t="s">
        <v>698</v>
      </c>
      <c r="C2233" s="683">
        <v>1</v>
      </c>
      <c r="D2233" s="510" t="s">
        <v>15</v>
      </c>
      <c r="E2233" s="963">
        <v>127380</v>
      </c>
      <c r="F2233" s="674">
        <f t="shared" si="177"/>
        <v>127380</v>
      </c>
      <c r="G2233" s="609">
        <v>1500</v>
      </c>
      <c r="H2233" s="674">
        <f t="shared" si="178"/>
        <v>1500</v>
      </c>
      <c r="I2233" s="674">
        <f t="shared" si="179"/>
        <v>128880</v>
      </c>
      <c r="J2233" s="558"/>
    </row>
    <row r="2234" spans="1:10">
      <c r="A2234" s="502"/>
      <c r="B2234" s="962" t="s">
        <v>699</v>
      </c>
      <c r="C2234" s="683">
        <v>1</v>
      </c>
      <c r="D2234" s="510" t="s">
        <v>15</v>
      </c>
      <c r="E2234" s="963">
        <v>63360</v>
      </c>
      <c r="F2234" s="674">
        <f t="shared" si="177"/>
        <v>63360</v>
      </c>
      <c r="G2234" s="609">
        <v>500</v>
      </c>
      <c r="H2234" s="674">
        <f t="shared" si="178"/>
        <v>500</v>
      </c>
      <c r="I2234" s="674">
        <f t="shared" si="179"/>
        <v>63860</v>
      </c>
      <c r="J2234" s="558"/>
    </row>
    <row r="2235" spans="1:10">
      <c r="A2235" s="502"/>
      <c r="B2235" s="962" t="s">
        <v>700</v>
      </c>
      <c r="C2235" s="683">
        <v>1</v>
      </c>
      <c r="D2235" s="510" t="s">
        <v>15</v>
      </c>
      <c r="E2235" s="963">
        <v>35600</v>
      </c>
      <c r="F2235" s="674">
        <f t="shared" si="177"/>
        <v>35600</v>
      </c>
      <c r="G2235" s="609">
        <v>500</v>
      </c>
      <c r="H2235" s="674">
        <f t="shared" si="178"/>
        <v>500</v>
      </c>
      <c r="I2235" s="674">
        <f t="shared" si="179"/>
        <v>36100</v>
      </c>
      <c r="J2235" s="558"/>
    </row>
    <row r="2236" spans="1:10">
      <c r="A2236" s="502"/>
      <c r="B2236" s="962" t="s">
        <v>1141</v>
      </c>
      <c r="C2236" s="683">
        <v>1</v>
      </c>
      <c r="D2236" s="510" t="s">
        <v>15</v>
      </c>
      <c r="E2236" s="963">
        <v>10600</v>
      </c>
      <c r="F2236" s="674">
        <f t="shared" si="177"/>
        <v>10600</v>
      </c>
      <c r="G2236" s="609">
        <v>500</v>
      </c>
      <c r="H2236" s="674">
        <f t="shared" si="178"/>
        <v>500</v>
      </c>
      <c r="I2236" s="674">
        <f t="shared" si="179"/>
        <v>11100</v>
      </c>
      <c r="J2236" s="558"/>
    </row>
    <row r="2237" spans="1:10">
      <c r="A2237" s="502"/>
      <c r="B2237" s="962" t="s">
        <v>701</v>
      </c>
      <c r="C2237" s="683">
        <v>1</v>
      </c>
      <c r="D2237" s="510" t="s">
        <v>15</v>
      </c>
      <c r="E2237" s="963">
        <v>10600</v>
      </c>
      <c r="F2237" s="674">
        <f t="shared" si="177"/>
        <v>10600</v>
      </c>
      <c r="G2237" s="609">
        <v>500</v>
      </c>
      <c r="H2237" s="674">
        <f t="shared" si="178"/>
        <v>500</v>
      </c>
      <c r="I2237" s="674">
        <f t="shared" si="179"/>
        <v>11100</v>
      </c>
      <c r="J2237" s="558"/>
    </row>
    <row r="2238" spans="1:10">
      <c r="A2238" s="502"/>
      <c r="B2238" s="962" t="s">
        <v>702</v>
      </c>
      <c r="C2238" s="683">
        <v>1</v>
      </c>
      <c r="D2238" s="510" t="s">
        <v>15</v>
      </c>
      <c r="E2238" s="963">
        <v>8800</v>
      </c>
      <c r="F2238" s="674">
        <f t="shared" si="177"/>
        <v>8800</v>
      </c>
      <c r="G2238" s="609">
        <v>500</v>
      </c>
      <c r="H2238" s="674">
        <f t="shared" si="178"/>
        <v>500</v>
      </c>
      <c r="I2238" s="674">
        <f t="shared" si="179"/>
        <v>9300</v>
      </c>
      <c r="J2238" s="558"/>
    </row>
    <row r="2239" spans="1:10">
      <c r="A2239" s="502"/>
      <c r="B2239" s="962" t="s">
        <v>703</v>
      </c>
      <c r="C2239" s="683">
        <v>2</v>
      </c>
      <c r="D2239" s="510" t="s">
        <v>15</v>
      </c>
      <c r="E2239" s="963">
        <v>8000</v>
      </c>
      <c r="F2239" s="674">
        <f t="shared" si="177"/>
        <v>16000</v>
      </c>
      <c r="G2239" s="609">
        <v>500</v>
      </c>
      <c r="H2239" s="674">
        <f t="shared" si="178"/>
        <v>1000</v>
      </c>
      <c r="I2239" s="674">
        <f t="shared" si="179"/>
        <v>17000</v>
      </c>
      <c r="J2239" s="558"/>
    </row>
    <row r="2240" spans="1:10">
      <c r="A2240" s="502"/>
      <c r="B2240" s="962" t="s">
        <v>704</v>
      </c>
      <c r="C2240" s="683">
        <v>2</v>
      </c>
      <c r="D2240" s="510" t="s">
        <v>15</v>
      </c>
      <c r="E2240" s="963">
        <v>8000</v>
      </c>
      <c r="F2240" s="674">
        <f t="shared" si="177"/>
        <v>16000</v>
      </c>
      <c r="G2240" s="609">
        <v>500</v>
      </c>
      <c r="H2240" s="674">
        <f t="shared" si="178"/>
        <v>1000</v>
      </c>
      <c r="I2240" s="674">
        <f t="shared" si="179"/>
        <v>17000</v>
      </c>
      <c r="J2240" s="558"/>
    </row>
    <row r="2241" spans="1:10">
      <c r="A2241" s="502"/>
      <c r="B2241" s="962" t="s">
        <v>705</v>
      </c>
      <c r="C2241" s="683">
        <v>1</v>
      </c>
      <c r="D2241" s="510" t="s">
        <v>15</v>
      </c>
      <c r="E2241" s="963">
        <v>8000</v>
      </c>
      <c r="F2241" s="674">
        <f t="shared" si="177"/>
        <v>8000</v>
      </c>
      <c r="G2241" s="609">
        <v>500</v>
      </c>
      <c r="H2241" s="674">
        <f t="shared" si="178"/>
        <v>500</v>
      </c>
      <c r="I2241" s="674">
        <f t="shared" si="179"/>
        <v>8500</v>
      </c>
      <c r="J2241" s="558"/>
    </row>
    <row r="2242" spans="1:10">
      <c r="A2242" s="502"/>
      <c r="B2242" s="962" t="s">
        <v>706</v>
      </c>
      <c r="C2242" s="683">
        <v>1</v>
      </c>
      <c r="D2242" s="510" t="s">
        <v>15</v>
      </c>
      <c r="E2242" s="963">
        <v>8000</v>
      </c>
      <c r="F2242" s="674">
        <f t="shared" si="177"/>
        <v>8000</v>
      </c>
      <c r="G2242" s="609">
        <v>500</v>
      </c>
      <c r="H2242" s="674">
        <f t="shared" si="178"/>
        <v>500</v>
      </c>
      <c r="I2242" s="674">
        <f t="shared" si="179"/>
        <v>8500</v>
      </c>
      <c r="J2242" s="558"/>
    </row>
    <row r="2243" spans="1:10">
      <c r="A2243" s="502"/>
      <c r="B2243" s="962" t="s">
        <v>707</v>
      </c>
      <c r="C2243" s="683">
        <v>1</v>
      </c>
      <c r="D2243" s="510" t="s">
        <v>15</v>
      </c>
      <c r="E2243" s="963">
        <v>150000</v>
      </c>
      <c r="F2243" s="674">
        <f t="shared" si="177"/>
        <v>150000</v>
      </c>
      <c r="G2243" s="931">
        <v>25000</v>
      </c>
      <c r="H2243" s="674">
        <f t="shared" si="178"/>
        <v>25000</v>
      </c>
      <c r="I2243" s="674">
        <f t="shared" si="179"/>
        <v>175000</v>
      </c>
      <c r="J2243" s="558"/>
    </row>
    <row r="2244" spans="1:10">
      <c r="A2244" s="502"/>
      <c r="B2244" s="962" t="s">
        <v>708</v>
      </c>
      <c r="C2244" s="683">
        <v>1</v>
      </c>
      <c r="D2244" s="510" t="s">
        <v>15</v>
      </c>
      <c r="E2244" s="963">
        <v>180000</v>
      </c>
      <c r="F2244" s="674">
        <f t="shared" si="177"/>
        <v>180000</v>
      </c>
      <c r="G2244" s="931">
        <v>30000</v>
      </c>
      <c r="H2244" s="674">
        <f t="shared" si="178"/>
        <v>30000</v>
      </c>
      <c r="I2244" s="674">
        <f t="shared" si="179"/>
        <v>210000</v>
      </c>
      <c r="J2244" s="558"/>
    </row>
    <row r="2245" spans="1:10">
      <c r="A2245" s="502"/>
      <c r="B2245" s="962" t="s">
        <v>709</v>
      </c>
      <c r="C2245" s="683">
        <v>1</v>
      </c>
      <c r="D2245" s="510" t="s">
        <v>15</v>
      </c>
      <c r="E2245" s="963">
        <v>30000</v>
      </c>
      <c r="F2245" s="674">
        <f t="shared" si="177"/>
        <v>30000</v>
      </c>
      <c r="G2245" s="931">
        <v>5000</v>
      </c>
      <c r="H2245" s="674">
        <f t="shared" si="178"/>
        <v>5000</v>
      </c>
      <c r="I2245" s="674">
        <f t="shared" si="179"/>
        <v>35000</v>
      </c>
      <c r="J2245" s="558"/>
    </row>
    <row r="2246" spans="1:10">
      <c r="A2246" s="502"/>
      <c r="B2246" s="962" t="s">
        <v>710</v>
      </c>
      <c r="C2246" s="683">
        <v>1</v>
      </c>
      <c r="D2246" s="510" t="s">
        <v>15</v>
      </c>
      <c r="E2246" s="963">
        <v>105000</v>
      </c>
      <c r="F2246" s="674">
        <f t="shared" si="177"/>
        <v>105000</v>
      </c>
      <c r="G2246" s="931">
        <v>10000</v>
      </c>
      <c r="H2246" s="674">
        <f t="shared" si="178"/>
        <v>10000</v>
      </c>
      <c r="I2246" s="674">
        <f t="shared" si="179"/>
        <v>115000</v>
      </c>
      <c r="J2246" s="558"/>
    </row>
    <row r="2247" spans="1:10">
      <c r="A2247" s="502"/>
      <c r="B2247" s="962" t="s">
        <v>711</v>
      </c>
      <c r="C2247" s="683">
        <v>1</v>
      </c>
      <c r="D2247" s="510" t="s">
        <v>15</v>
      </c>
      <c r="E2247" s="963">
        <v>200000</v>
      </c>
      <c r="F2247" s="674">
        <f t="shared" si="177"/>
        <v>200000</v>
      </c>
      <c r="G2247" s="931">
        <v>25000</v>
      </c>
      <c r="H2247" s="674">
        <f t="shared" si="178"/>
        <v>25000</v>
      </c>
      <c r="I2247" s="674">
        <f t="shared" si="179"/>
        <v>225000</v>
      </c>
      <c r="J2247" s="558"/>
    </row>
    <row r="2248" spans="1:10">
      <c r="A2248" s="502"/>
      <c r="B2248" s="962" t="s">
        <v>666</v>
      </c>
      <c r="C2248" s="683">
        <v>1</v>
      </c>
      <c r="D2248" s="510" t="s">
        <v>15</v>
      </c>
      <c r="E2248" s="963">
        <v>5000</v>
      </c>
      <c r="F2248" s="674">
        <f t="shared" si="177"/>
        <v>5000</v>
      </c>
      <c r="G2248" s="931">
        <v>1500</v>
      </c>
      <c r="H2248" s="674">
        <f t="shared" si="178"/>
        <v>1500</v>
      </c>
      <c r="I2248" s="674">
        <f t="shared" si="179"/>
        <v>6500</v>
      </c>
      <c r="J2248" s="558"/>
    </row>
    <row r="2249" spans="1:10">
      <c r="A2249" s="502"/>
      <c r="B2249" s="962" t="s">
        <v>712</v>
      </c>
      <c r="C2249" s="683">
        <v>1</v>
      </c>
      <c r="D2249" s="510" t="s">
        <v>15</v>
      </c>
      <c r="E2249" s="963">
        <v>45000</v>
      </c>
      <c r="F2249" s="674">
        <f t="shared" si="177"/>
        <v>45000</v>
      </c>
      <c r="G2249" s="931">
        <v>5000</v>
      </c>
      <c r="H2249" s="674">
        <f t="shared" si="178"/>
        <v>5000</v>
      </c>
      <c r="I2249" s="674">
        <f t="shared" si="179"/>
        <v>50000</v>
      </c>
      <c r="J2249" s="558"/>
    </row>
    <row r="2250" spans="1:10">
      <c r="A2250" s="502"/>
      <c r="B2250" s="962" t="s">
        <v>667</v>
      </c>
      <c r="C2250" s="683">
        <v>1</v>
      </c>
      <c r="D2250" s="912" t="s">
        <v>508</v>
      </c>
      <c r="E2250" s="660">
        <f>I2250*0.8</f>
        <v>62400</v>
      </c>
      <c r="F2250" s="913">
        <f>C2250*E2250</f>
        <v>62400</v>
      </c>
      <c r="G2250" s="913">
        <f>I2250*0.2</f>
        <v>15600</v>
      </c>
      <c r="H2250" s="674">
        <f>C2250*G2250</f>
        <v>15600</v>
      </c>
      <c r="I2250" s="674">
        <f>ROUNDUP(SUM(I2231:I2249)*5%,-2)</f>
        <v>78000</v>
      </c>
      <c r="J2250" s="558"/>
    </row>
    <row r="2251" spans="1:10">
      <c r="A2251" s="496" t="s">
        <v>713</v>
      </c>
      <c r="B2251" s="960" t="s">
        <v>714</v>
      </c>
      <c r="C2251" s="683"/>
      <c r="D2251" s="961"/>
      <c r="E2251" s="683"/>
      <c r="F2251" s="676"/>
      <c r="G2251" s="682"/>
      <c r="H2251" s="676"/>
      <c r="I2251" s="676"/>
      <c r="J2251" s="558"/>
    </row>
    <row r="2252" spans="1:10">
      <c r="A2252" s="502"/>
      <c r="B2252" s="962" t="s">
        <v>715</v>
      </c>
      <c r="C2252" s="683">
        <v>50</v>
      </c>
      <c r="D2252" s="910" t="s">
        <v>57</v>
      </c>
      <c r="E2252" s="963">
        <v>12600</v>
      </c>
      <c r="F2252" s="674">
        <f t="shared" ref="F2252:F2264" si="180">E2252*C2252</f>
        <v>630000</v>
      </c>
      <c r="G2252" s="609">
        <v>1800</v>
      </c>
      <c r="H2252" s="674">
        <f t="shared" ref="H2252:H2266" si="181">G2252*C2252</f>
        <v>90000</v>
      </c>
      <c r="I2252" s="674">
        <f t="shared" ref="I2252:I2266" si="182">F2252+H2252</f>
        <v>720000</v>
      </c>
      <c r="J2252" s="558"/>
    </row>
    <row r="2253" spans="1:10">
      <c r="A2253" s="502"/>
      <c r="B2253" s="962" t="s">
        <v>716</v>
      </c>
      <c r="C2253" s="683">
        <v>70</v>
      </c>
      <c r="D2253" s="910" t="s">
        <v>57</v>
      </c>
      <c r="E2253" s="963">
        <v>7500</v>
      </c>
      <c r="F2253" s="674">
        <f t="shared" si="180"/>
        <v>525000</v>
      </c>
      <c r="G2253" s="609">
        <v>1800</v>
      </c>
      <c r="H2253" s="674">
        <f t="shared" si="181"/>
        <v>126000</v>
      </c>
      <c r="I2253" s="674">
        <f t="shared" si="182"/>
        <v>651000</v>
      </c>
      <c r="J2253" s="558"/>
    </row>
    <row r="2254" spans="1:10">
      <c r="A2254" s="502"/>
      <c r="B2254" s="962" t="s">
        <v>717</v>
      </c>
      <c r="C2254" s="683">
        <v>12</v>
      </c>
      <c r="D2254" s="910" t="s">
        <v>57</v>
      </c>
      <c r="E2254" s="963">
        <v>13600</v>
      </c>
      <c r="F2254" s="674">
        <f t="shared" si="180"/>
        <v>163200</v>
      </c>
      <c r="G2254" s="609">
        <v>1800</v>
      </c>
      <c r="H2254" s="674">
        <f t="shared" si="181"/>
        <v>21600</v>
      </c>
      <c r="I2254" s="674">
        <f t="shared" si="182"/>
        <v>184800</v>
      </c>
      <c r="J2254" s="558"/>
    </row>
    <row r="2255" spans="1:10">
      <c r="A2255" s="502"/>
      <c r="B2255" s="962" t="s">
        <v>718</v>
      </c>
      <c r="C2255" s="683">
        <v>12</v>
      </c>
      <c r="D2255" s="910" t="s">
        <v>57</v>
      </c>
      <c r="E2255" s="963">
        <v>8500</v>
      </c>
      <c r="F2255" s="674">
        <f t="shared" si="180"/>
        <v>102000</v>
      </c>
      <c r="G2255" s="609">
        <v>1800</v>
      </c>
      <c r="H2255" s="674">
        <f t="shared" si="181"/>
        <v>21600</v>
      </c>
      <c r="I2255" s="674">
        <f t="shared" si="182"/>
        <v>123600</v>
      </c>
      <c r="J2255" s="558"/>
    </row>
    <row r="2256" spans="1:10">
      <c r="A2256" s="502"/>
      <c r="B2256" s="962" t="s">
        <v>1142</v>
      </c>
      <c r="C2256" s="683">
        <v>1</v>
      </c>
      <c r="D2256" s="510" t="s">
        <v>15</v>
      </c>
      <c r="E2256" s="963">
        <v>30700</v>
      </c>
      <c r="F2256" s="674">
        <f t="shared" si="180"/>
        <v>30700</v>
      </c>
      <c r="G2256" s="931">
        <v>1200</v>
      </c>
      <c r="H2256" s="674">
        <f t="shared" si="181"/>
        <v>1200</v>
      </c>
      <c r="I2256" s="674">
        <f t="shared" si="182"/>
        <v>31900</v>
      </c>
      <c r="J2256" s="558"/>
    </row>
    <row r="2257" spans="1:10">
      <c r="A2257" s="502"/>
      <c r="B2257" s="962" t="s">
        <v>1143</v>
      </c>
      <c r="C2257" s="683">
        <v>1</v>
      </c>
      <c r="D2257" s="510" t="s">
        <v>15</v>
      </c>
      <c r="E2257" s="963">
        <v>22700</v>
      </c>
      <c r="F2257" s="674">
        <f t="shared" si="180"/>
        <v>22700</v>
      </c>
      <c r="G2257" s="931">
        <v>1200</v>
      </c>
      <c r="H2257" s="674">
        <f t="shared" si="181"/>
        <v>1200</v>
      </c>
      <c r="I2257" s="674">
        <f t="shared" si="182"/>
        <v>23900</v>
      </c>
      <c r="J2257" s="558"/>
    </row>
    <row r="2258" spans="1:10">
      <c r="A2258" s="502"/>
      <c r="B2258" s="962" t="s">
        <v>719</v>
      </c>
      <c r="C2258" s="683">
        <v>6</v>
      </c>
      <c r="D2258" s="510" t="s">
        <v>15</v>
      </c>
      <c r="E2258" s="963">
        <v>12300</v>
      </c>
      <c r="F2258" s="674">
        <f t="shared" si="180"/>
        <v>73800</v>
      </c>
      <c r="G2258" s="931">
        <v>1200</v>
      </c>
      <c r="H2258" s="674">
        <f t="shared" si="181"/>
        <v>7200</v>
      </c>
      <c r="I2258" s="674">
        <f t="shared" si="182"/>
        <v>81000</v>
      </c>
      <c r="J2258" s="558"/>
    </row>
    <row r="2259" spans="1:10">
      <c r="A2259" s="502"/>
      <c r="B2259" s="962" t="s">
        <v>720</v>
      </c>
      <c r="C2259" s="683">
        <v>6</v>
      </c>
      <c r="D2259" s="510" t="s">
        <v>15</v>
      </c>
      <c r="E2259" s="963">
        <v>9100</v>
      </c>
      <c r="F2259" s="674">
        <f t="shared" si="180"/>
        <v>54600</v>
      </c>
      <c r="G2259" s="931">
        <v>1200</v>
      </c>
      <c r="H2259" s="674">
        <f t="shared" si="181"/>
        <v>7200</v>
      </c>
      <c r="I2259" s="674">
        <f t="shared" si="182"/>
        <v>61800</v>
      </c>
      <c r="J2259" s="558"/>
    </row>
    <row r="2260" spans="1:10">
      <c r="A2260" s="502"/>
      <c r="B2260" s="962" t="s">
        <v>721</v>
      </c>
      <c r="C2260" s="683">
        <v>1</v>
      </c>
      <c r="D2260" s="510" t="s">
        <v>15</v>
      </c>
      <c r="E2260" s="963">
        <v>15200</v>
      </c>
      <c r="F2260" s="674">
        <f t="shared" si="180"/>
        <v>15200</v>
      </c>
      <c r="G2260" s="931">
        <v>1200</v>
      </c>
      <c r="H2260" s="674">
        <f t="shared" si="181"/>
        <v>1200</v>
      </c>
      <c r="I2260" s="674">
        <f t="shared" si="182"/>
        <v>16400</v>
      </c>
      <c r="J2260" s="558"/>
    </row>
    <row r="2261" spans="1:10">
      <c r="A2261" s="502"/>
      <c r="B2261" s="962" t="s">
        <v>722</v>
      </c>
      <c r="C2261" s="683">
        <v>1</v>
      </c>
      <c r="D2261" s="510" t="s">
        <v>15</v>
      </c>
      <c r="E2261" s="963">
        <v>9900</v>
      </c>
      <c r="F2261" s="674">
        <f t="shared" si="180"/>
        <v>9900</v>
      </c>
      <c r="G2261" s="931">
        <v>1200</v>
      </c>
      <c r="H2261" s="674">
        <f t="shared" si="181"/>
        <v>1200</v>
      </c>
      <c r="I2261" s="674">
        <f t="shared" si="182"/>
        <v>11100</v>
      </c>
      <c r="J2261" s="558"/>
    </row>
    <row r="2262" spans="1:10">
      <c r="A2262" s="502"/>
      <c r="B2262" s="962" t="s">
        <v>723</v>
      </c>
      <c r="C2262" s="683">
        <v>2</v>
      </c>
      <c r="D2262" s="510" t="s">
        <v>15</v>
      </c>
      <c r="E2262" s="963">
        <v>2100</v>
      </c>
      <c r="F2262" s="674">
        <f t="shared" si="180"/>
        <v>4200</v>
      </c>
      <c r="G2262" s="931">
        <v>1200</v>
      </c>
      <c r="H2262" s="674">
        <f t="shared" si="181"/>
        <v>2400</v>
      </c>
      <c r="I2262" s="674">
        <f t="shared" si="182"/>
        <v>6600</v>
      </c>
      <c r="J2262" s="558"/>
    </row>
    <row r="2263" spans="1:10">
      <c r="A2263" s="502"/>
      <c r="B2263" s="962" t="s">
        <v>724</v>
      </c>
      <c r="C2263" s="683">
        <v>2</v>
      </c>
      <c r="D2263" s="510" t="s">
        <v>15</v>
      </c>
      <c r="E2263" s="963">
        <v>1700</v>
      </c>
      <c r="F2263" s="674">
        <f t="shared" si="180"/>
        <v>3400</v>
      </c>
      <c r="G2263" s="931">
        <v>1200</v>
      </c>
      <c r="H2263" s="674">
        <f t="shared" si="181"/>
        <v>2400</v>
      </c>
      <c r="I2263" s="674">
        <f t="shared" si="182"/>
        <v>5800</v>
      </c>
      <c r="J2263" s="558"/>
    </row>
    <row r="2264" spans="1:10">
      <c r="A2264" s="502"/>
      <c r="B2264" s="962" t="s">
        <v>1144</v>
      </c>
      <c r="C2264" s="683">
        <v>1</v>
      </c>
      <c r="D2264" s="510" t="s">
        <v>15</v>
      </c>
      <c r="E2264" s="963">
        <v>30800</v>
      </c>
      <c r="F2264" s="674">
        <f t="shared" si="180"/>
        <v>30800</v>
      </c>
      <c r="G2264" s="931">
        <v>1200</v>
      </c>
      <c r="H2264" s="674">
        <f t="shared" si="181"/>
        <v>1200</v>
      </c>
      <c r="I2264" s="674">
        <f t="shared" si="182"/>
        <v>32000</v>
      </c>
      <c r="J2264" s="558"/>
    </row>
    <row r="2265" spans="1:10">
      <c r="A2265" s="502"/>
      <c r="B2265" s="962" t="s">
        <v>725</v>
      </c>
      <c r="C2265" s="683">
        <v>6</v>
      </c>
      <c r="D2265" s="510" t="s">
        <v>15</v>
      </c>
      <c r="E2265" s="963">
        <v>47000</v>
      </c>
      <c r="F2265" s="674">
        <f>E2265*C2265</f>
        <v>282000</v>
      </c>
      <c r="G2265" s="931">
        <v>1200</v>
      </c>
      <c r="H2265" s="674">
        <f t="shared" si="181"/>
        <v>7200</v>
      </c>
      <c r="I2265" s="674">
        <f t="shared" si="182"/>
        <v>289200</v>
      </c>
      <c r="J2265" s="558"/>
    </row>
    <row r="2266" spans="1:10">
      <c r="A2266" s="502"/>
      <c r="B2266" s="962" t="s">
        <v>1145</v>
      </c>
      <c r="C2266" s="683">
        <v>1</v>
      </c>
      <c r="D2266" s="510" t="s">
        <v>15</v>
      </c>
      <c r="E2266" s="963">
        <v>113800</v>
      </c>
      <c r="F2266" s="674">
        <f>E2266*C2266</f>
        <v>113800</v>
      </c>
      <c r="G2266" s="931">
        <v>1200</v>
      </c>
      <c r="H2266" s="674">
        <f t="shared" si="181"/>
        <v>1200</v>
      </c>
      <c r="I2266" s="674">
        <f t="shared" si="182"/>
        <v>115000</v>
      </c>
      <c r="J2266" s="558"/>
    </row>
    <row r="2267" spans="1:10">
      <c r="A2267" s="502"/>
      <c r="B2267" s="962" t="s">
        <v>726</v>
      </c>
      <c r="C2267" s="683">
        <v>1</v>
      </c>
      <c r="D2267" s="912" t="s">
        <v>508</v>
      </c>
      <c r="E2267" s="660">
        <f>I2267*0.8</f>
        <v>94240</v>
      </c>
      <c r="F2267" s="913">
        <f>C2267*E2267</f>
        <v>94240</v>
      </c>
      <c r="G2267" s="913">
        <f>I2267*0.2</f>
        <v>23560</v>
      </c>
      <c r="H2267" s="674">
        <f>C2267*G2267</f>
        <v>23560</v>
      </c>
      <c r="I2267" s="674">
        <f>ROUNDUP(SUM(I2252:I2266)*5%,-2)</f>
        <v>117800</v>
      </c>
      <c r="J2267" s="558"/>
    </row>
    <row r="2268" spans="1:10">
      <c r="A2268" s="496" t="s">
        <v>727</v>
      </c>
      <c r="B2268" s="960" t="s">
        <v>728</v>
      </c>
      <c r="C2268" s="683"/>
      <c r="D2268" s="961"/>
      <c r="E2268" s="683"/>
      <c r="F2268" s="676"/>
      <c r="G2268" s="682"/>
      <c r="H2268" s="676"/>
      <c r="I2268" s="676"/>
      <c r="J2268" s="558"/>
    </row>
    <row r="2269" spans="1:10">
      <c r="A2269" s="502"/>
      <c r="B2269" s="962" t="s">
        <v>755</v>
      </c>
      <c r="C2269" s="683">
        <v>1</v>
      </c>
      <c r="D2269" s="510" t="s">
        <v>15</v>
      </c>
      <c r="E2269" s="963">
        <v>15440</v>
      </c>
      <c r="F2269" s="674">
        <f>E2269*C2269</f>
        <v>15440</v>
      </c>
      <c r="G2269" s="609">
        <v>1000</v>
      </c>
      <c r="H2269" s="674">
        <f>G2269*C2269</f>
        <v>1000</v>
      </c>
      <c r="I2269" s="674">
        <f>F2269+H2269</f>
        <v>16440</v>
      </c>
      <c r="J2269" s="558"/>
    </row>
    <row r="2270" spans="1:10">
      <c r="A2270" s="502"/>
      <c r="B2270" s="962" t="s">
        <v>756</v>
      </c>
      <c r="C2270" s="683">
        <v>1</v>
      </c>
      <c r="D2270" s="510" t="s">
        <v>15</v>
      </c>
      <c r="E2270" s="963">
        <v>15440</v>
      </c>
      <c r="F2270" s="674">
        <f>E2270*C2270</f>
        <v>15440</v>
      </c>
      <c r="G2270" s="609">
        <v>1000</v>
      </c>
      <c r="H2270" s="674">
        <f>G2270*C2270</f>
        <v>1000</v>
      </c>
      <c r="I2270" s="674">
        <f>F2270+H2270</f>
        <v>16440</v>
      </c>
      <c r="J2270" s="558"/>
    </row>
    <row r="2271" spans="1:10">
      <c r="A2271" s="502"/>
      <c r="B2271" s="962" t="s">
        <v>757</v>
      </c>
      <c r="C2271" s="683">
        <v>1</v>
      </c>
      <c r="D2271" s="510" t="s">
        <v>15</v>
      </c>
      <c r="E2271" s="963">
        <v>13000</v>
      </c>
      <c r="F2271" s="674">
        <f>E2271*C2271</f>
        <v>13000</v>
      </c>
      <c r="G2271" s="609">
        <v>1000</v>
      </c>
      <c r="H2271" s="674">
        <f>G2271*C2271</f>
        <v>1000</v>
      </c>
      <c r="I2271" s="674">
        <f>F2271+H2271</f>
        <v>14000</v>
      </c>
      <c r="J2271" s="558"/>
    </row>
    <row r="2272" spans="1:10">
      <c r="A2272" s="502"/>
      <c r="B2272" s="962" t="s">
        <v>667</v>
      </c>
      <c r="C2272" s="683">
        <v>1</v>
      </c>
      <c r="D2272" s="912" t="s">
        <v>508</v>
      </c>
      <c r="E2272" s="660">
        <f>I2272*0.8</f>
        <v>1920</v>
      </c>
      <c r="F2272" s="913">
        <f>C2272*E2272</f>
        <v>1920</v>
      </c>
      <c r="G2272" s="913">
        <f>I2272*0.2</f>
        <v>480</v>
      </c>
      <c r="H2272" s="674">
        <f>C2272*G2272</f>
        <v>480</v>
      </c>
      <c r="I2272" s="674">
        <f>ROUNDUP(SUM(I2269:I2271)*5%,-2)</f>
        <v>2400</v>
      </c>
      <c r="J2272" s="558"/>
    </row>
    <row r="2273" spans="1:10">
      <c r="A2273" s="496" t="s">
        <v>761</v>
      </c>
      <c r="B2273" s="960" t="s">
        <v>776</v>
      </c>
      <c r="C2273" s="683"/>
      <c r="D2273" s="961"/>
      <c r="E2273" s="683"/>
      <c r="F2273" s="676"/>
      <c r="G2273" s="682"/>
      <c r="H2273" s="676"/>
      <c r="I2273" s="676"/>
      <c r="J2273" s="558"/>
    </row>
    <row r="2274" spans="1:10">
      <c r="A2274" s="496"/>
      <c r="B2274" s="662" t="s">
        <v>664</v>
      </c>
      <c r="C2274" s="506">
        <v>160</v>
      </c>
      <c r="D2274" s="910" t="s">
        <v>57</v>
      </c>
      <c r="E2274" s="489">
        <v>546</v>
      </c>
      <c r="F2274" s="674">
        <f t="shared" ref="F2274:F2279" si="183">E2274*C2274</f>
        <v>87360</v>
      </c>
      <c r="G2274" s="672">
        <v>85</v>
      </c>
      <c r="H2274" s="674">
        <f>G2274*C2274</f>
        <v>13600</v>
      </c>
      <c r="I2274" s="674">
        <f>F2274+H2274</f>
        <v>100960</v>
      </c>
      <c r="J2274" s="489"/>
    </row>
    <row r="2275" spans="1:10">
      <c r="A2275" s="502"/>
      <c r="B2275" s="962" t="s">
        <v>777</v>
      </c>
      <c r="C2275" s="683">
        <v>30</v>
      </c>
      <c r="D2275" s="910" t="s">
        <v>57</v>
      </c>
      <c r="E2275" s="489">
        <v>476</v>
      </c>
      <c r="F2275" s="674">
        <f t="shared" si="183"/>
        <v>14280</v>
      </c>
      <c r="G2275" s="672">
        <v>75</v>
      </c>
      <c r="H2275" s="674">
        <f>G2275*C2275</f>
        <v>2250</v>
      </c>
      <c r="I2275" s="674">
        <f>F2275+H2275</f>
        <v>16530</v>
      </c>
      <c r="J2275" s="558"/>
    </row>
    <row r="2276" spans="1:10">
      <c r="A2276" s="502"/>
      <c r="B2276" s="962" t="s">
        <v>778</v>
      </c>
      <c r="C2276" s="683">
        <v>30</v>
      </c>
      <c r="D2276" s="910" t="s">
        <v>57</v>
      </c>
      <c r="E2276" s="489">
        <v>414</v>
      </c>
      <c r="F2276" s="674">
        <f t="shared" si="183"/>
        <v>12420</v>
      </c>
      <c r="G2276" s="672">
        <v>65</v>
      </c>
      <c r="H2276" s="674">
        <f>G2276*C2276</f>
        <v>1950</v>
      </c>
      <c r="I2276" s="674">
        <f>F2276+H2276</f>
        <v>14370</v>
      </c>
      <c r="J2276" s="558"/>
    </row>
    <row r="2277" spans="1:10">
      <c r="A2277" s="502"/>
      <c r="B2277" s="962" t="s">
        <v>779</v>
      </c>
      <c r="C2277" s="683">
        <v>130</v>
      </c>
      <c r="D2277" s="910" t="s">
        <v>57</v>
      </c>
      <c r="E2277" s="489">
        <v>335</v>
      </c>
      <c r="F2277" s="674">
        <f t="shared" si="183"/>
        <v>43550</v>
      </c>
      <c r="G2277" s="672">
        <v>55</v>
      </c>
      <c r="H2277" s="674">
        <f t="shared" ref="H2277:H2283" si="184">G2277*C2277</f>
        <v>7150</v>
      </c>
      <c r="I2277" s="674">
        <f t="shared" ref="I2277:I2283" si="185">F2277+H2277</f>
        <v>50700</v>
      </c>
      <c r="J2277" s="558"/>
    </row>
    <row r="2278" spans="1:10">
      <c r="A2278" s="502"/>
      <c r="B2278" s="962" t="s">
        <v>780</v>
      </c>
      <c r="C2278" s="683">
        <v>290</v>
      </c>
      <c r="D2278" s="910" t="s">
        <v>57</v>
      </c>
      <c r="E2278" s="489">
        <v>210</v>
      </c>
      <c r="F2278" s="674">
        <f t="shared" si="183"/>
        <v>60900</v>
      </c>
      <c r="G2278" s="672">
        <v>48</v>
      </c>
      <c r="H2278" s="674">
        <f t="shared" si="184"/>
        <v>13920</v>
      </c>
      <c r="I2278" s="674">
        <f t="shared" si="185"/>
        <v>74820</v>
      </c>
      <c r="J2278" s="558"/>
    </row>
    <row r="2279" spans="1:10">
      <c r="A2279" s="502"/>
      <c r="B2279" s="962" t="s">
        <v>781</v>
      </c>
      <c r="C2279" s="683">
        <v>145</v>
      </c>
      <c r="D2279" s="910" t="s">
        <v>57</v>
      </c>
      <c r="E2279" s="489">
        <v>97</v>
      </c>
      <c r="F2279" s="674">
        <f t="shared" si="183"/>
        <v>14065</v>
      </c>
      <c r="G2279" s="672">
        <v>32</v>
      </c>
      <c r="H2279" s="674">
        <f t="shared" si="184"/>
        <v>4640</v>
      </c>
      <c r="I2279" s="674">
        <f t="shared" si="185"/>
        <v>18705</v>
      </c>
      <c r="J2279" s="558"/>
    </row>
    <row r="2280" spans="1:10">
      <c r="A2280" s="502"/>
      <c r="B2280" s="962" t="s">
        <v>784</v>
      </c>
      <c r="C2280" s="683">
        <v>145</v>
      </c>
      <c r="D2280" s="910" t="s">
        <v>57</v>
      </c>
      <c r="E2280" s="489">
        <v>107</v>
      </c>
      <c r="F2280" s="674">
        <f>E2280*C2280</f>
        <v>15515</v>
      </c>
      <c r="G2280" s="672">
        <v>38</v>
      </c>
      <c r="H2280" s="674">
        <f t="shared" si="184"/>
        <v>5510</v>
      </c>
      <c r="I2280" s="674">
        <f t="shared" si="185"/>
        <v>21025</v>
      </c>
      <c r="J2280" s="558"/>
    </row>
    <row r="2281" spans="1:10">
      <c r="A2281" s="502"/>
      <c r="B2281" s="962" t="s">
        <v>787</v>
      </c>
      <c r="C2281" s="683">
        <v>105</v>
      </c>
      <c r="D2281" s="910" t="s">
        <v>57</v>
      </c>
      <c r="E2281" s="489">
        <v>37</v>
      </c>
      <c r="F2281" s="674">
        <f>E2281*C2281</f>
        <v>3885</v>
      </c>
      <c r="G2281" s="672">
        <v>24</v>
      </c>
      <c r="H2281" s="674">
        <f t="shared" si="184"/>
        <v>2520</v>
      </c>
      <c r="I2281" s="674">
        <f t="shared" si="185"/>
        <v>6405</v>
      </c>
      <c r="J2281" s="558"/>
    </row>
    <row r="2282" spans="1:10">
      <c r="A2282" s="502"/>
      <c r="B2282" s="962" t="s">
        <v>789</v>
      </c>
      <c r="C2282" s="683">
        <v>64</v>
      </c>
      <c r="D2282" s="910" t="s">
        <v>57</v>
      </c>
      <c r="E2282" s="489">
        <v>385</v>
      </c>
      <c r="F2282" s="674">
        <f>E2282*C2282</f>
        <v>24640</v>
      </c>
      <c r="G2282" s="672">
        <v>25</v>
      </c>
      <c r="H2282" s="674">
        <f t="shared" si="184"/>
        <v>1600</v>
      </c>
      <c r="I2282" s="674">
        <f t="shared" si="185"/>
        <v>26240</v>
      </c>
      <c r="J2282" s="558"/>
    </row>
    <row r="2283" spans="1:10">
      <c r="A2283" s="502"/>
      <c r="B2283" s="962" t="s">
        <v>1166</v>
      </c>
      <c r="C2283" s="683">
        <v>1</v>
      </c>
      <c r="D2283" s="912" t="s">
        <v>15</v>
      </c>
      <c r="E2283" s="489">
        <v>15000</v>
      </c>
      <c r="F2283" s="674">
        <f>E2283*C2283</f>
        <v>15000</v>
      </c>
      <c r="G2283" s="672">
        <v>5000</v>
      </c>
      <c r="H2283" s="674">
        <f t="shared" si="184"/>
        <v>5000</v>
      </c>
      <c r="I2283" s="674">
        <f t="shared" si="185"/>
        <v>20000</v>
      </c>
      <c r="J2283" s="558"/>
    </row>
    <row r="2284" spans="1:10">
      <c r="A2284" s="502"/>
      <c r="B2284" s="962" t="s">
        <v>790</v>
      </c>
      <c r="C2284" s="683">
        <v>1</v>
      </c>
      <c r="D2284" s="912" t="s">
        <v>508</v>
      </c>
      <c r="E2284" s="660">
        <f>I2284*0.8</f>
        <v>16000</v>
      </c>
      <c r="F2284" s="913">
        <f>C2284*E2284</f>
        <v>16000</v>
      </c>
      <c r="G2284" s="913">
        <f>I2284*0.2</f>
        <v>4000</v>
      </c>
      <c r="H2284" s="674">
        <f>C2284*G2284</f>
        <v>4000</v>
      </c>
      <c r="I2284" s="674">
        <v>20000</v>
      </c>
      <c r="J2284" s="558"/>
    </row>
    <row r="2285" spans="1:10">
      <c r="A2285" s="502"/>
      <c r="B2285" s="962" t="s">
        <v>791</v>
      </c>
      <c r="C2285" s="683">
        <v>1</v>
      </c>
      <c r="D2285" s="912" t="s">
        <v>508</v>
      </c>
      <c r="E2285" s="660">
        <f>I2285*0.8</f>
        <v>29600</v>
      </c>
      <c r="F2285" s="913">
        <f>C2285*E2285</f>
        <v>29600</v>
      </c>
      <c r="G2285" s="913">
        <f>I2285*0.2</f>
        <v>7400</v>
      </c>
      <c r="H2285" s="674">
        <f>C2285*G2285</f>
        <v>7400</v>
      </c>
      <c r="I2285" s="674">
        <f>ROUNDUP(SUM(I2274:I2284)*10%,-2)</f>
        <v>37000</v>
      </c>
      <c r="J2285" s="558"/>
    </row>
    <row r="2286" spans="1:10">
      <c r="A2286" s="502"/>
      <c r="B2286" s="962" t="s">
        <v>667</v>
      </c>
      <c r="C2286" s="683">
        <v>1</v>
      </c>
      <c r="D2286" s="912" t="s">
        <v>508</v>
      </c>
      <c r="E2286" s="660">
        <f>I2286*0.8</f>
        <v>16320</v>
      </c>
      <c r="F2286" s="913">
        <f>C2286*E2286</f>
        <v>16320</v>
      </c>
      <c r="G2286" s="913">
        <f>I2286*0.2</f>
        <v>4080</v>
      </c>
      <c r="H2286" s="674">
        <f>C2286*G2286</f>
        <v>4080</v>
      </c>
      <c r="I2286" s="674">
        <f>ROUNDUP(SUM(I2274:I2285)*5%,-2)</f>
        <v>20400</v>
      </c>
      <c r="J2286" s="558"/>
    </row>
    <row r="2287" spans="1:10">
      <c r="A2287" s="496" t="s">
        <v>775</v>
      </c>
      <c r="B2287" s="960" t="s">
        <v>793</v>
      </c>
      <c r="C2287" s="683"/>
      <c r="D2287" s="961"/>
      <c r="E2287" s="683"/>
      <c r="F2287" s="676"/>
      <c r="G2287" s="682"/>
      <c r="H2287" s="676"/>
      <c r="I2287" s="676"/>
      <c r="J2287" s="558"/>
    </row>
    <row r="2288" spans="1:10">
      <c r="A2288" s="502"/>
      <c r="B2288" s="962" t="s">
        <v>794</v>
      </c>
      <c r="C2288" s="683">
        <v>1024</v>
      </c>
      <c r="D2288" s="910" t="s">
        <v>57</v>
      </c>
      <c r="E2288" s="489">
        <v>982</v>
      </c>
      <c r="F2288" s="674">
        <f t="shared" ref="F2288:F2301" si="186">E2288*C2288</f>
        <v>1005568</v>
      </c>
      <c r="G2288" s="672">
        <v>100</v>
      </c>
      <c r="H2288" s="674">
        <f t="shared" ref="H2288:H2294" si="187">G2288*C2288</f>
        <v>102400</v>
      </c>
      <c r="I2288" s="674">
        <f t="shared" ref="I2288:I2294" si="188">F2288+H2288</f>
        <v>1107968</v>
      </c>
      <c r="J2288" s="558"/>
    </row>
    <row r="2289" spans="1:10">
      <c r="A2289" s="502"/>
      <c r="B2289" s="962" t="s">
        <v>796</v>
      </c>
      <c r="C2289" s="683">
        <v>90</v>
      </c>
      <c r="D2289" s="910" t="s">
        <v>57</v>
      </c>
      <c r="E2289" s="489">
        <v>956</v>
      </c>
      <c r="F2289" s="674">
        <f t="shared" si="186"/>
        <v>86040</v>
      </c>
      <c r="G2289" s="672">
        <v>100</v>
      </c>
      <c r="H2289" s="674">
        <f t="shared" si="187"/>
        <v>9000</v>
      </c>
      <c r="I2289" s="674">
        <f t="shared" si="188"/>
        <v>95040</v>
      </c>
      <c r="J2289" s="558"/>
    </row>
    <row r="2290" spans="1:10">
      <c r="A2290" s="502"/>
      <c r="B2290" s="962" t="s">
        <v>798</v>
      </c>
      <c r="C2290" s="683">
        <v>120</v>
      </c>
      <c r="D2290" s="910" t="s">
        <v>57</v>
      </c>
      <c r="E2290" s="489">
        <v>409</v>
      </c>
      <c r="F2290" s="674">
        <f t="shared" si="186"/>
        <v>49080</v>
      </c>
      <c r="G2290" s="672">
        <v>60</v>
      </c>
      <c r="H2290" s="674">
        <f t="shared" si="187"/>
        <v>7200</v>
      </c>
      <c r="I2290" s="674">
        <f t="shared" si="188"/>
        <v>56280</v>
      </c>
      <c r="J2290" s="558"/>
    </row>
    <row r="2291" spans="1:10">
      <c r="A2291" s="502"/>
      <c r="B2291" s="962" t="s">
        <v>799</v>
      </c>
      <c r="C2291" s="683">
        <v>320</v>
      </c>
      <c r="D2291" s="910" t="s">
        <v>57</v>
      </c>
      <c r="E2291" s="489">
        <v>323</v>
      </c>
      <c r="F2291" s="674">
        <f t="shared" si="186"/>
        <v>103360</v>
      </c>
      <c r="G2291" s="672">
        <v>55</v>
      </c>
      <c r="H2291" s="674">
        <f t="shared" si="187"/>
        <v>17600</v>
      </c>
      <c r="I2291" s="674">
        <f t="shared" si="188"/>
        <v>120960</v>
      </c>
      <c r="J2291" s="558"/>
    </row>
    <row r="2292" spans="1:10">
      <c r="A2292" s="502"/>
      <c r="B2292" s="962" t="s">
        <v>800</v>
      </c>
      <c r="C2292" s="683">
        <v>200</v>
      </c>
      <c r="D2292" s="910" t="s">
        <v>57</v>
      </c>
      <c r="E2292" s="489">
        <v>235</v>
      </c>
      <c r="F2292" s="674">
        <f t="shared" si="186"/>
        <v>47000</v>
      </c>
      <c r="G2292" s="672">
        <v>45</v>
      </c>
      <c r="H2292" s="674">
        <f t="shared" si="187"/>
        <v>9000</v>
      </c>
      <c r="I2292" s="674">
        <f t="shared" si="188"/>
        <v>56000</v>
      </c>
      <c r="J2292" s="558"/>
    </row>
    <row r="2293" spans="1:10">
      <c r="A2293" s="502"/>
      <c r="B2293" s="962" t="s">
        <v>801</v>
      </c>
      <c r="C2293" s="683">
        <v>30</v>
      </c>
      <c r="D2293" s="910" t="s">
        <v>57</v>
      </c>
      <c r="E2293" s="489">
        <v>164</v>
      </c>
      <c r="F2293" s="674">
        <f t="shared" si="186"/>
        <v>4920</v>
      </c>
      <c r="G2293" s="672">
        <v>40</v>
      </c>
      <c r="H2293" s="674">
        <f t="shared" si="187"/>
        <v>1200</v>
      </c>
      <c r="I2293" s="674">
        <f t="shared" si="188"/>
        <v>6120</v>
      </c>
      <c r="J2293" s="558"/>
    </row>
    <row r="2294" spans="1:10">
      <c r="A2294" s="502"/>
      <c r="B2294" s="962" t="s">
        <v>802</v>
      </c>
      <c r="C2294" s="683">
        <v>465</v>
      </c>
      <c r="D2294" s="910" t="s">
        <v>57</v>
      </c>
      <c r="E2294" s="489">
        <v>86</v>
      </c>
      <c r="F2294" s="674">
        <f t="shared" si="186"/>
        <v>39990</v>
      </c>
      <c r="G2294" s="672">
        <v>25</v>
      </c>
      <c r="H2294" s="674">
        <f t="shared" si="187"/>
        <v>11625</v>
      </c>
      <c r="I2294" s="674">
        <f t="shared" si="188"/>
        <v>51615</v>
      </c>
      <c r="J2294" s="558"/>
    </row>
    <row r="2295" spans="1:10">
      <c r="A2295" s="502"/>
      <c r="B2295" s="962" t="s">
        <v>803</v>
      </c>
      <c r="C2295" s="683">
        <v>130</v>
      </c>
      <c r="D2295" s="910" t="s">
        <v>57</v>
      </c>
      <c r="E2295" s="489">
        <v>55</v>
      </c>
      <c r="F2295" s="674">
        <f t="shared" si="186"/>
        <v>7150</v>
      </c>
      <c r="G2295" s="672">
        <v>20</v>
      </c>
      <c r="H2295" s="674">
        <f t="shared" ref="H2295:H2301" si="189">G2295*C2295</f>
        <v>2600</v>
      </c>
      <c r="I2295" s="674">
        <f t="shared" ref="I2295:I2301" si="190">F2295+H2295</f>
        <v>9750</v>
      </c>
      <c r="J2295" s="558"/>
    </row>
    <row r="2296" spans="1:10">
      <c r="A2296" s="502"/>
      <c r="B2296" s="962" t="s">
        <v>804</v>
      </c>
      <c r="C2296" s="683">
        <v>145</v>
      </c>
      <c r="D2296" s="910" t="s">
        <v>57</v>
      </c>
      <c r="E2296" s="489">
        <v>36</v>
      </c>
      <c r="F2296" s="674">
        <f t="shared" si="186"/>
        <v>5220</v>
      </c>
      <c r="G2296" s="672">
        <v>16</v>
      </c>
      <c r="H2296" s="674">
        <f t="shared" si="189"/>
        <v>2320</v>
      </c>
      <c r="I2296" s="674">
        <f t="shared" si="190"/>
        <v>7540</v>
      </c>
      <c r="J2296" s="558"/>
    </row>
    <row r="2297" spans="1:10">
      <c r="A2297" s="502"/>
      <c r="B2297" s="962" t="s">
        <v>805</v>
      </c>
      <c r="C2297" s="683">
        <v>565</v>
      </c>
      <c r="D2297" s="910" t="s">
        <v>57</v>
      </c>
      <c r="E2297" s="489">
        <v>21</v>
      </c>
      <c r="F2297" s="674">
        <f t="shared" si="186"/>
        <v>11865</v>
      </c>
      <c r="G2297" s="672">
        <v>12</v>
      </c>
      <c r="H2297" s="674">
        <f t="shared" si="189"/>
        <v>6780</v>
      </c>
      <c r="I2297" s="674">
        <f t="shared" si="190"/>
        <v>18645</v>
      </c>
      <c r="J2297" s="558"/>
    </row>
    <row r="2298" spans="1:10">
      <c r="A2298" s="502"/>
      <c r="B2298" s="962" t="s">
        <v>806</v>
      </c>
      <c r="C2298" s="683">
        <v>105</v>
      </c>
      <c r="D2298" s="910" t="s">
        <v>57</v>
      </c>
      <c r="E2298" s="489">
        <v>13</v>
      </c>
      <c r="F2298" s="674">
        <f t="shared" si="186"/>
        <v>1365</v>
      </c>
      <c r="G2298" s="672">
        <v>10</v>
      </c>
      <c r="H2298" s="674">
        <f t="shared" si="189"/>
        <v>1050</v>
      </c>
      <c r="I2298" s="674">
        <f t="shared" si="190"/>
        <v>2415</v>
      </c>
      <c r="J2298" s="558"/>
    </row>
    <row r="2299" spans="1:10">
      <c r="A2299" s="502"/>
      <c r="B2299" s="962" t="s">
        <v>808</v>
      </c>
      <c r="C2299" s="683">
        <v>870</v>
      </c>
      <c r="D2299" s="910" t="s">
        <v>57</v>
      </c>
      <c r="E2299" s="489">
        <v>247</v>
      </c>
      <c r="F2299" s="674">
        <f t="shared" si="186"/>
        <v>214890</v>
      </c>
      <c r="G2299" s="672">
        <v>40</v>
      </c>
      <c r="H2299" s="674">
        <f t="shared" si="189"/>
        <v>34800</v>
      </c>
      <c r="I2299" s="674">
        <f t="shared" si="190"/>
        <v>249690</v>
      </c>
      <c r="J2299" s="558"/>
    </row>
    <row r="2300" spans="1:10">
      <c r="A2300" s="502"/>
      <c r="B2300" s="962" t="s">
        <v>809</v>
      </c>
      <c r="C2300" s="683">
        <v>1160</v>
      </c>
      <c r="D2300" s="910" t="s">
        <v>57</v>
      </c>
      <c r="E2300" s="489">
        <v>94</v>
      </c>
      <c r="F2300" s="674">
        <f t="shared" si="186"/>
        <v>109040</v>
      </c>
      <c r="G2300" s="672">
        <v>25</v>
      </c>
      <c r="H2300" s="674">
        <f t="shared" si="189"/>
        <v>29000</v>
      </c>
      <c r="I2300" s="674">
        <f t="shared" si="190"/>
        <v>138040</v>
      </c>
      <c r="J2300" s="558"/>
    </row>
    <row r="2301" spans="1:10">
      <c r="A2301" s="502"/>
      <c r="B2301" s="962" t="s">
        <v>810</v>
      </c>
      <c r="C2301" s="683">
        <v>145</v>
      </c>
      <c r="D2301" s="910" t="s">
        <v>57</v>
      </c>
      <c r="E2301" s="489">
        <v>73</v>
      </c>
      <c r="F2301" s="674">
        <f t="shared" si="186"/>
        <v>10585</v>
      </c>
      <c r="G2301" s="672">
        <v>16</v>
      </c>
      <c r="H2301" s="674">
        <f t="shared" si="189"/>
        <v>2320</v>
      </c>
      <c r="I2301" s="674">
        <f t="shared" si="190"/>
        <v>12905</v>
      </c>
      <c r="J2301" s="558"/>
    </row>
    <row r="2302" spans="1:10">
      <c r="A2302" s="502"/>
      <c r="B2302" s="962" t="s">
        <v>667</v>
      </c>
      <c r="C2302" s="683">
        <v>1</v>
      </c>
      <c r="D2302" s="912" t="s">
        <v>508</v>
      </c>
      <c r="E2302" s="660">
        <f>I2302*0.8</f>
        <v>77360</v>
      </c>
      <c r="F2302" s="913">
        <f>C2302*E2302</f>
        <v>77360</v>
      </c>
      <c r="G2302" s="913">
        <f>I2302*0.2</f>
        <v>19340</v>
      </c>
      <c r="H2302" s="674">
        <f>C2302*G2302</f>
        <v>19340</v>
      </c>
      <c r="I2302" s="674">
        <f>ROUNDUP(SUM(I2288:I2301)*5%,-2)</f>
        <v>96700</v>
      </c>
      <c r="J2302" s="558"/>
    </row>
    <row r="2303" spans="1:10">
      <c r="A2303" s="496" t="s">
        <v>792</v>
      </c>
      <c r="B2303" s="960" t="s">
        <v>658</v>
      </c>
      <c r="C2303" s="683"/>
      <c r="D2303" s="961"/>
      <c r="E2303" s="683"/>
      <c r="F2303" s="676"/>
      <c r="G2303" s="682"/>
      <c r="H2303" s="676"/>
      <c r="I2303" s="676"/>
      <c r="J2303" s="558"/>
    </row>
    <row r="2304" spans="1:10">
      <c r="A2304" s="502"/>
      <c r="B2304" s="962" t="s">
        <v>820</v>
      </c>
      <c r="C2304" s="683">
        <v>3000</v>
      </c>
      <c r="D2304" s="910" t="s">
        <v>57</v>
      </c>
      <c r="E2304" s="489">
        <v>170</v>
      </c>
      <c r="F2304" s="674">
        <f>E2304*C2304</f>
        <v>510000</v>
      </c>
      <c r="G2304" s="672">
        <v>40</v>
      </c>
      <c r="H2304" s="674">
        <f>G2304*C2304</f>
        <v>120000</v>
      </c>
      <c r="I2304" s="674">
        <f>F2304+H2304</f>
        <v>630000</v>
      </c>
      <c r="J2304" s="558"/>
    </row>
    <row r="2305" spans="1:10">
      <c r="A2305" s="502"/>
      <c r="B2305" s="962" t="s">
        <v>821</v>
      </c>
      <c r="C2305" s="683">
        <v>1750</v>
      </c>
      <c r="D2305" s="910" t="s">
        <v>57</v>
      </c>
      <c r="E2305" s="489">
        <v>29</v>
      </c>
      <c r="F2305" s="674">
        <f>E2305*C2305</f>
        <v>50750</v>
      </c>
      <c r="G2305" s="672">
        <v>35</v>
      </c>
      <c r="H2305" s="674">
        <f>G2305*C2305</f>
        <v>61250</v>
      </c>
      <c r="I2305" s="674">
        <f>F2305+H2305</f>
        <v>112000</v>
      </c>
      <c r="J2305" s="558"/>
    </row>
    <row r="2306" spans="1:10">
      <c r="A2306" s="502"/>
      <c r="B2306" s="962" t="s">
        <v>822</v>
      </c>
      <c r="C2306" s="683">
        <v>128</v>
      </c>
      <c r="D2306" s="510" t="s">
        <v>15</v>
      </c>
      <c r="E2306" s="489">
        <v>1200</v>
      </c>
      <c r="F2306" s="674">
        <f>E2306*C2306</f>
        <v>153600</v>
      </c>
      <c r="G2306" s="672">
        <v>200</v>
      </c>
      <c r="H2306" s="674">
        <f>G2306*C2306</f>
        <v>25600</v>
      </c>
      <c r="I2306" s="674">
        <f>F2306+H2306</f>
        <v>179200</v>
      </c>
      <c r="J2306" s="558"/>
    </row>
    <row r="2307" spans="1:10">
      <c r="A2307" s="502"/>
      <c r="B2307" s="962" t="s">
        <v>823</v>
      </c>
      <c r="C2307" s="683">
        <v>105</v>
      </c>
      <c r="D2307" s="510" t="s">
        <v>15</v>
      </c>
      <c r="E2307" s="489">
        <v>1000</v>
      </c>
      <c r="F2307" s="674">
        <f>E2307*C2307</f>
        <v>105000</v>
      </c>
      <c r="G2307" s="672">
        <v>200</v>
      </c>
      <c r="H2307" s="674">
        <f>G2307*C2307</f>
        <v>21000</v>
      </c>
      <c r="I2307" s="674">
        <f>F2307+H2307</f>
        <v>126000</v>
      </c>
      <c r="J2307" s="558"/>
    </row>
    <row r="2308" spans="1:10">
      <c r="A2308" s="502"/>
      <c r="B2308" s="962" t="s">
        <v>824</v>
      </c>
      <c r="C2308" s="683">
        <v>24</v>
      </c>
      <c r="D2308" s="510" t="s">
        <v>15</v>
      </c>
      <c r="E2308" s="489">
        <v>1500</v>
      </c>
      <c r="F2308" s="674">
        <f>E2308*C2308</f>
        <v>36000</v>
      </c>
      <c r="G2308" s="672">
        <v>300</v>
      </c>
      <c r="H2308" s="674">
        <f>G2308*C2308</f>
        <v>7200</v>
      </c>
      <c r="I2308" s="674">
        <f>F2308+H2308</f>
        <v>43200</v>
      </c>
      <c r="J2308" s="558"/>
    </row>
    <row r="2309" spans="1:10">
      <c r="A2309" s="502"/>
      <c r="B2309" s="962" t="s">
        <v>791</v>
      </c>
      <c r="C2309" s="683">
        <v>1</v>
      </c>
      <c r="D2309" s="912" t="s">
        <v>508</v>
      </c>
      <c r="E2309" s="660">
        <f>I2309*0.8</f>
        <v>87280</v>
      </c>
      <c r="F2309" s="913">
        <f>C2309*E2309</f>
        <v>87280</v>
      </c>
      <c r="G2309" s="913">
        <f>I2309*0.2</f>
        <v>21820</v>
      </c>
      <c r="H2309" s="674">
        <f>C2309*G2309</f>
        <v>21820</v>
      </c>
      <c r="I2309" s="674">
        <f>ROUNDUP(SUM(I2304:I2308)*10%,-2)</f>
        <v>109100</v>
      </c>
      <c r="J2309" s="558"/>
    </row>
    <row r="2310" spans="1:10">
      <c r="A2310" s="502"/>
      <c r="B2310" s="962"/>
      <c r="C2310" s="683"/>
      <c r="D2310" s="598"/>
      <c r="E2310" s="963"/>
      <c r="F2310" s="674"/>
      <c r="G2310" s="609"/>
      <c r="H2310" s="674"/>
      <c r="I2310" s="674"/>
      <c r="J2310" s="558"/>
    </row>
    <row r="2311" spans="1:10">
      <c r="A2311" s="681">
        <v>5.2</v>
      </c>
      <c r="B2311" s="957" t="s">
        <v>825</v>
      </c>
      <c r="C2311" s="895"/>
      <c r="D2311" s="486"/>
      <c r="E2311" s="958"/>
      <c r="F2311" s="680"/>
      <c r="G2311" s="959"/>
      <c r="H2311" s="680"/>
      <c r="I2311" s="680"/>
      <c r="J2311" s="565"/>
    </row>
    <row r="2312" spans="1:10">
      <c r="A2312" s="496" t="s">
        <v>826</v>
      </c>
      <c r="B2312" s="960" t="s">
        <v>728</v>
      </c>
      <c r="C2312" s="683"/>
      <c r="D2312" s="961"/>
      <c r="E2312" s="683"/>
      <c r="F2312" s="676"/>
      <c r="G2312" s="682"/>
      <c r="H2312" s="676"/>
      <c r="I2312" s="676"/>
      <c r="J2312" s="558"/>
    </row>
    <row r="2313" spans="1:10">
      <c r="A2313" s="502"/>
      <c r="B2313" s="962" t="s">
        <v>729</v>
      </c>
      <c r="C2313" s="683">
        <v>1</v>
      </c>
      <c r="D2313" s="510" t="s">
        <v>15</v>
      </c>
      <c r="E2313" s="963">
        <v>69200</v>
      </c>
      <c r="F2313" s="674">
        <f t="shared" ref="F2313:F2328" si="191">E2313*C2313</f>
        <v>69200</v>
      </c>
      <c r="G2313" s="609">
        <v>2500</v>
      </c>
      <c r="H2313" s="674">
        <f>G2313*C2313</f>
        <v>2500</v>
      </c>
      <c r="I2313" s="674">
        <f>F2313+H2313</f>
        <v>71700</v>
      </c>
      <c r="J2313" s="558"/>
    </row>
    <row r="2314" spans="1:10">
      <c r="A2314" s="502"/>
      <c r="B2314" s="962" t="s">
        <v>1146</v>
      </c>
      <c r="C2314" s="683">
        <v>1</v>
      </c>
      <c r="D2314" s="510" t="s">
        <v>15</v>
      </c>
      <c r="E2314" s="963">
        <v>81200</v>
      </c>
      <c r="F2314" s="674">
        <f t="shared" si="191"/>
        <v>81200</v>
      </c>
      <c r="G2314" s="609">
        <v>2500</v>
      </c>
      <c r="H2314" s="674">
        <f>G2314*C2314</f>
        <v>2500</v>
      </c>
      <c r="I2314" s="674">
        <f>F2314+H2314</f>
        <v>83700</v>
      </c>
      <c r="J2314" s="558"/>
    </row>
    <row r="2315" spans="1:10">
      <c r="A2315" s="502"/>
      <c r="B2315" s="962" t="s">
        <v>1147</v>
      </c>
      <c r="C2315" s="683">
        <v>1</v>
      </c>
      <c r="D2315" s="510" t="s">
        <v>15</v>
      </c>
      <c r="E2315" s="963">
        <v>66500</v>
      </c>
      <c r="F2315" s="674">
        <f t="shared" si="191"/>
        <v>66500</v>
      </c>
      <c r="G2315" s="609">
        <v>2500</v>
      </c>
      <c r="H2315" s="674">
        <f>G2315*C2315</f>
        <v>2500</v>
      </c>
      <c r="I2315" s="674">
        <f>F2315+H2315</f>
        <v>69000</v>
      </c>
      <c r="J2315" s="558"/>
    </row>
    <row r="2316" spans="1:10">
      <c r="A2316" s="502"/>
      <c r="B2316" s="962" t="s">
        <v>734</v>
      </c>
      <c r="C2316" s="683">
        <v>1</v>
      </c>
      <c r="D2316" s="510" t="s">
        <v>15</v>
      </c>
      <c r="E2316" s="963">
        <v>42100</v>
      </c>
      <c r="F2316" s="674">
        <f t="shared" si="191"/>
        <v>42100</v>
      </c>
      <c r="G2316" s="609">
        <v>2500</v>
      </c>
      <c r="H2316" s="674">
        <f t="shared" ref="H2316:H2326" si="192">G2316*C2316</f>
        <v>2500</v>
      </c>
      <c r="I2316" s="674">
        <f t="shared" ref="I2316:I2326" si="193">F2316+H2316</f>
        <v>44600</v>
      </c>
      <c r="J2316" s="558"/>
    </row>
    <row r="2317" spans="1:10">
      <c r="A2317" s="502"/>
      <c r="B2317" s="962" t="s">
        <v>735</v>
      </c>
      <c r="C2317" s="683">
        <v>1</v>
      </c>
      <c r="D2317" s="510" t="s">
        <v>15</v>
      </c>
      <c r="E2317" s="963">
        <v>36100</v>
      </c>
      <c r="F2317" s="674">
        <f t="shared" si="191"/>
        <v>36100</v>
      </c>
      <c r="G2317" s="609">
        <v>2500</v>
      </c>
      <c r="H2317" s="674">
        <f t="shared" si="192"/>
        <v>2500</v>
      </c>
      <c r="I2317" s="674">
        <f t="shared" si="193"/>
        <v>38600</v>
      </c>
      <c r="J2317" s="558"/>
    </row>
    <row r="2318" spans="1:10">
      <c r="A2318" s="502"/>
      <c r="B2318" s="962" t="s">
        <v>736</v>
      </c>
      <c r="C2318" s="683">
        <v>1</v>
      </c>
      <c r="D2318" s="510" t="s">
        <v>15</v>
      </c>
      <c r="E2318" s="963">
        <v>16420</v>
      </c>
      <c r="F2318" s="674">
        <f t="shared" si="191"/>
        <v>16420</v>
      </c>
      <c r="G2318" s="609">
        <v>1000</v>
      </c>
      <c r="H2318" s="674">
        <f t="shared" si="192"/>
        <v>1000</v>
      </c>
      <c r="I2318" s="674">
        <f t="shared" si="193"/>
        <v>17420</v>
      </c>
      <c r="J2318" s="558"/>
    </row>
    <row r="2319" spans="1:10">
      <c r="A2319" s="502"/>
      <c r="B2319" s="962" t="s">
        <v>737</v>
      </c>
      <c r="C2319" s="683">
        <v>1</v>
      </c>
      <c r="D2319" s="510" t="s">
        <v>15</v>
      </c>
      <c r="E2319" s="963">
        <v>14800</v>
      </c>
      <c r="F2319" s="674">
        <f t="shared" si="191"/>
        <v>14800</v>
      </c>
      <c r="G2319" s="609">
        <v>1000</v>
      </c>
      <c r="H2319" s="674">
        <f t="shared" si="192"/>
        <v>1000</v>
      </c>
      <c r="I2319" s="674">
        <f t="shared" si="193"/>
        <v>15800</v>
      </c>
      <c r="J2319" s="558"/>
    </row>
    <row r="2320" spans="1:10">
      <c r="A2320" s="502"/>
      <c r="B2320" s="962" t="s">
        <v>738</v>
      </c>
      <c r="C2320" s="683">
        <v>1</v>
      </c>
      <c r="D2320" s="510" t="s">
        <v>15</v>
      </c>
      <c r="E2320" s="963">
        <v>39180</v>
      </c>
      <c r="F2320" s="674">
        <f t="shared" si="191"/>
        <v>39180</v>
      </c>
      <c r="G2320" s="609">
        <v>1000</v>
      </c>
      <c r="H2320" s="674">
        <f t="shared" si="192"/>
        <v>1000</v>
      </c>
      <c r="I2320" s="674">
        <f t="shared" si="193"/>
        <v>40180</v>
      </c>
      <c r="J2320" s="558"/>
    </row>
    <row r="2321" spans="1:10">
      <c r="A2321" s="502"/>
      <c r="B2321" s="962" t="s">
        <v>739</v>
      </c>
      <c r="C2321" s="683">
        <v>1</v>
      </c>
      <c r="D2321" s="510" t="s">
        <v>15</v>
      </c>
      <c r="E2321" s="963">
        <v>21260</v>
      </c>
      <c r="F2321" s="674">
        <f t="shared" si="191"/>
        <v>21260</v>
      </c>
      <c r="G2321" s="609">
        <v>1000</v>
      </c>
      <c r="H2321" s="674">
        <f t="shared" si="192"/>
        <v>1000</v>
      </c>
      <c r="I2321" s="674">
        <f t="shared" si="193"/>
        <v>22260</v>
      </c>
      <c r="J2321" s="558"/>
    </row>
    <row r="2322" spans="1:10">
      <c r="A2322" s="502"/>
      <c r="B2322" s="962" t="s">
        <v>740</v>
      </c>
      <c r="C2322" s="683">
        <v>1</v>
      </c>
      <c r="D2322" s="510" t="s">
        <v>15</v>
      </c>
      <c r="E2322" s="963">
        <v>24370</v>
      </c>
      <c r="F2322" s="674">
        <f t="shared" si="191"/>
        <v>24370</v>
      </c>
      <c r="G2322" s="609">
        <v>1000</v>
      </c>
      <c r="H2322" s="674">
        <f t="shared" si="192"/>
        <v>1000</v>
      </c>
      <c r="I2322" s="674">
        <f t="shared" si="193"/>
        <v>25370</v>
      </c>
      <c r="J2322" s="558"/>
    </row>
    <row r="2323" spans="1:10">
      <c r="A2323" s="502"/>
      <c r="B2323" s="962" t="s">
        <v>1149</v>
      </c>
      <c r="C2323" s="683">
        <v>1</v>
      </c>
      <c r="D2323" s="510" t="s">
        <v>15</v>
      </c>
      <c r="E2323" s="963">
        <v>17460</v>
      </c>
      <c r="F2323" s="674">
        <f t="shared" si="191"/>
        <v>17460</v>
      </c>
      <c r="G2323" s="609">
        <v>1000</v>
      </c>
      <c r="H2323" s="674">
        <f t="shared" si="192"/>
        <v>1000</v>
      </c>
      <c r="I2323" s="674">
        <f t="shared" si="193"/>
        <v>18460</v>
      </c>
      <c r="J2323" s="558"/>
    </row>
    <row r="2324" spans="1:10">
      <c r="A2324" s="502"/>
      <c r="B2324" s="962" t="s">
        <v>1150</v>
      </c>
      <c r="C2324" s="683">
        <v>1</v>
      </c>
      <c r="D2324" s="510" t="s">
        <v>15</v>
      </c>
      <c r="E2324" s="963">
        <v>43710</v>
      </c>
      <c r="F2324" s="674">
        <f t="shared" si="191"/>
        <v>43710</v>
      </c>
      <c r="G2324" s="609">
        <v>1000</v>
      </c>
      <c r="H2324" s="674">
        <f t="shared" si="192"/>
        <v>1000</v>
      </c>
      <c r="I2324" s="674">
        <f t="shared" si="193"/>
        <v>44710</v>
      </c>
      <c r="J2324" s="558"/>
    </row>
    <row r="2325" spans="1:10">
      <c r="A2325" s="502"/>
      <c r="B2325" s="962" t="s">
        <v>1151</v>
      </c>
      <c r="C2325" s="683">
        <v>1</v>
      </c>
      <c r="D2325" s="510" t="s">
        <v>15</v>
      </c>
      <c r="E2325" s="963">
        <v>43710</v>
      </c>
      <c r="F2325" s="674">
        <f t="shared" si="191"/>
        <v>43710</v>
      </c>
      <c r="G2325" s="609">
        <v>1000</v>
      </c>
      <c r="H2325" s="674">
        <f t="shared" si="192"/>
        <v>1000</v>
      </c>
      <c r="I2325" s="674">
        <f t="shared" si="193"/>
        <v>44710</v>
      </c>
      <c r="J2325" s="558"/>
    </row>
    <row r="2326" spans="1:10">
      <c r="A2326" s="502"/>
      <c r="B2326" s="962" t="s">
        <v>1152</v>
      </c>
      <c r="C2326" s="683">
        <v>1</v>
      </c>
      <c r="D2326" s="510" t="s">
        <v>15</v>
      </c>
      <c r="E2326" s="963">
        <v>43710</v>
      </c>
      <c r="F2326" s="674">
        <f t="shared" si="191"/>
        <v>43710</v>
      </c>
      <c r="G2326" s="609">
        <v>1000</v>
      </c>
      <c r="H2326" s="674">
        <f t="shared" si="192"/>
        <v>1000</v>
      </c>
      <c r="I2326" s="674">
        <f t="shared" si="193"/>
        <v>44710</v>
      </c>
      <c r="J2326" s="558"/>
    </row>
    <row r="2327" spans="1:10">
      <c r="A2327" s="502"/>
      <c r="B2327" s="962" t="s">
        <v>749</v>
      </c>
      <c r="C2327" s="683">
        <v>1</v>
      </c>
      <c r="D2327" s="510" t="s">
        <v>15</v>
      </c>
      <c r="E2327" s="963">
        <v>18350</v>
      </c>
      <c r="F2327" s="674">
        <f t="shared" si="191"/>
        <v>18350</v>
      </c>
      <c r="G2327" s="609">
        <v>1000</v>
      </c>
      <c r="H2327" s="674">
        <f>G2327*C2327</f>
        <v>1000</v>
      </c>
      <c r="I2327" s="674">
        <f>F2327+H2327</f>
        <v>19350</v>
      </c>
      <c r="J2327" s="558"/>
    </row>
    <row r="2328" spans="1:10">
      <c r="A2328" s="502"/>
      <c r="B2328" s="962" t="s">
        <v>750</v>
      </c>
      <c r="C2328" s="683">
        <v>1</v>
      </c>
      <c r="D2328" s="510" t="s">
        <v>15</v>
      </c>
      <c r="E2328" s="963">
        <v>19440</v>
      </c>
      <c r="F2328" s="674">
        <f t="shared" si="191"/>
        <v>19440</v>
      </c>
      <c r="G2328" s="609">
        <v>1000</v>
      </c>
      <c r="H2328" s="674">
        <f>G2328*C2328</f>
        <v>1000</v>
      </c>
      <c r="I2328" s="674">
        <f>F2328+H2328</f>
        <v>20440</v>
      </c>
      <c r="J2328" s="558"/>
    </row>
    <row r="2329" spans="1:10">
      <c r="A2329" s="502"/>
      <c r="B2329" s="962" t="s">
        <v>758</v>
      </c>
      <c r="C2329" s="683"/>
      <c r="D2329" s="964"/>
      <c r="E2329" s="963"/>
      <c r="F2329" s="674"/>
      <c r="G2329" s="609"/>
      <c r="H2329" s="674"/>
      <c r="I2329" s="674"/>
      <c r="J2329" s="558"/>
    </row>
    <row r="2330" spans="1:10">
      <c r="A2330" s="502"/>
      <c r="B2330" s="962" t="s">
        <v>759</v>
      </c>
      <c r="C2330" s="683">
        <v>2</v>
      </c>
      <c r="D2330" s="510" t="s">
        <v>15</v>
      </c>
      <c r="E2330" s="963">
        <v>6500</v>
      </c>
      <c r="F2330" s="674">
        <f>E2330*C2330</f>
        <v>13000</v>
      </c>
      <c r="G2330" s="609">
        <v>500</v>
      </c>
      <c r="H2330" s="674">
        <f>G2330*C2330</f>
        <v>1000</v>
      </c>
      <c r="I2330" s="674">
        <f>F2330+H2330</f>
        <v>14000</v>
      </c>
      <c r="J2330" s="558"/>
    </row>
    <row r="2331" spans="1:10">
      <c r="A2331" s="502"/>
      <c r="B2331" s="962" t="s">
        <v>760</v>
      </c>
      <c r="C2331" s="683">
        <v>3</v>
      </c>
      <c r="D2331" s="510" t="s">
        <v>15</v>
      </c>
      <c r="E2331" s="963">
        <v>6500</v>
      </c>
      <c r="F2331" s="674">
        <f>E2331*C2331</f>
        <v>19500</v>
      </c>
      <c r="G2331" s="609">
        <v>500</v>
      </c>
      <c r="H2331" s="674">
        <f>G2331*C2331</f>
        <v>1500</v>
      </c>
      <c r="I2331" s="674">
        <f>F2331+H2331</f>
        <v>21000</v>
      </c>
      <c r="J2331" s="558"/>
    </row>
    <row r="2332" spans="1:10">
      <c r="A2332" s="502"/>
      <c r="B2332" s="962" t="s">
        <v>667</v>
      </c>
      <c r="C2332" s="683">
        <v>1</v>
      </c>
      <c r="D2332" s="912" t="s">
        <v>508</v>
      </c>
      <c r="E2332" s="660">
        <f>I2332*0.8</f>
        <v>26320</v>
      </c>
      <c r="F2332" s="913">
        <f>C2332*E2332</f>
        <v>26320</v>
      </c>
      <c r="G2332" s="913">
        <f>I2332*0.2</f>
        <v>6580</v>
      </c>
      <c r="H2332" s="674">
        <f>C2332*G2332</f>
        <v>6580</v>
      </c>
      <c r="I2332" s="674">
        <f>ROUNDUP(SUM(I2313:I2331)*5%,-2)</f>
        <v>32900</v>
      </c>
      <c r="J2332" s="558"/>
    </row>
    <row r="2333" spans="1:10">
      <c r="A2333" s="496" t="s">
        <v>827</v>
      </c>
      <c r="B2333" s="960" t="s">
        <v>762</v>
      </c>
      <c r="C2333" s="683"/>
      <c r="D2333" s="961"/>
      <c r="E2333" s="683"/>
      <c r="F2333" s="676"/>
      <c r="G2333" s="682"/>
      <c r="H2333" s="676"/>
      <c r="I2333" s="676"/>
      <c r="J2333" s="558"/>
    </row>
    <row r="2334" spans="1:10">
      <c r="A2334" s="502"/>
      <c r="B2334" s="962" t="s">
        <v>763</v>
      </c>
      <c r="C2334" s="683">
        <v>104</v>
      </c>
      <c r="D2334" s="510" t="s">
        <v>15</v>
      </c>
      <c r="E2334" s="963">
        <v>3500</v>
      </c>
      <c r="F2334" s="674">
        <f t="shared" ref="F2334:F2345" si="194">E2334*C2334</f>
        <v>364000</v>
      </c>
      <c r="G2334" s="609">
        <v>200</v>
      </c>
      <c r="H2334" s="674">
        <f t="shared" ref="H2334:H2344" si="195">G2334*C2334</f>
        <v>20800</v>
      </c>
      <c r="I2334" s="674">
        <f t="shared" ref="I2334:I2345" si="196">F2334+H2334</f>
        <v>384800</v>
      </c>
      <c r="J2334" s="558"/>
    </row>
    <row r="2335" spans="1:10">
      <c r="A2335" s="502"/>
      <c r="B2335" s="962" t="s">
        <v>764</v>
      </c>
      <c r="C2335" s="683">
        <v>167</v>
      </c>
      <c r="D2335" s="510" t="s">
        <v>15</v>
      </c>
      <c r="E2335" s="963">
        <v>3500</v>
      </c>
      <c r="F2335" s="674">
        <f t="shared" si="194"/>
        <v>584500</v>
      </c>
      <c r="G2335" s="609">
        <v>200</v>
      </c>
      <c r="H2335" s="674">
        <f t="shared" si="195"/>
        <v>33400</v>
      </c>
      <c r="I2335" s="674">
        <f t="shared" si="196"/>
        <v>617900</v>
      </c>
      <c r="J2335" s="558"/>
    </row>
    <row r="2336" spans="1:10">
      <c r="A2336" s="502"/>
      <c r="B2336" s="962" t="s">
        <v>765</v>
      </c>
      <c r="C2336" s="683">
        <v>28</v>
      </c>
      <c r="D2336" s="510" t="s">
        <v>15</v>
      </c>
      <c r="E2336" s="963">
        <v>2700</v>
      </c>
      <c r="F2336" s="674">
        <f t="shared" si="194"/>
        <v>75600</v>
      </c>
      <c r="G2336" s="609">
        <v>150</v>
      </c>
      <c r="H2336" s="674">
        <f t="shared" si="195"/>
        <v>4200</v>
      </c>
      <c r="I2336" s="674">
        <f t="shared" si="196"/>
        <v>79800</v>
      </c>
      <c r="J2336" s="558"/>
    </row>
    <row r="2337" spans="1:10">
      <c r="A2337" s="502"/>
      <c r="B2337" s="962" t="s">
        <v>767</v>
      </c>
      <c r="C2337" s="683">
        <v>24</v>
      </c>
      <c r="D2337" s="510" t="s">
        <v>15</v>
      </c>
      <c r="E2337" s="963">
        <v>1200</v>
      </c>
      <c r="F2337" s="674">
        <f t="shared" si="194"/>
        <v>28800</v>
      </c>
      <c r="G2337" s="609">
        <v>115</v>
      </c>
      <c r="H2337" s="674">
        <f t="shared" si="195"/>
        <v>2760</v>
      </c>
      <c r="I2337" s="674">
        <f t="shared" si="196"/>
        <v>31560</v>
      </c>
      <c r="J2337" s="558"/>
    </row>
    <row r="2338" spans="1:10">
      <c r="A2338" s="502"/>
      <c r="B2338" s="962" t="s">
        <v>768</v>
      </c>
      <c r="C2338" s="683">
        <v>8</v>
      </c>
      <c r="D2338" s="510" t="s">
        <v>15</v>
      </c>
      <c r="E2338" s="963">
        <v>950</v>
      </c>
      <c r="F2338" s="674">
        <f t="shared" si="194"/>
        <v>7600</v>
      </c>
      <c r="G2338" s="609">
        <v>150</v>
      </c>
      <c r="H2338" s="674">
        <f t="shared" si="195"/>
        <v>1200</v>
      </c>
      <c r="I2338" s="674">
        <f t="shared" si="196"/>
        <v>8800</v>
      </c>
      <c r="J2338" s="558"/>
    </row>
    <row r="2339" spans="1:10">
      <c r="A2339" s="502"/>
      <c r="B2339" s="962" t="s">
        <v>769</v>
      </c>
      <c r="C2339" s="683">
        <v>7</v>
      </c>
      <c r="D2339" s="510" t="s">
        <v>15</v>
      </c>
      <c r="E2339" s="963">
        <v>750</v>
      </c>
      <c r="F2339" s="674">
        <f t="shared" si="194"/>
        <v>5250</v>
      </c>
      <c r="G2339" s="609">
        <v>115</v>
      </c>
      <c r="H2339" s="674">
        <f t="shared" si="195"/>
        <v>805</v>
      </c>
      <c r="I2339" s="674">
        <f t="shared" si="196"/>
        <v>6055</v>
      </c>
      <c r="J2339" s="558"/>
    </row>
    <row r="2340" spans="1:10">
      <c r="A2340" s="502"/>
      <c r="B2340" s="962" t="s">
        <v>770</v>
      </c>
      <c r="C2340" s="683">
        <v>123</v>
      </c>
      <c r="D2340" s="510" t="s">
        <v>15</v>
      </c>
      <c r="E2340" s="963">
        <v>1700</v>
      </c>
      <c r="F2340" s="674">
        <f t="shared" si="194"/>
        <v>209100</v>
      </c>
      <c r="G2340" s="609">
        <v>150</v>
      </c>
      <c r="H2340" s="674">
        <f t="shared" si="195"/>
        <v>18450</v>
      </c>
      <c r="I2340" s="674">
        <f t="shared" si="196"/>
        <v>227550</v>
      </c>
      <c r="J2340" s="558"/>
    </row>
    <row r="2341" spans="1:10">
      <c r="A2341" s="502"/>
      <c r="B2341" s="962" t="s">
        <v>771</v>
      </c>
      <c r="C2341" s="683">
        <v>70</v>
      </c>
      <c r="D2341" s="510" t="s">
        <v>15</v>
      </c>
      <c r="E2341" s="963">
        <v>2000</v>
      </c>
      <c r="F2341" s="674">
        <f t="shared" si="194"/>
        <v>140000</v>
      </c>
      <c r="G2341" s="609">
        <v>115</v>
      </c>
      <c r="H2341" s="674">
        <f t="shared" si="195"/>
        <v>8050</v>
      </c>
      <c r="I2341" s="674">
        <f t="shared" si="196"/>
        <v>148050</v>
      </c>
      <c r="J2341" s="558"/>
    </row>
    <row r="2342" spans="1:10">
      <c r="A2342" s="502"/>
      <c r="B2342" s="962" t="s">
        <v>1163</v>
      </c>
      <c r="C2342" s="683">
        <v>243</v>
      </c>
      <c r="D2342" s="510" t="s">
        <v>15</v>
      </c>
      <c r="E2342" s="963">
        <v>3000</v>
      </c>
      <c r="F2342" s="674">
        <f t="shared" si="194"/>
        <v>729000</v>
      </c>
      <c r="G2342" s="609">
        <v>165</v>
      </c>
      <c r="H2342" s="674">
        <f t="shared" si="195"/>
        <v>40095</v>
      </c>
      <c r="I2342" s="674">
        <f t="shared" si="196"/>
        <v>769095</v>
      </c>
      <c r="J2342" s="558"/>
    </row>
    <row r="2343" spans="1:10">
      <c r="A2343" s="502"/>
      <c r="B2343" s="962" t="s">
        <v>1164</v>
      </c>
      <c r="C2343" s="683">
        <v>77</v>
      </c>
      <c r="D2343" s="510" t="s">
        <v>15</v>
      </c>
      <c r="E2343" s="963">
        <v>19000</v>
      </c>
      <c r="F2343" s="674">
        <f t="shared" si="194"/>
        <v>1463000</v>
      </c>
      <c r="G2343" s="609">
        <v>1000</v>
      </c>
      <c r="H2343" s="674">
        <f t="shared" si="195"/>
        <v>77000</v>
      </c>
      <c r="I2343" s="674">
        <f t="shared" si="196"/>
        <v>1540000</v>
      </c>
      <c r="J2343" s="558"/>
    </row>
    <row r="2344" spans="1:10">
      <c r="A2344" s="502"/>
      <c r="B2344" s="962" t="s">
        <v>1165</v>
      </c>
      <c r="C2344" s="683">
        <v>139</v>
      </c>
      <c r="D2344" s="510" t="s">
        <v>15</v>
      </c>
      <c r="E2344" s="963">
        <v>13000</v>
      </c>
      <c r="F2344" s="674">
        <f t="shared" si="194"/>
        <v>1807000</v>
      </c>
      <c r="G2344" s="609">
        <v>650</v>
      </c>
      <c r="H2344" s="674">
        <f t="shared" si="195"/>
        <v>90350</v>
      </c>
      <c r="I2344" s="674">
        <f t="shared" si="196"/>
        <v>1897350</v>
      </c>
      <c r="J2344" s="558"/>
    </row>
    <row r="2345" spans="1:10">
      <c r="A2345" s="502"/>
      <c r="B2345" s="962" t="s">
        <v>773</v>
      </c>
      <c r="C2345" s="683">
        <v>33</v>
      </c>
      <c r="D2345" s="510" t="s">
        <v>15</v>
      </c>
      <c r="E2345" s="963">
        <v>2500</v>
      </c>
      <c r="F2345" s="674">
        <f t="shared" si="194"/>
        <v>82500</v>
      </c>
      <c r="G2345" s="609">
        <v>165</v>
      </c>
      <c r="H2345" s="674">
        <f>G2345*C2345</f>
        <v>5445</v>
      </c>
      <c r="I2345" s="674">
        <f t="shared" si="196"/>
        <v>87945</v>
      </c>
      <c r="J2345" s="558"/>
    </row>
    <row r="2346" spans="1:10">
      <c r="A2346" s="502"/>
      <c r="B2346" s="962" t="s">
        <v>667</v>
      </c>
      <c r="C2346" s="683">
        <v>1</v>
      </c>
      <c r="D2346" s="912" t="s">
        <v>508</v>
      </c>
      <c r="E2346" s="660">
        <f>I2346*0.8</f>
        <v>232000</v>
      </c>
      <c r="F2346" s="913">
        <f>C2346*E2346</f>
        <v>232000</v>
      </c>
      <c r="G2346" s="913">
        <f>I2346*0.2</f>
        <v>58000</v>
      </c>
      <c r="H2346" s="674">
        <f>C2346*G2346</f>
        <v>58000</v>
      </c>
      <c r="I2346" s="674">
        <f>ROUNDUP(SUM(I2334:I2345)*5%,-2)</f>
        <v>290000</v>
      </c>
      <c r="J2346" s="558"/>
    </row>
    <row r="2347" spans="1:10">
      <c r="A2347" s="496" t="s">
        <v>828</v>
      </c>
      <c r="B2347" s="960" t="s">
        <v>776</v>
      </c>
      <c r="C2347" s="683"/>
      <c r="D2347" s="961"/>
      <c r="E2347" s="683"/>
      <c r="F2347" s="676"/>
      <c r="G2347" s="682"/>
      <c r="H2347" s="676"/>
      <c r="I2347" s="676"/>
      <c r="J2347" s="558"/>
    </row>
    <row r="2348" spans="1:10">
      <c r="A2348" s="502"/>
      <c r="B2348" s="962" t="s">
        <v>664</v>
      </c>
      <c r="C2348" s="683">
        <v>10</v>
      </c>
      <c r="D2348" s="910" t="s">
        <v>57</v>
      </c>
      <c r="E2348" s="489">
        <v>546</v>
      </c>
      <c r="F2348" s="674">
        <f t="shared" ref="F2348:F2355" si="197">E2348*C2348</f>
        <v>5460</v>
      </c>
      <c r="G2348" s="672">
        <v>85</v>
      </c>
      <c r="H2348" s="674">
        <f t="shared" ref="H2348:H2355" si="198">G2348*C2348</f>
        <v>850</v>
      </c>
      <c r="I2348" s="674">
        <f t="shared" ref="I2348:I2355" si="199">F2348+H2348</f>
        <v>6310</v>
      </c>
      <c r="J2348" s="558"/>
    </row>
    <row r="2349" spans="1:10">
      <c r="A2349" s="502"/>
      <c r="B2349" s="962" t="s">
        <v>778</v>
      </c>
      <c r="C2349" s="683">
        <v>240</v>
      </c>
      <c r="D2349" s="910" t="s">
        <v>57</v>
      </c>
      <c r="E2349" s="489">
        <v>414</v>
      </c>
      <c r="F2349" s="674">
        <f t="shared" si="197"/>
        <v>99360</v>
      </c>
      <c r="G2349" s="672">
        <v>65</v>
      </c>
      <c r="H2349" s="674">
        <f t="shared" si="198"/>
        <v>15600</v>
      </c>
      <c r="I2349" s="674">
        <f t="shared" si="199"/>
        <v>114960</v>
      </c>
      <c r="J2349" s="558"/>
    </row>
    <row r="2350" spans="1:10">
      <c r="A2350" s="502"/>
      <c r="B2350" s="962" t="s">
        <v>779</v>
      </c>
      <c r="C2350" s="683">
        <v>115</v>
      </c>
      <c r="D2350" s="910" t="s">
        <v>57</v>
      </c>
      <c r="E2350" s="489">
        <v>335</v>
      </c>
      <c r="F2350" s="674">
        <f t="shared" si="197"/>
        <v>38525</v>
      </c>
      <c r="G2350" s="672">
        <v>55</v>
      </c>
      <c r="H2350" s="674">
        <f t="shared" si="198"/>
        <v>6325</v>
      </c>
      <c r="I2350" s="674">
        <f t="shared" si="199"/>
        <v>44850</v>
      </c>
      <c r="J2350" s="558"/>
    </row>
    <row r="2351" spans="1:10">
      <c r="A2351" s="502"/>
      <c r="B2351" s="962" t="s">
        <v>783</v>
      </c>
      <c r="C2351" s="683">
        <v>5</v>
      </c>
      <c r="D2351" s="910" t="s">
        <v>57</v>
      </c>
      <c r="E2351" s="489">
        <v>132</v>
      </c>
      <c r="F2351" s="674">
        <f>E2351*C2351</f>
        <v>660</v>
      </c>
      <c r="G2351" s="672">
        <v>42</v>
      </c>
      <c r="H2351" s="674">
        <f t="shared" si="198"/>
        <v>210</v>
      </c>
      <c r="I2351" s="674">
        <f t="shared" si="199"/>
        <v>870</v>
      </c>
      <c r="J2351" s="558"/>
    </row>
    <row r="2352" spans="1:10">
      <c r="A2352" s="502"/>
      <c r="B2352" s="962" t="s">
        <v>784</v>
      </c>
      <c r="C2352" s="683">
        <v>10</v>
      </c>
      <c r="D2352" s="910" t="s">
        <v>57</v>
      </c>
      <c r="E2352" s="489">
        <v>107</v>
      </c>
      <c r="F2352" s="674">
        <f t="shared" si="197"/>
        <v>1070</v>
      </c>
      <c r="G2352" s="672">
        <v>38</v>
      </c>
      <c r="H2352" s="674">
        <f t="shared" si="198"/>
        <v>380</v>
      </c>
      <c r="I2352" s="674">
        <f t="shared" si="199"/>
        <v>1450</v>
      </c>
      <c r="J2352" s="558"/>
    </row>
    <row r="2353" spans="1:10">
      <c r="A2353" s="502"/>
      <c r="B2353" s="962" t="s">
        <v>785</v>
      </c>
      <c r="C2353" s="683">
        <v>195</v>
      </c>
      <c r="D2353" s="910" t="s">
        <v>57</v>
      </c>
      <c r="E2353" s="489">
        <v>92</v>
      </c>
      <c r="F2353" s="674">
        <f t="shared" si="197"/>
        <v>17940</v>
      </c>
      <c r="G2353" s="672">
        <v>32</v>
      </c>
      <c r="H2353" s="674">
        <f t="shared" si="198"/>
        <v>6240</v>
      </c>
      <c r="I2353" s="674">
        <f t="shared" si="199"/>
        <v>24180</v>
      </c>
      <c r="J2353" s="558"/>
    </row>
    <row r="2354" spans="1:10">
      <c r="A2354" s="502"/>
      <c r="B2354" s="962" t="s">
        <v>787</v>
      </c>
      <c r="C2354" s="683">
        <v>705</v>
      </c>
      <c r="D2354" s="910" t="s">
        <v>57</v>
      </c>
      <c r="E2354" s="489">
        <v>37</v>
      </c>
      <c r="F2354" s="674">
        <f t="shared" si="197"/>
        <v>26085</v>
      </c>
      <c r="G2354" s="672">
        <v>24</v>
      </c>
      <c r="H2354" s="674">
        <f t="shared" si="198"/>
        <v>16920</v>
      </c>
      <c r="I2354" s="674">
        <f t="shared" si="199"/>
        <v>43005</v>
      </c>
      <c r="J2354" s="558"/>
    </row>
    <row r="2355" spans="1:10">
      <c r="A2355" s="502"/>
      <c r="B2355" s="962" t="s">
        <v>788</v>
      </c>
      <c r="C2355" s="683">
        <v>16500</v>
      </c>
      <c r="D2355" s="910" t="s">
        <v>57</v>
      </c>
      <c r="E2355" s="489">
        <v>26</v>
      </c>
      <c r="F2355" s="674">
        <f t="shared" si="197"/>
        <v>429000</v>
      </c>
      <c r="G2355" s="672">
        <v>22</v>
      </c>
      <c r="H2355" s="674">
        <f t="shared" si="198"/>
        <v>363000</v>
      </c>
      <c r="I2355" s="674">
        <f t="shared" si="199"/>
        <v>792000</v>
      </c>
      <c r="J2355" s="558"/>
    </row>
    <row r="2356" spans="1:10">
      <c r="A2356" s="502"/>
      <c r="B2356" s="962" t="s">
        <v>790</v>
      </c>
      <c r="C2356" s="683">
        <v>1</v>
      </c>
      <c r="D2356" s="912" t="s">
        <v>508</v>
      </c>
      <c r="E2356" s="660">
        <f>I2356*0.8</f>
        <v>8000</v>
      </c>
      <c r="F2356" s="913">
        <f>C2356*E2356</f>
        <v>8000</v>
      </c>
      <c r="G2356" s="913">
        <f>I2356*0.2</f>
        <v>2000</v>
      </c>
      <c r="H2356" s="674">
        <f>C2356*G2356</f>
        <v>2000</v>
      </c>
      <c r="I2356" s="674">
        <v>10000</v>
      </c>
      <c r="J2356" s="558"/>
    </row>
    <row r="2357" spans="1:10">
      <c r="A2357" s="502"/>
      <c r="B2357" s="962" t="s">
        <v>791</v>
      </c>
      <c r="C2357" s="683">
        <v>1</v>
      </c>
      <c r="D2357" s="912" t="s">
        <v>508</v>
      </c>
      <c r="E2357" s="660">
        <f>I2357*0.8</f>
        <v>83040</v>
      </c>
      <c r="F2357" s="913">
        <f>C2357*E2357</f>
        <v>83040</v>
      </c>
      <c r="G2357" s="913">
        <f>I2357*0.2</f>
        <v>20760</v>
      </c>
      <c r="H2357" s="674">
        <f>C2357*G2357</f>
        <v>20760</v>
      </c>
      <c r="I2357" s="674">
        <f>ROUNDUP(SUM(I2348:I2356)*10%,-2)</f>
        <v>103800</v>
      </c>
      <c r="J2357" s="558"/>
    </row>
    <row r="2358" spans="1:10">
      <c r="A2358" s="502"/>
      <c r="B2358" s="962" t="s">
        <v>667</v>
      </c>
      <c r="C2358" s="683">
        <v>1</v>
      </c>
      <c r="D2358" s="912" t="s">
        <v>508</v>
      </c>
      <c r="E2358" s="660">
        <f>I2358*0.8</f>
        <v>45680</v>
      </c>
      <c r="F2358" s="913">
        <f>C2358*E2358</f>
        <v>45680</v>
      </c>
      <c r="G2358" s="913">
        <f>I2358*0.2</f>
        <v>11420</v>
      </c>
      <c r="H2358" s="674">
        <f>C2358*G2358</f>
        <v>11420</v>
      </c>
      <c r="I2358" s="674">
        <f>ROUNDUP(SUM(I2348:I2357)*5%,-2)</f>
        <v>57100</v>
      </c>
      <c r="J2358" s="558"/>
    </row>
    <row r="2359" spans="1:10">
      <c r="A2359" s="496" t="s">
        <v>829</v>
      </c>
      <c r="B2359" s="960" t="s">
        <v>793</v>
      </c>
      <c r="C2359" s="683"/>
      <c r="D2359" s="961"/>
      <c r="E2359" s="683"/>
      <c r="F2359" s="676"/>
      <c r="G2359" s="682"/>
      <c r="H2359" s="676"/>
      <c r="I2359" s="676"/>
      <c r="J2359" s="558"/>
    </row>
    <row r="2360" spans="1:10">
      <c r="A2360" s="502"/>
      <c r="B2360" s="962" t="s">
        <v>795</v>
      </c>
      <c r="C2360" s="683">
        <v>40</v>
      </c>
      <c r="D2360" s="910" t="s">
        <v>57</v>
      </c>
      <c r="E2360" s="489">
        <v>1199</v>
      </c>
      <c r="F2360" s="674">
        <f t="shared" ref="F2360:F2370" si="200">E2360*C2360</f>
        <v>47960</v>
      </c>
      <c r="G2360" s="672">
        <v>110</v>
      </c>
      <c r="H2360" s="674">
        <f t="shared" ref="H2360:H2370" si="201">G2360*C2360</f>
        <v>4400</v>
      </c>
      <c r="I2360" s="674">
        <f t="shared" ref="I2360:I2370" si="202">F2360+H2360</f>
        <v>52360</v>
      </c>
      <c r="J2360" s="558"/>
    </row>
    <row r="2361" spans="1:10">
      <c r="A2361" s="502"/>
      <c r="B2361" s="962" t="s">
        <v>798</v>
      </c>
      <c r="C2361" s="683">
        <v>960</v>
      </c>
      <c r="D2361" s="910" t="s">
        <v>57</v>
      </c>
      <c r="E2361" s="489">
        <v>409</v>
      </c>
      <c r="F2361" s="674">
        <f>E2361*C2361</f>
        <v>392640</v>
      </c>
      <c r="G2361" s="672">
        <v>60</v>
      </c>
      <c r="H2361" s="674">
        <f t="shared" si="201"/>
        <v>57600</v>
      </c>
      <c r="I2361" s="674">
        <f t="shared" si="202"/>
        <v>450240</v>
      </c>
      <c r="J2361" s="558"/>
    </row>
    <row r="2362" spans="1:10">
      <c r="A2362" s="502"/>
      <c r="B2362" s="962" t="s">
        <v>799</v>
      </c>
      <c r="C2362" s="683">
        <v>440</v>
      </c>
      <c r="D2362" s="910" t="s">
        <v>57</v>
      </c>
      <c r="E2362" s="489">
        <v>323</v>
      </c>
      <c r="F2362" s="674">
        <f t="shared" si="200"/>
        <v>142120</v>
      </c>
      <c r="G2362" s="672">
        <v>55</v>
      </c>
      <c r="H2362" s="674">
        <f t="shared" si="201"/>
        <v>24200</v>
      </c>
      <c r="I2362" s="674">
        <f t="shared" si="202"/>
        <v>166320</v>
      </c>
      <c r="J2362" s="558"/>
    </row>
    <row r="2363" spans="1:10">
      <c r="A2363" s="502"/>
      <c r="B2363" s="962" t="s">
        <v>800</v>
      </c>
      <c r="C2363" s="683">
        <v>20</v>
      </c>
      <c r="D2363" s="910" t="s">
        <v>57</v>
      </c>
      <c r="E2363" s="489">
        <v>235</v>
      </c>
      <c r="F2363" s="674">
        <f t="shared" si="200"/>
        <v>4700</v>
      </c>
      <c r="G2363" s="672">
        <v>45</v>
      </c>
      <c r="H2363" s="674">
        <f t="shared" si="201"/>
        <v>900</v>
      </c>
      <c r="I2363" s="674">
        <f t="shared" si="202"/>
        <v>5600</v>
      </c>
      <c r="J2363" s="558"/>
    </row>
    <row r="2364" spans="1:10">
      <c r="A2364" s="502"/>
      <c r="B2364" s="962" t="s">
        <v>801</v>
      </c>
      <c r="C2364" s="683">
        <v>20</v>
      </c>
      <c r="D2364" s="910" t="s">
        <v>57</v>
      </c>
      <c r="E2364" s="489">
        <v>164</v>
      </c>
      <c r="F2364" s="674">
        <f t="shared" si="200"/>
        <v>3280</v>
      </c>
      <c r="G2364" s="672">
        <v>40</v>
      </c>
      <c r="H2364" s="674">
        <f t="shared" si="201"/>
        <v>800</v>
      </c>
      <c r="I2364" s="674">
        <f t="shared" si="202"/>
        <v>4080</v>
      </c>
      <c r="J2364" s="558"/>
    </row>
    <row r="2365" spans="1:10">
      <c r="A2365" s="502"/>
      <c r="B2365" s="962" t="s">
        <v>802</v>
      </c>
      <c r="C2365" s="683">
        <v>50</v>
      </c>
      <c r="D2365" s="910" t="s">
        <v>57</v>
      </c>
      <c r="E2365" s="489">
        <v>86</v>
      </c>
      <c r="F2365" s="674">
        <f t="shared" si="200"/>
        <v>4300</v>
      </c>
      <c r="G2365" s="672">
        <v>25</v>
      </c>
      <c r="H2365" s="674">
        <f t="shared" si="201"/>
        <v>1250</v>
      </c>
      <c r="I2365" s="674">
        <f t="shared" si="202"/>
        <v>5550</v>
      </c>
      <c r="J2365" s="558"/>
    </row>
    <row r="2366" spans="1:10">
      <c r="A2366" s="502"/>
      <c r="B2366" s="962" t="s">
        <v>803</v>
      </c>
      <c r="C2366" s="683">
        <v>1135</v>
      </c>
      <c r="D2366" s="910" t="s">
        <v>57</v>
      </c>
      <c r="E2366" s="489">
        <v>55</v>
      </c>
      <c r="F2366" s="674">
        <f t="shared" si="200"/>
        <v>62425</v>
      </c>
      <c r="G2366" s="672">
        <v>20</v>
      </c>
      <c r="H2366" s="674">
        <f t="shared" si="201"/>
        <v>22700</v>
      </c>
      <c r="I2366" s="674">
        <f t="shared" si="202"/>
        <v>85125</v>
      </c>
      <c r="J2366" s="558"/>
    </row>
    <row r="2367" spans="1:10">
      <c r="A2367" s="502"/>
      <c r="B2367" s="962" t="s">
        <v>804</v>
      </c>
      <c r="C2367" s="683">
        <v>5</v>
      </c>
      <c r="D2367" s="910" t="s">
        <v>57</v>
      </c>
      <c r="E2367" s="489">
        <v>36</v>
      </c>
      <c r="F2367" s="674">
        <f t="shared" si="200"/>
        <v>180</v>
      </c>
      <c r="G2367" s="672">
        <v>16</v>
      </c>
      <c r="H2367" s="674">
        <f t="shared" si="201"/>
        <v>80</v>
      </c>
      <c r="I2367" s="674">
        <f t="shared" si="202"/>
        <v>260</v>
      </c>
      <c r="J2367" s="558"/>
    </row>
    <row r="2368" spans="1:10">
      <c r="A2368" s="502"/>
      <c r="B2368" s="962" t="s">
        <v>805</v>
      </c>
      <c r="C2368" s="683">
        <v>925</v>
      </c>
      <c r="D2368" s="910" t="s">
        <v>57</v>
      </c>
      <c r="E2368" s="489">
        <v>21</v>
      </c>
      <c r="F2368" s="674">
        <f t="shared" si="200"/>
        <v>19425</v>
      </c>
      <c r="G2368" s="672">
        <v>12</v>
      </c>
      <c r="H2368" s="674">
        <f t="shared" si="201"/>
        <v>11100</v>
      </c>
      <c r="I2368" s="674">
        <f t="shared" si="202"/>
        <v>30525</v>
      </c>
      <c r="J2368" s="558"/>
    </row>
    <row r="2369" spans="1:10">
      <c r="A2369" s="502"/>
      <c r="B2369" s="962" t="s">
        <v>806</v>
      </c>
      <c r="C2369" s="683">
        <v>16425</v>
      </c>
      <c r="D2369" s="910" t="s">
        <v>57</v>
      </c>
      <c r="E2369" s="489">
        <v>13</v>
      </c>
      <c r="F2369" s="674">
        <f t="shared" si="200"/>
        <v>213525</v>
      </c>
      <c r="G2369" s="672">
        <v>10</v>
      </c>
      <c r="H2369" s="674">
        <f t="shared" si="201"/>
        <v>164250</v>
      </c>
      <c r="I2369" s="674">
        <f t="shared" si="202"/>
        <v>377775</v>
      </c>
      <c r="J2369" s="558"/>
    </row>
    <row r="2370" spans="1:10">
      <c r="A2370" s="502"/>
      <c r="B2370" s="962" t="s">
        <v>807</v>
      </c>
      <c r="C2370" s="683">
        <v>28500</v>
      </c>
      <c r="D2370" s="910" t="s">
        <v>57</v>
      </c>
      <c r="E2370" s="489">
        <v>9</v>
      </c>
      <c r="F2370" s="674">
        <f t="shared" si="200"/>
        <v>256500</v>
      </c>
      <c r="G2370" s="672">
        <v>7</v>
      </c>
      <c r="H2370" s="674">
        <f t="shared" si="201"/>
        <v>199500</v>
      </c>
      <c r="I2370" s="674">
        <f t="shared" si="202"/>
        <v>456000</v>
      </c>
      <c r="J2370" s="558"/>
    </row>
    <row r="2371" spans="1:10">
      <c r="A2371" s="502"/>
      <c r="B2371" s="962" t="s">
        <v>667</v>
      </c>
      <c r="C2371" s="683">
        <v>1</v>
      </c>
      <c r="D2371" s="912" t="s">
        <v>508</v>
      </c>
      <c r="E2371" s="660">
        <f>I2371*0.8</f>
        <v>65360</v>
      </c>
      <c r="F2371" s="913">
        <f>C2371*E2371</f>
        <v>65360</v>
      </c>
      <c r="G2371" s="913">
        <f>I2371*0.2</f>
        <v>16340</v>
      </c>
      <c r="H2371" s="674">
        <f>C2371*G2371</f>
        <v>16340</v>
      </c>
      <c r="I2371" s="674">
        <f>ROUNDUP(SUM(I2360:I2370)*5%,-2)</f>
        <v>81700</v>
      </c>
      <c r="J2371" s="558"/>
    </row>
    <row r="2372" spans="1:10">
      <c r="A2372" s="496" t="s">
        <v>830</v>
      </c>
      <c r="B2372" s="960" t="s">
        <v>811</v>
      </c>
      <c r="C2372" s="683"/>
      <c r="D2372" s="961"/>
      <c r="E2372" s="683"/>
      <c r="F2372" s="676"/>
      <c r="G2372" s="682"/>
      <c r="H2372" s="676"/>
      <c r="I2372" s="676"/>
      <c r="J2372" s="558"/>
    </row>
    <row r="2373" spans="1:10">
      <c r="A2373" s="502"/>
      <c r="B2373" s="962" t="s">
        <v>812</v>
      </c>
      <c r="C2373" s="683">
        <v>290</v>
      </c>
      <c r="D2373" s="510" t="s">
        <v>15</v>
      </c>
      <c r="E2373" s="489">
        <v>57</v>
      </c>
      <c r="F2373" s="674">
        <f t="shared" ref="F2373:F2380" si="203">E2373*C2373</f>
        <v>16530</v>
      </c>
      <c r="G2373" s="672">
        <v>80</v>
      </c>
      <c r="H2373" s="674">
        <f>G2373*C2373</f>
        <v>23200</v>
      </c>
      <c r="I2373" s="674">
        <f>F2373+H2373</f>
        <v>39730</v>
      </c>
      <c r="J2373" s="558"/>
    </row>
    <row r="2374" spans="1:10">
      <c r="A2374" s="502"/>
      <c r="B2374" s="962" t="s">
        <v>813</v>
      </c>
      <c r="C2374" s="683">
        <v>12</v>
      </c>
      <c r="D2374" s="510" t="s">
        <v>15</v>
      </c>
      <c r="E2374" s="489">
        <v>82</v>
      </c>
      <c r="F2374" s="674">
        <f t="shared" si="203"/>
        <v>984</v>
      </c>
      <c r="G2374" s="672">
        <v>85</v>
      </c>
      <c r="H2374" s="674">
        <f>G2374*C2374</f>
        <v>1020</v>
      </c>
      <c r="I2374" s="674">
        <f>F2374+H2374</f>
        <v>2004</v>
      </c>
      <c r="J2374" s="558"/>
    </row>
    <row r="2375" spans="1:10">
      <c r="A2375" s="502"/>
      <c r="B2375" s="962" t="s">
        <v>815</v>
      </c>
      <c r="C2375" s="683">
        <v>66</v>
      </c>
      <c r="D2375" s="510" t="s">
        <v>15</v>
      </c>
      <c r="E2375" s="489">
        <v>115</v>
      </c>
      <c r="F2375" s="674">
        <f t="shared" si="203"/>
        <v>7590</v>
      </c>
      <c r="G2375" s="672">
        <v>90</v>
      </c>
      <c r="H2375" s="674">
        <f t="shared" ref="H2375:H2380" si="204">G2375*C2375</f>
        <v>5940</v>
      </c>
      <c r="I2375" s="674">
        <f t="shared" ref="I2375:I2380" si="205">F2375+H2375</f>
        <v>13530</v>
      </c>
      <c r="J2375" s="558"/>
    </row>
    <row r="2376" spans="1:10">
      <c r="A2376" s="502"/>
      <c r="B2376" s="962" t="s">
        <v>816</v>
      </c>
      <c r="C2376" s="683">
        <v>341</v>
      </c>
      <c r="D2376" s="510" t="s">
        <v>15</v>
      </c>
      <c r="E2376" s="489">
        <v>170</v>
      </c>
      <c r="F2376" s="674">
        <f t="shared" si="203"/>
        <v>57970</v>
      </c>
      <c r="G2376" s="672">
        <v>90</v>
      </c>
      <c r="H2376" s="674">
        <f t="shared" si="204"/>
        <v>30690</v>
      </c>
      <c r="I2376" s="674">
        <f t="shared" si="205"/>
        <v>88660</v>
      </c>
      <c r="J2376" s="558"/>
    </row>
    <row r="2377" spans="1:10">
      <c r="A2377" s="502"/>
      <c r="B2377" s="962" t="s">
        <v>817</v>
      </c>
      <c r="C2377" s="683">
        <v>10</v>
      </c>
      <c r="D2377" s="510" t="s">
        <v>15</v>
      </c>
      <c r="E2377" s="489">
        <v>4500</v>
      </c>
      <c r="F2377" s="674">
        <f t="shared" si="203"/>
        <v>45000</v>
      </c>
      <c r="G2377" s="672">
        <v>300</v>
      </c>
      <c r="H2377" s="674">
        <f t="shared" si="204"/>
        <v>3000</v>
      </c>
      <c r="I2377" s="674">
        <f t="shared" si="205"/>
        <v>48000</v>
      </c>
      <c r="J2377" s="558"/>
    </row>
    <row r="2378" spans="1:10">
      <c r="A2378" s="502"/>
      <c r="B2378" s="962" t="s">
        <v>818</v>
      </c>
      <c r="C2378" s="683">
        <v>66</v>
      </c>
      <c r="D2378" s="510" t="s">
        <v>15</v>
      </c>
      <c r="E2378" s="489">
        <v>2600</v>
      </c>
      <c r="F2378" s="674">
        <f t="shared" si="203"/>
        <v>171600</v>
      </c>
      <c r="G2378" s="672">
        <v>240</v>
      </c>
      <c r="H2378" s="674">
        <f t="shared" si="204"/>
        <v>15840</v>
      </c>
      <c r="I2378" s="674">
        <f t="shared" si="205"/>
        <v>187440</v>
      </c>
      <c r="J2378" s="558"/>
    </row>
    <row r="2379" spans="1:10">
      <c r="A2379" s="502"/>
      <c r="B2379" s="962" t="s">
        <v>819</v>
      </c>
      <c r="C2379" s="683">
        <v>33</v>
      </c>
      <c r="D2379" s="510" t="s">
        <v>15</v>
      </c>
      <c r="E2379" s="489">
        <v>2000</v>
      </c>
      <c r="F2379" s="674">
        <f t="shared" si="203"/>
        <v>66000</v>
      </c>
      <c r="G2379" s="672">
        <v>240</v>
      </c>
      <c r="H2379" s="674">
        <f t="shared" si="204"/>
        <v>7920</v>
      </c>
      <c r="I2379" s="674">
        <f t="shared" si="205"/>
        <v>73920</v>
      </c>
      <c r="J2379" s="558"/>
    </row>
    <row r="2380" spans="1:10">
      <c r="A2380" s="502"/>
      <c r="B2380" s="962" t="s">
        <v>1167</v>
      </c>
      <c r="C2380" s="683">
        <v>2</v>
      </c>
      <c r="D2380" s="510" t="s">
        <v>15</v>
      </c>
      <c r="E2380" s="489">
        <v>10000</v>
      </c>
      <c r="F2380" s="674">
        <f t="shared" si="203"/>
        <v>20000</v>
      </c>
      <c r="G2380" s="672">
        <v>5000</v>
      </c>
      <c r="H2380" s="674">
        <f t="shared" si="204"/>
        <v>10000</v>
      </c>
      <c r="I2380" s="674">
        <f t="shared" si="205"/>
        <v>30000</v>
      </c>
      <c r="J2380" s="558"/>
    </row>
    <row r="2381" spans="1:10">
      <c r="A2381" s="502"/>
      <c r="B2381" s="962" t="s">
        <v>667</v>
      </c>
      <c r="C2381" s="683">
        <v>1</v>
      </c>
      <c r="D2381" s="912" t="s">
        <v>508</v>
      </c>
      <c r="E2381" s="660">
        <f>I2381*0.8</f>
        <v>18160</v>
      </c>
      <c r="F2381" s="913">
        <f>C2381*E2381</f>
        <v>18160</v>
      </c>
      <c r="G2381" s="913">
        <f>I2381*0.2</f>
        <v>4540</v>
      </c>
      <c r="H2381" s="674">
        <f>C2381*G2381</f>
        <v>4540</v>
      </c>
      <c r="I2381" s="674">
        <f>ROUNDUP(SUM(I2373:I2379)*5%,-2)</f>
        <v>22700</v>
      </c>
      <c r="J2381" s="558"/>
    </row>
    <row r="2382" spans="1:10">
      <c r="A2382" s="607" t="s">
        <v>831</v>
      </c>
      <c r="B2382" s="965" t="s">
        <v>836</v>
      </c>
      <c r="C2382" s="682"/>
      <c r="D2382" s="506"/>
      <c r="E2382" s="506"/>
      <c r="F2382" s="489"/>
      <c r="G2382" s="676"/>
      <c r="H2382" s="676"/>
      <c r="I2382" s="676"/>
      <c r="J2382" s="550"/>
    </row>
    <row r="2383" spans="1:10">
      <c r="A2383" s="966"/>
      <c r="B2383" s="967" t="s">
        <v>837</v>
      </c>
      <c r="C2383" s="1156">
        <v>9</v>
      </c>
      <c r="D2383" s="968" t="s">
        <v>15</v>
      </c>
      <c r="E2383" s="673">
        <v>250</v>
      </c>
      <c r="F2383" s="673">
        <f>SUM(C2383*E2383)</f>
        <v>2250</v>
      </c>
      <c r="G2383" s="673">
        <v>40</v>
      </c>
      <c r="H2383" s="673">
        <f>SUM(C2383*G2383)</f>
        <v>360</v>
      </c>
      <c r="I2383" s="673">
        <f>SUM(F2383+H2383)</f>
        <v>2610</v>
      </c>
      <c r="J2383" s="550"/>
    </row>
    <row r="2384" spans="1:10">
      <c r="A2384" s="966"/>
      <c r="B2384" s="967" t="s">
        <v>838</v>
      </c>
      <c r="C2384" s="1156">
        <v>680</v>
      </c>
      <c r="D2384" s="910" t="s">
        <v>57</v>
      </c>
      <c r="E2384" s="673">
        <v>18</v>
      </c>
      <c r="F2384" s="673">
        <f>SUM(C2384*E2384)</f>
        <v>12240</v>
      </c>
      <c r="G2384" s="673">
        <v>5</v>
      </c>
      <c r="H2384" s="673">
        <f>SUM(C2384*G2384)</f>
        <v>3400</v>
      </c>
      <c r="I2384" s="673">
        <f>SUM(F2384+H2384)</f>
        <v>15640</v>
      </c>
      <c r="J2384" s="550"/>
    </row>
    <row r="2385" spans="1:10">
      <c r="A2385" s="966"/>
      <c r="B2385" s="967" t="s">
        <v>839</v>
      </c>
      <c r="C2385" s="1156"/>
      <c r="D2385" s="968"/>
      <c r="E2385" s="673"/>
      <c r="F2385" s="673"/>
      <c r="G2385" s="673"/>
      <c r="H2385" s="673"/>
      <c r="I2385" s="673"/>
      <c r="J2385" s="550"/>
    </row>
    <row r="2386" spans="1:10">
      <c r="A2386" s="966"/>
      <c r="B2386" s="967" t="s">
        <v>840</v>
      </c>
      <c r="C2386" s="1156">
        <v>10</v>
      </c>
      <c r="D2386" s="910" t="s">
        <v>57</v>
      </c>
      <c r="E2386" s="673">
        <v>650</v>
      </c>
      <c r="F2386" s="673">
        <f>SUM(C2386*E2386)</f>
        <v>6500</v>
      </c>
      <c r="G2386" s="673">
        <v>200</v>
      </c>
      <c r="H2386" s="673">
        <f>SUM(C2386*G2386)</f>
        <v>2000</v>
      </c>
      <c r="I2386" s="673">
        <f>SUM(F2386+H2386)</f>
        <v>8500</v>
      </c>
      <c r="J2386" s="550"/>
    </row>
    <row r="2387" spans="1:10">
      <c r="A2387" s="966"/>
      <c r="B2387" s="967" t="s">
        <v>841</v>
      </c>
      <c r="C2387" s="1156"/>
      <c r="D2387" s="968"/>
      <c r="E2387" s="673"/>
      <c r="F2387" s="673"/>
      <c r="G2387" s="673"/>
      <c r="H2387" s="673"/>
      <c r="I2387" s="673"/>
      <c r="J2387" s="550"/>
    </row>
    <row r="2388" spans="1:10">
      <c r="A2388" s="966"/>
      <c r="B2388" s="967" t="s">
        <v>842</v>
      </c>
      <c r="C2388" s="1156">
        <v>20</v>
      </c>
      <c r="D2388" s="910" t="s">
        <v>57</v>
      </c>
      <c r="E2388" s="489">
        <v>37</v>
      </c>
      <c r="F2388" s="674">
        <f>E2388*C2388</f>
        <v>740</v>
      </c>
      <c r="G2388" s="672">
        <v>24</v>
      </c>
      <c r="H2388" s="674">
        <f>G2388*C2388</f>
        <v>480</v>
      </c>
      <c r="I2388" s="674">
        <f>F2388+H2388</f>
        <v>1220</v>
      </c>
      <c r="J2388" s="550"/>
    </row>
    <row r="2389" spans="1:10">
      <c r="A2389" s="969"/>
      <c r="B2389" s="967" t="s">
        <v>843</v>
      </c>
      <c r="C2389" s="1156">
        <v>45</v>
      </c>
      <c r="D2389" s="910" t="s">
        <v>57</v>
      </c>
      <c r="E2389" s="489">
        <v>26</v>
      </c>
      <c r="F2389" s="674">
        <f>E2389*C2389</f>
        <v>1170</v>
      </c>
      <c r="G2389" s="672">
        <v>22</v>
      </c>
      <c r="H2389" s="674">
        <f>G2389*C2389</f>
        <v>990</v>
      </c>
      <c r="I2389" s="674">
        <f>F2389+H2389</f>
        <v>2160</v>
      </c>
      <c r="J2389" s="550"/>
    </row>
    <row r="2390" spans="1:10">
      <c r="A2390" s="966"/>
      <c r="B2390" s="610" t="s">
        <v>726</v>
      </c>
      <c r="C2390" s="1156">
        <v>1</v>
      </c>
      <c r="D2390" s="606" t="s">
        <v>508</v>
      </c>
      <c r="E2390" s="970">
        <f>I2390*0.8</f>
        <v>1280</v>
      </c>
      <c r="F2390" s="673">
        <f>SUM(C2390*E2390)</f>
        <v>1280</v>
      </c>
      <c r="G2390" s="673">
        <f>I2390*0.2</f>
        <v>320</v>
      </c>
      <c r="H2390" s="673">
        <f>SUM(C2390*G2390)</f>
        <v>320</v>
      </c>
      <c r="I2390" s="673">
        <f>ROUNDUP(SUM(I2383:I2389)*5%,-2)</f>
        <v>1600</v>
      </c>
      <c r="J2390" s="550"/>
    </row>
    <row r="2391" spans="1:10">
      <c r="A2391" s="599" t="s">
        <v>832</v>
      </c>
      <c r="B2391" s="572" t="s">
        <v>844</v>
      </c>
      <c r="C2391" s="1157"/>
      <c r="D2391" s="682"/>
      <c r="E2391" s="682"/>
      <c r="F2391" s="660"/>
      <c r="G2391" s="676"/>
      <c r="H2391" s="676"/>
      <c r="I2391" s="676"/>
      <c r="J2391" s="676"/>
    </row>
    <row r="2392" spans="1:10">
      <c r="A2392" s="966"/>
      <c r="B2392" s="967" t="s">
        <v>845</v>
      </c>
      <c r="C2392" s="1158"/>
      <c r="D2392" s="573"/>
      <c r="E2392" s="573"/>
      <c r="F2392" s="573"/>
      <c r="G2392" s="573"/>
      <c r="H2392" s="573"/>
      <c r="I2392" s="573"/>
      <c r="J2392" s="550"/>
    </row>
    <row r="2393" spans="1:10">
      <c r="A2393" s="966"/>
      <c r="B2393" s="967" t="s">
        <v>846</v>
      </c>
      <c r="C2393" s="1156">
        <v>1</v>
      </c>
      <c r="D2393" s="968" t="s">
        <v>15</v>
      </c>
      <c r="E2393" s="673">
        <v>15000</v>
      </c>
      <c r="F2393" s="673">
        <f>SUM(C2393*E2393)</f>
        <v>15000</v>
      </c>
      <c r="G2393" s="673">
        <v>500</v>
      </c>
      <c r="H2393" s="673">
        <f>SUM(C2393*G2393)</f>
        <v>500</v>
      </c>
      <c r="I2393" s="673">
        <f>SUM(F2393+H2393)</f>
        <v>15500</v>
      </c>
      <c r="J2393" s="550"/>
    </row>
    <row r="2394" spans="1:10">
      <c r="A2394" s="966"/>
      <c r="B2394" s="967" t="s">
        <v>847</v>
      </c>
      <c r="C2394" s="1156">
        <v>3</v>
      </c>
      <c r="D2394" s="968" t="s">
        <v>15</v>
      </c>
      <c r="E2394" s="673">
        <v>14000</v>
      </c>
      <c r="F2394" s="673">
        <f>SUM(C2394*E2394)</f>
        <v>42000</v>
      </c>
      <c r="G2394" s="673">
        <v>500</v>
      </c>
      <c r="H2394" s="673">
        <f>SUM(C2394*G2394)</f>
        <v>1500</v>
      </c>
      <c r="I2394" s="673">
        <f>SUM(F2394+H2394)</f>
        <v>43500</v>
      </c>
      <c r="J2394" s="550"/>
    </row>
    <row r="2395" spans="1:10">
      <c r="A2395" s="966"/>
      <c r="B2395" s="967" t="s">
        <v>848</v>
      </c>
      <c r="C2395" s="1156">
        <v>70</v>
      </c>
      <c r="D2395" s="968" t="s">
        <v>15</v>
      </c>
      <c r="E2395" s="673">
        <v>250</v>
      </c>
      <c r="F2395" s="673">
        <f>SUM(C2395*E2395)</f>
        <v>17500</v>
      </c>
      <c r="G2395" s="673">
        <v>40</v>
      </c>
      <c r="H2395" s="673">
        <f>SUM(C2395*G2395)</f>
        <v>2800</v>
      </c>
      <c r="I2395" s="673">
        <f>SUM(F2395+H2395)</f>
        <v>20300</v>
      </c>
      <c r="J2395" s="550"/>
    </row>
    <row r="2396" spans="1:10">
      <c r="A2396" s="966"/>
      <c r="B2396" s="967" t="s">
        <v>849</v>
      </c>
      <c r="C2396" s="1156">
        <v>510</v>
      </c>
      <c r="D2396" s="910" t="s">
        <v>57</v>
      </c>
      <c r="E2396" s="673">
        <v>80</v>
      </c>
      <c r="F2396" s="673">
        <f>SUM(C2396*E2396)</f>
        <v>40800</v>
      </c>
      <c r="G2396" s="673">
        <v>20</v>
      </c>
      <c r="H2396" s="673">
        <f>SUM(C2396*G2396)</f>
        <v>10200</v>
      </c>
      <c r="I2396" s="673">
        <f>SUM(F2396+H2396)</f>
        <v>51000</v>
      </c>
      <c r="J2396" s="550"/>
    </row>
    <row r="2397" spans="1:10">
      <c r="A2397" s="966"/>
      <c r="B2397" s="967" t="s">
        <v>838</v>
      </c>
      <c r="C2397" s="1156">
        <v>3680</v>
      </c>
      <c r="D2397" s="910" t="s">
        <v>57</v>
      </c>
      <c r="E2397" s="673">
        <v>18</v>
      </c>
      <c r="F2397" s="673">
        <f>SUM(C2397*E2397)</f>
        <v>66240</v>
      </c>
      <c r="G2397" s="673">
        <v>5</v>
      </c>
      <c r="H2397" s="673">
        <f>SUM(C2397*G2397)</f>
        <v>18400</v>
      </c>
      <c r="I2397" s="673">
        <f>SUM(F2397+H2397)</f>
        <v>84640</v>
      </c>
      <c r="J2397" s="550"/>
    </row>
    <row r="2398" spans="1:10">
      <c r="A2398" s="966"/>
      <c r="B2398" s="967" t="s">
        <v>850</v>
      </c>
      <c r="C2398" s="1156"/>
      <c r="D2398" s="968"/>
      <c r="E2398" s="673"/>
      <c r="F2398" s="673"/>
      <c r="G2398" s="673"/>
      <c r="H2398" s="673"/>
      <c r="I2398" s="673"/>
      <c r="J2398" s="550"/>
    </row>
    <row r="2399" spans="1:10">
      <c r="A2399" s="966"/>
      <c r="B2399" s="967" t="s">
        <v>851</v>
      </c>
      <c r="C2399" s="1156">
        <v>565</v>
      </c>
      <c r="D2399" s="910" t="s">
        <v>57</v>
      </c>
      <c r="E2399" s="673">
        <v>450</v>
      </c>
      <c r="F2399" s="608">
        <f>SUM(C2399*E2399)</f>
        <v>254250</v>
      </c>
      <c r="G2399" s="608">
        <v>200</v>
      </c>
      <c r="H2399" s="608">
        <f>SUM(C2399*G2399)</f>
        <v>113000</v>
      </c>
      <c r="I2399" s="608">
        <f>SUM(F2399+H2399)</f>
        <v>367250</v>
      </c>
      <c r="J2399" s="550"/>
    </row>
    <row r="2400" spans="1:10">
      <c r="A2400" s="972"/>
      <c r="B2400" s="967" t="s">
        <v>841</v>
      </c>
      <c r="C2400" s="1159"/>
      <c r="D2400" s="621"/>
      <c r="E2400" s="622"/>
      <c r="F2400" s="622"/>
      <c r="G2400" s="622"/>
      <c r="H2400" s="622"/>
      <c r="I2400" s="622"/>
      <c r="J2400" s="550"/>
    </row>
    <row r="2401" spans="1:10">
      <c r="A2401" s="972"/>
      <c r="B2401" s="967" t="s">
        <v>842</v>
      </c>
      <c r="C2401" s="1160">
        <v>138</v>
      </c>
      <c r="D2401" s="973" t="s">
        <v>57</v>
      </c>
      <c r="E2401" s="489">
        <v>37</v>
      </c>
      <c r="F2401" s="611">
        <f>E2401*C2401</f>
        <v>5106</v>
      </c>
      <c r="G2401" s="672">
        <v>24</v>
      </c>
      <c r="H2401" s="611">
        <f>G2401*C2401</f>
        <v>3312</v>
      </c>
      <c r="I2401" s="611">
        <f>F2401+H2401</f>
        <v>8418</v>
      </c>
      <c r="J2401" s="550"/>
    </row>
    <row r="2402" spans="1:10">
      <c r="A2402" s="974"/>
      <c r="B2402" s="967" t="s">
        <v>843</v>
      </c>
      <c r="C2402" s="1160">
        <v>358</v>
      </c>
      <c r="D2402" s="973" t="s">
        <v>57</v>
      </c>
      <c r="E2402" s="489">
        <v>26</v>
      </c>
      <c r="F2402" s="611">
        <f>E2402*C2402</f>
        <v>9308</v>
      </c>
      <c r="G2402" s="672">
        <v>22</v>
      </c>
      <c r="H2402" s="611">
        <f>G2402*C2402</f>
        <v>7876</v>
      </c>
      <c r="I2402" s="611">
        <f>F2402+H2402</f>
        <v>17184</v>
      </c>
      <c r="J2402" s="550"/>
    </row>
    <row r="2403" spans="1:10">
      <c r="A2403" s="972"/>
      <c r="B2403" s="610" t="s">
        <v>726</v>
      </c>
      <c r="C2403" s="1161">
        <v>1</v>
      </c>
      <c r="D2403" s="975" t="s">
        <v>508</v>
      </c>
      <c r="E2403" s="970">
        <f>I2403*0.8</f>
        <v>24320</v>
      </c>
      <c r="F2403" s="673">
        <f>SUM(C2403*E2403)</f>
        <v>24320</v>
      </c>
      <c r="G2403" s="673">
        <f>I2403*0.2</f>
        <v>6080</v>
      </c>
      <c r="H2403" s="673">
        <f>SUM(C2403*G2403)</f>
        <v>6080</v>
      </c>
      <c r="I2403" s="673">
        <f>ROUNDUP(SUM(I2393:I2402)*5%,-2)</f>
        <v>30400</v>
      </c>
      <c r="J2403" s="550"/>
    </row>
    <row r="2404" spans="1:10">
      <c r="A2404" s="600" t="s">
        <v>833</v>
      </c>
      <c r="B2404" s="601" t="s">
        <v>852</v>
      </c>
      <c r="C2404" s="1162"/>
      <c r="D2404" s="574"/>
      <c r="E2404" s="575"/>
      <c r="F2404" s="568"/>
      <c r="G2404" s="568"/>
      <c r="H2404" s="568"/>
      <c r="I2404" s="568"/>
      <c r="J2404" s="569"/>
    </row>
    <row r="2405" spans="1:10">
      <c r="A2405" s="966"/>
      <c r="B2405" s="967" t="s">
        <v>853</v>
      </c>
      <c r="C2405" s="1156">
        <v>2</v>
      </c>
      <c r="D2405" s="968" t="s">
        <v>15</v>
      </c>
      <c r="E2405" s="673">
        <v>6000</v>
      </c>
      <c r="F2405" s="608">
        <f t="shared" ref="F2405:F2413" si="206">SUM(C2405*E2405)</f>
        <v>12000</v>
      </c>
      <c r="G2405" s="608">
        <v>600</v>
      </c>
      <c r="H2405" s="608">
        <f t="shared" ref="H2405:H2413" si="207">SUM(C2405*G2405)</f>
        <v>1200</v>
      </c>
      <c r="I2405" s="608">
        <f t="shared" ref="I2405:I2413" si="208">SUM(F2405+H2405)</f>
        <v>13200</v>
      </c>
      <c r="J2405" s="550"/>
    </row>
    <row r="2406" spans="1:10">
      <c r="A2406" s="972"/>
      <c r="B2406" s="967" t="s">
        <v>854</v>
      </c>
      <c r="C2406" s="1160">
        <v>2</v>
      </c>
      <c r="D2406" s="621" t="s">
        <v>15</v>
      </c>
      <c r="E2406" s="622">
        <v>95000</v>
      </c>
      <c r="F2406" s="608">
        <f t="shared" si="206"/>
        <v>190000</v>
      </c>
      <c r="G2406" s="608">
        <v>10000</v>
      </c>
      <c r="H2406" s="608">
        <f t="shared" si="207"/>
        <v>20000</v>
      </c>
      <c r="I2406" s="608">
        <f t="shared" si="208"/>
        <v>210000</v>
      </c>
      <c r="J2406" s="976"/>
    </row>
    <row r="2407" spans="1:10">
      <c r="A2407" s="972"/>
      <c r="B2407" s="977" t="s">
        <v>855</v>
      </c>
      <c r="C2407" s="1160">
        <v>12</v>
      </c>
      <c r="D2407" s="621" t="s">
        <v>15</v>
      </c>
      <c r="E2407" s="622">
        <v>3900</v>
      </c>
      <c r="F2407" s="608">
        <f t="shared" si="206"/>
        <v>46800</v>
      </c>
      <c r="G2407" s="608">
        <v>240</v>
      </c>
      <c r="H2407" s="608">
        <f t="shared" si="207"/>
        <v>2880</v>
      </c>
      <c r="I2407" s="608">
        <f t="shared" si="208"/>
        <v>49680</v>
      </c>
      <c r="J2407" s="676"/>
    </row>
    <row r="2408" spans="1:10">
      <c r="A2408" s="966"/>
      <c r="B2408" s="967" t="s">
        <v>856</v>
      </c>
      <c r="C2408" s="1156">
        <v>2</v>
      </c>
      <c r="D2408" s="968" t="s">
        <v>15</v>
      </c>
      <c r="E2408" s="673">
        <v>4000</v>
      </c>
      <c r="F2408" s="608">
        <f t="shared" si="206"/>
        <v>8000</v>
      </c>
      <c r="G2408" s="608">
        <v>240</v>
      </c>
      <c r="H2408" s="608">
        <f t="shared" si="207"/>
        <v>480</v>
      </c>
      <c r="I2408" s="608">
        <f t="shared" si="208"/>
        <v>8480</v>
      </c>
      <c r="J2408" s="676"/>
    </row>
    <row r="2409" spans="1:10">
      <c r="A2409" s="966"/>
      <c r="B2409" s="967" t="s">
        <v>857</v>
      </c>
      <c r="C2409" s="1156">
        <v>12</v>
      </c>
      <c r="D2409" s="968" t="s">
        <v>15</v>
      </c>
      <c r="E2409" s="673">
        <v>2100</v>
      </c>
      <c r="F2409" s="608">
        <f t="shared" si="206"/>
        <v>25200</v>
      </c>
      <c r="G2409" s="608">
        <v>100</v>
      </c>
      <c r="H2409" s="608">
        <f t="shared" si="207"/>
        <v>1200</v>
      </c>
      <c r="I2409" s="608">
        <f t="shared" si="208"/>
        <v>26400</v>
      </c>
      <c r="J2409" s="676"/>
    </row>
    <row r="2410" spans="1:10">
      <c r="A2410" s="966"/>
      <c r="B2410" s="967" t="s">
        <v>858</v>
      </c>
      <c r="C2410" s="1156">
        <v>67</v>
      </c>
      <c r="D2410" s="968" t="s">
        <v>15</v>
      </c>
      <c r="E2410" s="673">
        <v>1400</v>
      </c>
      <c r="F2410" s="608">
        <f t="shared" si="206"/>
        <v>93800</v>
      </c>
      <c r="G2410" s="608">
        <v>100</v>
      </c>
      <c r="H2410" s="608">
        <f t="shared" si="207"/>
        <v>6700</v>
      </c>
      <c r="I2410" s="608">
        <f t="shared" si="208"/>
        <v>100500</v>
      </c>
      <c r="J2410" s="676"/>
    </row>
    <row r="2411" spans="1:10">
      <c r="A2411" s="966"/>
      <c r="B2411" s="967" t="s">
        <v>859</v>
      </c>
      <c r="C2411" s="1156">
        <v>54</v>
      </c>
      <c r="D2411" s="968" t="s">
        <v>15</v>
      </c>
      <c r="E2411" s="673">
        <v>750</v>
      </c>
      <c r="F2411" s="608">
        <f t="shared" si="206"/>
        <v>40500</v>
      </c>
      <c r="G2411" s="608">
        <v>100</v>
      </c>
      <c r="H2411" s="608">
        <f t="shared" si="207"/>
        <v>5400</v>
      </c>
      <c r="I2411" s="608">
        <f t="shared" si="208"/>
        <v>45900</v>
      </c>
      <c r="J2411" s="676"/>
    </row>
    <row r="2412" spans="1:10">
      <c r="A2412" s="966"/>
      <c r="B2412" s="967" t="s">
        <v>897</v>
      </c>
      <c r="C2412" s="1156">
        <v>12</v>
      </c>
      <c r="D2412" s="968" t="s">
        <v>15</v>
      </c>
      <c r="E2412" s="673">
        <v>600</v>
      </c>
      <c r="F2412" s="608">
        <f t="shared" si="206"/>
        <v>7200</v>
      </c>
      <c r="G2412" s="608">
        <v>100</v>
      </c>
      <c r="H2412" s="608">
        <f t="shared" si="207"/>
        <v>1200</v>
      </c>
      <c r="I2412" s="608">
        <f t="shared" si="208"/>
        <v>8400</v>
      </c>
      <c r="J2412" s="676"/>
    </row>
    <row r="2413" spans="1:10">
      <c r="A2413" s="966"/>
      <c r="B2413" s="967" t="s">
        <v>860</v>
      </c>
      <c r="C2413" s="1156">
        <v>12</v>
      </c>
      <c r="D2413" s="968" t="s">
        <v>15</v>
      </c>
      <c r="E2413" s="673">
        <v>4700</v>
      </c>
      <c r="F2413" s="608">
        <f t="shared" si="206"/>
        <v>56400</v>
      </c>
      <c r="G2413" s="608">
        <v>200</v>
      </c>
      <c r="H2413" s="608">
        <f t="shared" si="207"/>
        <v>2400</v>
      </c>
      <c r="I2413" s="608">
        <f t="shared" si="208"/>
        <v>58800</v>
      </c>
      <c r="J2413" s="676"/>
    </row>
    <row r="2414" spans="1:10">
      <c r="A2414" s="966"/>
      <c r="B2414" s="967" t="s">
        <v>861</v>
      </c>
      <c r="C2414" s="1156"/>
      <c r="D2414" s="978"/>
      <c r="E2414" s="673"/>
      <c r="F2414" s="673"/>
      <c r="G2414" s="673"/>
      <c r="H2414" s="673"/>
      <c r="I2414" s="673"/>
      <c r="J2414" s="676"/>
    </row>
    <row r="2415" spans="1:10">
      <c r="A2415" s="969"/>
      <c r="B2415" s="967" t="s">
        <v>862</v>
      </c>
      <c r="C2415" s="1156">
        <v>40</v>
      </c>
      <c r="D2415" s="910" t="s">
        <v>57</v>
      </c>
      <c r="E2415" s="673">
        <v>60</v>
      </c>
      <c r="F2415" s="608">
        <f>SUM(C2415*E2415)</f>
        <v>2400</v>
      </c>
      <c r="G2415" s="608">
        <v>5</v>
      </c>
      <c r="H2415" s="608">
        <f>SUM(C2415*G2415)</f>
        <v>200</v>
      </c>
      <c r="I2415" s="608">
        <f>SUM(F2415+H2415)</f>
        <v>2600</v>
      </c>
      <c r="J2415" s="676"/>
    </row>
    <row r="2416" spans="1:10">
      <c r="A2416" s="969"/>
      <c r="B2416" s="967" t="s">
        <v>863</v>
      </c>
      <c r="C2416" s="1156">
        <v>580</v>
      </c>
      <c r="D2416" s="910" t="s">
        <v>57</v>
      </c>
      <c r="E2416" s="673">
        <v>30</v>
      </c>
      <c r="F2416" s="608">
        <f>SUM(C2416*E2416)</f>
        <v>17400</v>
      </c>
      <c r="G2416" s="608">
        <v>12</v>
      </c>
      <c r="H2416" s="608">
        <f>SUM(C2416*G2416)</f>
        <v>6960</v>
      </c>
      <c r="I2416" s="608">
        <f>SUM(F2416+H2416)</f>
        <v>24360</v>
      </c>
      <c r="J2416" s="676"/>
    </row>
    <row r="2417" spans="1:10">
      <c r="A2417" s="966"/>
      <c r="B2417" s="967" t="s">
        <v>864</v>
      </c>
      <c r="C2417" s="1156">
        <v>3600</v>
      </c>
      <c r="D2417" s="910" t="s">
        <v>57</v>
      </c>
      <c r="E2417" s="673">
        <v>6</v>
      </c>
      <c r="F2417" s="608">
        <f>SUM(C2417*E2417)</f>
        <v>21600</v>
      </c>
      <c r="G2417" s="608">
        <v>5</v>
      </c>
      <c r="H2417" s="608">
        <f>SUM(C2417*G2417)</f>
        <v>18000</v>
      </c>
      <c r="I2417" s="608">
        <f>SUM(F2417+H2417)</f>
        <v>39600</v>
      </c>
      <c r="J2417" s="676"/>
    </row>
    <row r="2418" spans="1:10">
      <c r="A2418" s="966"/>
      <c r="B2418" s="967" t="s">
        <v>865</v>
      </c>
      <c r="C2418" s="1156">
        <v>295</v>
      </c>
      <c r="D2418" s="910" t="s">
        <v>57</v>
      </c>
      <c r="E2418" s="673">
        <v>8</v>
      </c>
      <c r="F2418" s="608">
        <f>SUM(C2418*E2418)</f>
        <v>2360</v>
      </c>
      <c r="G2418" s="608">
        <v>3</v>
      </c>
      <c r="H2418" s="608">
        <f>SUM(C2418*G2418)</f>
        <v>885</v>
      </c>
      <c r="I2418" s="608">
        <f>SUM(F2418+H2418)</f>
        <v>3245</v>
      </c>
      <c r="J2418" s="676"/>
    </row>
    <row r="2419" spans="1:10">
      <c r="A2419" s="969"/>
      <c r="B2419" s="967" t="s">
        <v>841</v>
      </c>
      <c r="C2419" s="1156"/>
      <c r="D2419" s="978"/>
      <c r="E2419" s="673"/>
      <c r="F2419" s="673"/>
      <c r="G2419" s="673"/>
      <c r="H2419" s="673"/>
      <c r="I2419" s="673"/>
      <c r="J2419" s="676"/>
    </row>
    <row r="2420" spans="1:10">
      <c r="A2420" s="969"/>
      <c r="B2420" s="967" t="s">
        <v>866</v>
      </c>
      <c r="C2420" s="1156">
        <v>436</v>
      </c>
      <c r="D2420" s="910" t="s">
        <v>57</v>
      </c>
      <c r="E2420" s="489">
        <v>37</v>
      </c>
      <c r="F2420" s="674">
        <f>E2420*C2420</f>
        <v>16132</v>
      </c>
      <c r="G2420" s="672">
        <v>24</v>
      </c>
      <c r="H2420" s="674">
        <f>G2420*C2420</f>
        <v>10464</v>
      </c>
      <c r="I2420" s="674">
        <f>F2420+H2420</f>
        <v>26596</v>
      </c>
      <c r="J2420" s="676"/>
    </row>
    <row r="2421" spans="1:10">
      <c r="A2421" s="969"/>
      <c r="B2421" s="967" t="s">
        <v>867</v>
      </c>
      <c r="C2421" s="1156">
        <v>759</v>
      </c>
      <c r="D2421" s="910" t="s">
        <v>57</v>
      </c>
      <c r="E2421" s="489">
        <v>26</v>
      </c>
      <c r="F2421" s="674">
        <f>E2421*C2421</f>
        <v>19734</v>
      </c>
      <c r="G2421" s="672">
        <v>22</v>
      </c>
      <c r="H2421" s="674">
        <f>G2421*C2421</f>
        <v>16698</v>
      </c>
      <c r="I2421" s="674">
        <f>F2421+H2421</f>
        <v>36432</v>
      </c>
      <c r="J2421" s="676"/>
    </row>
    <row r="2422" spans="1:10">
      <c r="A2422" s="969"/>
      <c r="B2422" s="967" t="s">
        <v>868</v>
      </c>
      <c r="C2422" s="1156"/>
      <c r="D2422" s="978"/>
      <c r="E2422" s="673"/>
      <c r="F2422" s="608"/>
      <c r="G2422" s="608"/>
      <c r="H2422" s="608"/>
      <c r="I2422" s="608"/>
      <c r="J2422" s="676"/>
    </row>
    <row r="2423" spans="1:10">
      <c r="A2423" s="966"/>
      <c r="B2423" s="967" t="s">
        <v>869</v>
      </c>
      <c r="C2423" s="1156">
        <v>4</v>
      </c>
      <c r="D2423" s="910" t="s">
        <v>57</v>
      </c>
      <c r="E2423" s="673">
        <v>450</v>
      </c>
      <c r="F2423" s="608">
        <f>SUM(C2423*E2423)</f>
        <v>1800</v>
      </c>
      <c r="G2423" s="608">
        <v>200</v>
      </c>
      <c r="H2423" s="608">
        <f>SUM(C2423*G2423)</f>
        <v>800</v>
      </c>
      <c r="I2423" s="608">
        <f>SUM(F2423+H2423)</f>
        <v>2600</v>
      </c>
      <c r="J2423" s="676"/>
    </row>
    <row r="2424" spans="1:10">
      <c r="A2424" s="969"/>
      <c r="B2424" s="653" t="s">
        <v>726</v>
      </c>
      <c r="C2424" s="1160">
        <v>1</v>
      </c>
      <c r="D2424" s="979" t="s">
        <v>508</v>
      </c>
      <c r="E2424" s="980">
        <f>I2424*0.8</f>
        <v>26320</v>
      </c>
      <c r="F2424" s="981">
        <f>SUM(C2424*E2424)</f>
        <v>26320</v>
      </c>
      <c r="G2424" s="981">
        <f>I2424*0.2</f>
        <v>6580</v>
      </c>
      <c r="H2424" s="981">
        <f>SUM(C2424*G2424)</f>
        <v>6580</v>
      </c>
      <c r="I2424" s="981">
        <f>ROUNDUP(SUM(I2405:I2423)*5%,-2)</f>
        <v>32900</v>
      </c>
      <c r="J2424" s="982"/>
    </row>
    <row r="2425" spans="1:10">
      <c r="A2425" s="600" t="s">
        <v>834</v>
      </c>
      <c r="B2425" s="601" t="s">
        <v>870</v>
      </c>
      <c r="C2425" s="1163"/>
      <c r="D2425" s="603"/>
      <c r="E2425" s="604"/>
      <c r="F2425" s="571"/>
      <c r="G2425" s="534"/>
      <c r="H2425" s="571"/>
      <c r="I2425" s="571"/>
      <c r="J2425" s="569"/>
    </row>
    <row r="2426" spans="1:10">
      <c r="A2426" s="983"/>
      <c r="B2426" s="967" t="s">
        <v>871</v>
      </c>
      <c r="C2426" s="1163"/>
      <c r="D2426" s="603"/>
      <c r="E2426" s="604"/>
      <c r="F2426" s="571"/>
      <c r="G2426" s="534"/>
      <c r="H2426" s="571"/>
      <c r="I2426" s="571"/>
      <c r="J2426" s="571"/>
    </row>
    <row r="2427" spans="1:10">
      <c r="A2427" s="983"/>
      <c r="B2427" s="967" t="s">
        <v>872</v>
      </c>
      <c r="C2427" s="1164">
        <v>2</v>
      </c>
      <c r="D2427" s="984" t="s">
        <v>15</v>
      </c>
      <c r="E2427" s="985">
        <v>14000</v>
      </c>
      <c r="F2427" s="985">
        <f>SUM(C2427*E2427)</f>
        <v>28000</v>
      </c>
      <c r="G2427" s="985">
        <v>500</v>
      </c>
      <c r="H2427" s="985">
        <f>SUM(C2427*G2427)</f>
        <v>1000</v>
      </c>
      <c r="I2427" s="985">
        <f>SUM(F2427+H2427)</f>
        <v>29000</v>
      </c>
      <c r="J2427" s="571"/>
    </row>
    <row r="2428" spans="1:10">
      <c r="A2428" s="983"/>
      <c r="B2428" s="967" t="s">
        <v>873</v>
      </c>
      <c r="C2428" s="1164">
        <v>372</v>
      </c>
      <c r="D2428" s="986" t="s">
        <v>57</v>
      </c>
      <c r="E2428" s="985">
        <v>80</v>
      </c>
      <c r="F2428" s="608">
        <f>SUM(C2428*E2428)</f>
        <v>29760</v>
      </c>
      <c r="G2428" s="608">
        <v>20</v>
      </c>
      <c r="H2428" s="608">
        <f>SUM(C2428*G2428)</f>
        <v>7440</v>
      </c>
      <c r="I2428" s="608">
        <f>SUM(F2428+H2428)</f>
        <v>37200</v>
      </c>
      <c r="J2428" s="571"/>
    </row>
    <row r="2429" spans="1:10">
      <c r="A2429" s="983"/>
      <c r="B2429" s="967" t="s">
        <v>874</v>
      </c>
      <c r="C2429" s="1164">
        <v>762</v>
      </c>
      <c r="D2429" s="986" t="s">
        <v>57</v>
      </c>
      <c r="E2429" s="985">
        <v>18</v>
      </c>
      <c r="F2429" s="608">
        <f>SUM(C2429*E2429)</f>
        <v>13716</v>
      </c>
      <c r="G2429" s="608">
        <v>5</v>
      </c>
      <c r="H2429" s="608">
        <f>SUM(C2429*G2429)</f>
        <v>3810</v>
      </c>
      <c r="I2429" s="608">
        <f>SUM(F2429+H2429)</f>
        <v>17526</v>
      </c>
      <c r="J2429" s="571"/>
    </row>
    <row r="2430" spans="1:10">
      <c r="A2430" s="983"/>
      <c r="B2430" s="967" t="s">
        <v>841</v>
      </c>
      <c r="C2430" s="1164"/>
      <c r="D2430" s="987"/>
      <c r="E2430" s="985"/>
      <c r="F2430" s="985"/>
      <c r="G2430" s="985"/>
      <c r="H2430" s="985"/>
      <c r="I2430" s="985"/>
      <c r="J2430" s="571"/>
    </row>
    <row r="2431" spans="1:10">
      <c r="A2431" s="983"/>
      <c r="B2431" s="967" t="s">
        <v>875</v>
      </c>
      <c r="C2431" s="1164">
        <v>160</v>
      </c>
      <c r="D2431" s="986" t="s">
        <v>57</v>
      </c>
      <c r="E2431" s="489">
        <v>53</v>
      </c>
      <c r="F2431" s="988">
        <f>E2431*C2431</f>
        <v>8480</v>
      </c>
      <c r="G2431" s="672">
        <v>28</v>
      </c>
      <c r="H2431" s="988">
        <f>G2431*C2431</f>
        <v>4480</v>
      </c>
      <c r="I2431" s="988">
        <f>F2431+H2431</f>
        <v>12960</v>
      </c>
      <c r="J2431" s="571"/>
    </row>
    <row r="2432" spans="1:10">
      <c r="A2432" s="983"/>
      <c r="B2432" s="967" t="s">
        <v>866</v>
      </c>
      <c r="C2432" s="1164">
        <v>212</v>
      </c>
      <c r="D2432" s="986" t="s">
        <v>57</v>
      </c>
      <c r="E2432" s="489">
        <v>37</v>
      </c>
      <c r="F2432" s="988">
        <f>E2432*C2432</f>
        <v>7844</v>
      </c>
      <c r="G2432" s="672">
        <v>24</v>
      </c>
      <c r="H2432" s="988">
        <f>G2432*C2432</f>
        <v>5088</v>
      </c>
      <c r="I2432" s="988">
        <f>F2432+H2432</f>
        <v>12932</v>
      </c>
      <c r="J2432" s="550"/>
    </row>
    <row r="2433" spans="1:10">
      <c r="A2433" s="989"/>
      <c r="B2433" s="967" t="s">
        <v>867</v>
      </c>
      <c r="C2433" s="1164">
        <v>148</v>
      </c>
      <c r="D2433" s="986" t="s">
        <v>57</v>
      </c>
      <c r="E2433" s="489">
        <v>26</v>
      </c>
      <c r="F2433" s="988">
        <f>E2433*C2433</f>
        <v>3848</v>
      </c>
      <c r="G2433" s="672">
        <v>22</v>
      </c>
      <c r="H2433" s="988">
        <f>G2433*C2433</f>
        <v>3256</v>
      </c>
      <c r="I2433" s="988">
        <f>F2433+H2433</f>
        <v>7104</v>
      </c>
      <c r="J2433" s="571"/>
    </row>
    <row r="2434" spans="1:10">
      <c r="A2434" s="989"/>
      <c r="B2434" s="971" t="s">
        <v>726</v>
      </c>
      <c r="C2434" s="1164">
        <v>1</v>
      </c>
      <c r="D2434" s="990" t="s">
        <v>508</v>
      </c>
      <c r="E2434" s="991">
        <f>I2434*0.8</f>
        <v>4720</v>
      </c>
      <c r="F2434" s="992">
        <f>SUM(C2434*E2434)</f>
        <v>4720</v>
      </c>
      <c r="G2434" s="992">
        <f>I2434*0.2</f>
        <v>1180</v>
      </c>
      <c r="H2434" s="992">
        <f>SUM(C2434*G2434)</f>
        <v>1180</v>
      </c>
      <c r="I2434" s="992">
        <f>ROUNDUP(SUM(I2425:I2433)*5%,-2)</f>
        <v>5900</v>
      </c>
      <c r="J2434" s="571"/>
    </row>
    <row r="2435" spans="1:10">
      <c r="A2435" s="993" t="s">
        <v>835</v>
      </c>
      <c r="B2435" s="994" t="s">
        <v>666</v>
      </c>
      <c r="C2435" s="995"/>
      <c r="D2435" s="995"/>
      <c r="E2435" s="996"/>
      <c r="F2435" s="997"/>
      <c r="G2435" s="996"/>
      <c r="H2435" s="997"/>
      <c r="I2435" s="998"/>
      <c r="J2435" s="999"/>
    </row>
    <row r="2436" spans="1:10">
      <c r="A2436" s="1000"/>
      <c r="B2436" s="1001" t="s">
        <v>876</v>
      </c>
      <c r="C2436" s="995">
        <v>50</v>
      </c>
      <c r="D2436" s="1002" t="s">
        <v>57</v>
      </c>
      <c r="E2436" s="489">
        <v>55</v>
      </c>
      <c r="F2436" s="1003">
        <f>E2436*C2436</f>
        <v>2750</v>
      </c>
      <c r="G2436" s="672">
        <v>20</v>
      </c>
      <c r="H2436" s="1003">
        <f>G2436*C2436</f>
        <v>1000</v>
      </c>
      <c r="I2436" s="1003">
        <f>F2436+H2436</f>
        <v>3750</v>
      </c>
      <c r="J2436" s="999"/>
    </row>
    <row r="2437" spans="1:10">
      <c r="A2437" s="1000"/>
      <c r="B2437" s="1004" t="s">
        <v>877</v>
      </c>
      <c r="C2437" s="995">
        <v>50</v>
      </c>
      <c r="D2437" s="1002" t="s">
        <v>57</v>
      </c>
      <c r="E2437" s="996">
        <v>29</v>
      </c>
      <c r="F2437" s="997">
        <f>E2437*C2437</f>
        <v>1450</v>
      </c>
      <c r="G2437" s="996">
        <v>35</v>
      </c>
      <c r="H2437" s="997">
        <f>G2437*C2437</f>
        <v>1750</v>
      </c>
      <c r="I2437" s="1005">
        <f>F2437+H2437</f>
        <v>3200</v>
      </c>
      <c r="J2437" s="999"/>
    </row>
    <row r="2438" spans="1:10">
      <c r="A2438" s="1000"/>
      <c r="B2438" s="1001" t="s">
        <v>878</v>
      </c>
      <c r="C2438" s="995">
        <v>3</v>
      </c>
      <c r="D2438" s="1006" t="s">
        <v>15</v>
      </c>
      <c r="E2438" s="489">
        <v>1000</v>
      </c>
      <c r="F2438" s="1003">
        <f>E2438*C2438</f>
        <v>3000</v>
      </c>
      <c r="G2438" s="672">
        <v>200</v>
      </c>
      <c r="H2438" s="1003">
        <f>G2438*C2438</f>
        <v>600</v>
      </c>
      <c r="I2438" s="1003">
        <f>F2438+H2438</f>
        <v>3600</v>
      </c>
      <c r="J2438" s="999"/>
    </row>
    <row r="2439" spans="1:10">
      <c r="A2439" s="1000"/>
      <c r="B2439" s="1001" t="s">
        <v>667</v>
      </c>
      <c r="C2439" s="1165">
        <v>1</v>
      </c>
      <c r="D2439" s="1007" t="s">
        <v>508</v>
      </c>
      <c r="E2439" s="1008">
        <v>3000</v>
      </c>
      <c r="F2439" s="1009">
        <v>2000</v>
      </c>
      <c r="G2439" s="1009">
        <v>1000</v>
      </c>
      <c r="H2439" s="1009">
        <v>1000</v>
      </c>
      <c r="I2439" s="1010">
        <f>F2439+H2439</f>
        <v>3000</v>
      </c>
      <c r="J2439" s="1011"/>
    </row>
    <row r="2440" spans="1:10">
      <c r="A2440" s="1012"/>
      <c r="B2440" s="1013"/>
      <c r="C2440" s="1014"/>
      <c r="D2440" s="1014"/>
      <c r="E2440" s="1015"/>
      <c r="F2440" s="1016"/>
      <c r="G2440" s="1015"/>
      <c r="H2440" s="1016"/>
      <c r="I2440" s="1010"/>
      <c r="J2440" s="1011"/>
    </row>
    <row r="2441" spans="1:10">
      <c r="A2441" s="1017">
        <v>5.3</v>
      </c>
      <c r="B2441" s="1018" t="s">
        <v>879</v>
      </c>
      <c r="C2441" s="1019"/>
      <c r="D2441" s="486"/>
      <c r="E2441" s="1020"/>
      <c r="F2441" s="1021"/>
      <c r="G2441" s="1022"/>
      <c r="H2441" s="1021"/>
      <c r="I2441" s="1021"/>
      <c r="J2441" s="565"/>
    </row>
    <row r="2442" spans="1:10">
      <c r="A2442" s="496" t="s">
        <v>880</v>
      </c>
      <c r="B2442" s="960" t="s">
        <v>728</v>
      </c>
      <c r="C2442" s="683"/>
      <c r="D2442" s="961"/>
      <c r="E2442" s="683"/>
      <c r="F2442" s="676"/>
      <c r="G2442" s="682"/>
      <c r="H2442" s="676"/>
      <c r="I2442" s="676"/>
      <c r="J2442" s="558"/>
    </row>
    <row r="2443" spans="1:10">
      <c r="A2443" s="502"/>
      <c r="B2443" s="962" t="s">
        <v>730</v>
      </c>
      <c r="C2443" s="683">
        <v>1</v>
      </c>
      <c r="D2443" s="510" t="s">
        <v>15</v>
      </c>
      <c r="E2443" s="963">
        <v>67000</v>
      </c>
      <c r="F2443" s="674">
        <f t="shared" ref="F2443:F2452" si="209">E2443*C2443</f>
        <v>67000</v>
      </c>
      <c r="G2443" s="609">
        <v>2500</v>
      </c>
      <c r="H2443" s="674">
        <f>G2443*C2443</f>
        <v>2500</v>
      </c>
      <c r="I2443" s="674">
        <f>F2443+H2443</f>
        <v>69500</v>
      </c>
      <c r="J2443" s="558"/>
    </row>
    <row r="2444" spans="1:10">
      <c r="A2444" s="502"/>
      <c r="B2444" s="962" t="s">
        <v>731</v>
      </c>
      <c r="C2444" s="683">
        <v>1</v>
      </c>
      <c r="D2444" s="510" t="s">
        <v>15</v>
      </c>
      <c r="E2444" s="963">
        <v>29200</v>
      </c>
      <c r="F2444" s="674">
        <f t="shared" si="209"/>
        <v>29200</v>
      </c>
      <c r="G2444" s="609">
        <v>2500</v>
      </c>
      <c r="H2444" s="674">
        <f>G2444*C2444</f>
        <v>2500</v>
      </c>
      <c r="I2444" s="674">
        <f>F2444+H2444</f>
        <v>31700</v>
      </c>
      <c r="J2444" s="558"/>
    </row>
    <row r="2445" spans="1:10">
      <c r="A2445" s="502"/>
      <c r="B2445" s="962" t="s">
        <v>741</v>
      </c>
      <c r="C2445" s="683">
        <v>1</v>
      </c>
      <c r="D2445" s="510" t="s">
        <v>15</v>
      </c>
      <c r="E2445" s="963">
        <v>16940</v>
      </c>
      <c r="F2445" s="674">
        <f t="shared" si="209"/>
        <v>16940</v>
      </c>
      <c r="G2445" s="609">
        <v>1000</v>
      </c>
      <c r="H2445" s="674">
        <f t="shared" ref="H2445:H2450" si="210">G2445*C2445</f>
        <v>1000</v>
      </c>
      <c r="I2445" s="674">
        <f t="shared" ref="I2445:I2450" si="211">F2445+H2445</f>
        <v>17940</v>
      </c>
      <c r="J2445" s="558"/>
    </row>
    <row r="2446" spans="1:10">
      <c r="A2446" s="502"/>
      <c r="B2446" s="962" t="s">
        <v>742</v>
      </c>
      <c r="C2446" s="683">
        <v>1</v>
      </c>
      <c r="D2446" s="510" t="s">
        <v>15</v>
      </c>
      <c r="E2446" s="963">
        <v>16940</v>
      </c>
      <c r="F2446" s="674">
        <f t="shared" si="209"/>
        <v>16940</v>
      </c>
      <c r="G2446" s="609">
        <v>1000</v>
      </c>
      <c r="H2446" s="674">
        <f t="shared" si="210"/>
        <v>1000</v>
      </c>
      <c r="I2446" s="674">
        <f t="shared" si="211"/>
        <v>17940</v>
      </c>
      <c r="J2446" s="558"/>
    </row>
    <row r="2447" spans="1:10">
      <c r="A2447" s="502"/>
      <c r="B2447" s="962" t="s">
        <v>1153</v>
      </c>
      <c r="C2447" s="683">
        <v>1</v>
      </c>
      <c r="D2447" s="510" t="s">
        <v>15</v>
      </c>
      <c r="E2447" s="963">
        <v>41860</v>
      </c>
      <c r="F2447" s="674">
        <f t="shared" si="209"/>
        <v>41860</v>
      </c>
      <c r="G2447" s="609">
        <v>1000</v>
      </c>
      <c r="H2447" s="674">
        <f t="shared" si="210"/>
        <v>1000</v>
      </c>
      <c r="I2447" s="674">
        <f t="shared" si="211"/>
        <v>42860</v>
      </c>
      <c r="J2447" s="558"/>
    </row>
    <row r="2448" spans="1:10">
      <c r="A2448" s="502"/>
      <c r="B2448" s="962" t="s">
        <v>1154</v>
      </c>
      <c r="C2448" s="683">
        <v>1</v>
      </c>
      <c r="D2448" s="510" t="s">
        <v>15</v>
      </c>
      <c r="E2448" s="963">
        <v>38300</v>
      </c>
      <c r="F2448" s="674">
        <f t="shared" si="209"/>
        <v>38300</v>
      </c>
      <c r="G2448" s="609">
        <v>1000</v>
      </c>
      <c r="H2448" s="674">
        <f t="shared" si="210"/>
        <v>1000</v>
      </c>
      <c r="I2448" s="674">
        <f t="shared" si="211"/>
        <v>39300</v>
      </c>
      <c r="J2448" s="558"/>
    </row>
    <row r="2449" spans="1:10">
      <c r="A2449" s="502"/>
      <c r="B2449" s="962" t="s">
        <v>743</v>
      </c>
      <c r="C2449" s="683">
        <v>1</v>
      </c>
      <c r="D2449" s="510" t="s">
        <v>15</v>
      </c>
      <c r="E2449" s="963">
        <v>13710</v>
      </c>
      <c r="F2449" s="674">
        <f t="shared" si="209"/>
        <v>13710</v>
      </c>
      <c r="G2449" s="609">
        <v>1000</v>
      </c>
      <c r="H2449" s="674">
        <f t="shared" si="210"/>
        <v>1000</v>
      </c>
      <c r="I2449" s="674">
        <f t="shared" si="211"/>
        <v>14710</v>
      </c>
      <c r="J2449" s="558"/>
    </row>
    <row r="2450" spans="1:10">
      <c r="A2450" s="502"/>
      <c r="B2450" s="962" t="s">
        <v>744</v>
      </c>
      <c r="C2450" s="683">
        <v>1</v>
      </c>
      <c r="D2450" s="510" t="s">
        <v>15</v>
      </c>
      <c r="E2450" s="963">
        <v>15330</v>
      </c>
      <c r="F2450" s="674">
        <f t="shared" si="209"/>
        <v>15330</v>
      </c>
      <c r="G2450" s="609">
        <v>1000</v>
      </c>
      <c r="H2450" s="674">
        <f t="shared" si="210"/>
        <v>1000</v>
      </c>
      <c r="I2450" s="674">
        <f t="shared" si="211"/>
        <v>16330</v>
      </c>
      <c r="J2450" s="558"/>
    </row>
    <row r="2451" spans="1:10">
      <c r="A2451" s="502"/>
      <c r="B2451" s="962" t="s">
        <v>751</v>
      </c>
      <c r="C2451" s="683">
        <v>1</v>
      </c>
      <c r="D2451" s="510" t="s">
        <v>15</v>
      </c>
      <c r="E2451" s="963">
        <v>16940</v>
      </c>
      <c r="F2451" s="674">
        <f t="shared" si="209"/>
        <v>16940</v>
      </c>
      <c r="G2451" s="609">
        <v>1000</v>
      </c>
      <c r="H2451" s="674">
        <f>G2451*C2451</f>
        <v>1000</v>
      </c>
      <c r="I2451" s="674">
        <f>F2451+H2451</f>
        <v>17940</v>
      </c>
      <c r="J2451" s="558"/>
    </row>
    <row r="2452" spans="1:10">
      <c r="A2452" s="502"/>
      <c r="B2452" s="962" t="s">
        <v>752</v>
      </c>
      <c r="C2452" s="683">
        <v>1</v>
      </c>
      <c r="D2452" s="510" t="s">
        <v>15</v>
      </c>
      <c r="E2452" s="963">
        <v>12140</v>
      </c>
      <c r="F2452" s="674">
        <f t="shared" si="209"/>
        <v>12140</v>
      </c>
      <c r="G2452" s="609">
        <v>1000</v>
      </c>
      <c r="H2452" s="674">
        <f>G2452*C2452</f>
        <v>1000</v>
      </c>
      <c r="I2452" s="674">
        <f>F2452+H2452</f>
        <v>13140</v>
      </c>
      <c r="J2452" s="558"/>
    </row>
    <row r="2453" spans="1:10">
      <c r="A2453" s="502"/>
      <c r="B2453" s="962" t="s">
        <v>667</v>
      </c>
      <c r="C2453" s="683">
        <v>1</v>
      </c>
      <c r="D2453" s="912" t="s">
        <v>508</v>
      </c>
      <c r="E2453" s="660">
        <f>I2453*0.8</f>
        <v>11280</v>
      </c>
      <c r="F2453" s="913">
        <f>C2453*E2453</f>
        <v>11280</v>
      </c>
      <c r="G2453" s="913">
        <f>I2453*0.2</f>
        <v>2820</v>
      </c>
      <c r="H2453" s="674">
        <f>C2453*G2453</f>
        <v>2820</v>
      </c>
      <c r="I2453" s="674">
        <f>ROUNDUP(SUM(I2443:I2452)*5%,-2)</f>
        <v>14100</v>
      </c>
      <c r="J2453" s="558"/>
    </row>
    <row r="2454" spans="1:10">
      <c r="A2454" s="496" t="s">
        <v>881</v>
      </c>
      <c r="B2454" s="960" t="s">
        <v>762</v>
      </c>
      <c r="C2454" s="683"/>
      <c r="D2454" s="961"/>
      <c r="E2454" s="683"/>
      <c r="F2454" s="676"/>
      <c r="G2454" s="682"/>
      <c r="H2454" s="676"/>
      <c r="I2454" s="676"/>
      <c r="J2454" s="558"/>
    </row>
    <row r="2455" spans="1:10">
      <c r="A2455" s="502"/>
      <c r="B2455" s="962" t="s">
        <v>763</v>
      </c>
      <c r="C2455" s="683">
        <v>333</v>
      </c>
      <c r="D2455" s="510" t="s">
        <v>15</v>
      </c>
      <c r="E2455" s="963">
        <v>3500</v>
      </c>
      <c r="F2455" s="674">
        <f t="shared" ref="F2455:F2464" si="212">E2455*C2455</f>
        <v>1165500</v>
      </c>
      <c r="G2455" s="609">
        <v>200</v>
      </c>
      <c r="H2455" s="674">
        <f t="shared" ref="H2455:H2464" si="213">G2455*C2455</f>
        <v>66600</v>
      </c>
      <c r="I2455" s="674">
        <f t="shared" ref="I2455:I2464" si="214">F2455+H2455</f>
        <v>1232100</v>
      </c>
      <c r="J2455" s="558"/>
    </row>
    <row r="2456" spans="1:10">
      <c r="A2456" s="502"/>
      <c r="B2456" s="962" t="s">
        <v>765</v>
      </c>
      <c r="C2456" s="683">
        <v>12</v>
      </c>
      <c r="D2456" s="510" t="s">
        <v>15</v>
      </c>
      <c r="E2456" s="963">
        <v>2700</v>
      </c>
      <c r="F2456" s="674">
        <f>E2456*C2456</f>
        <v>32400</v>
      </c>
      <c r="G2456" s="609">
        <v>150</v>
      </c>
      <c r="H2456" s="674">
        <f t="shared" si="213"/>
        <v>1800</v>
      </c>
      <c r="I2456" s="674">
        <f t="shared" si="214"/>
        <v>34200</v>
      </c>
      <c r="J2456" s="558"/>
    </row>
    <row r="2457" spans="1:10">
      <c r="A2457" s="502"/>
      <c r="B2457" s="962" t="s">
        <v>766</v>
      </c>
      <c r="C2457" s="683">
        <v>40</v>
      </c>
      <c r="D2457" s="510" t="s">
        <v>15</v>
      </c>
      <c r="E2457" s="963">
        <v>2500</v>
      </c>
      <c r="F2457" s="674">
        <f t="shared" si="212"/>
        <v>100000</v>
      </c>
      <c r="G2457" s="609">
        <v>150</v>
      </c>
      <c r="H2457" s="674">
        <f t="shared" si="213"/>
        <v>6000</v>
      </c>
      <c r="I2457" s="674">
        <f t="shared" si="214"/>
        <v>106000</v>
      </c>
      <c r="J2457" s="558"/>
    </row>
    <row r="2458" spans="1:10">
      <c r="A2458" s="502"/>
      <c r="B2458" s="962" t="s">
        <v>767</v>
      </c>
      <c r="C2458" s="683">
        <v>24</v>
      </c>
      <c r="D2458" s="510" t="s">
        <v>15</v>
      </c>
      <c r="E2458" s="963">
        <v>1200</v>
      </c>
      <c r="F2458" s="674">
        <f t="shared" si="212"/>
        <v>28800</v>
      </c>
      <c r="G2458" s="609">
        <v>115</v>
      </c>
      <c r="H2458" s="674">
        <f t="shared" si="213"/>
        <v>2760</v>
      </c>
      <c r="I2458" s="674">
        <f t="shared" si="214"/>
        <v>31560</v>
      </c>
      <c r="J2458" s="558"/>
    </row>
    <row r="2459" spans="1:10">
      <c r="A2459" s="502"/>
      <c r="B2459" s="962" t="s">
        <v>768</v>
      </c>
      <c r="C2459" s="683">
        <v>8</v>
      </c>
      <c r="D2459" s="510" t="s">
        <v>15</v>
      </c>
      <c r="E2459" s="963">
        <v>950</v>
      </c>
      <c r="F2459" s="674">
        <f t="shared" si="212"/>
        <v>7600</v>
      </c>
      <c r="G2459" s="609">
        <v>150</v>
      </c>
      <c r="H2459" s="674">
        <f t="shared" si="213"/>
        <v>1200</v>
      </c>
      <c r="I2459" s="674">
        <f t="shared" si="214"/>
        <v>8800</v>
      </c>
      <c r="J2459" s="558"/>
    </row>
    <row r="2460" spans="1:10">
      <c r="A2460" s="502"/>
      <c r="B2460" s="962" t="s">
        <v>769</v>
      </c>
      <c r="C2460" s="683">
        <v>7</v>
      </c>
      <c r="D2460" s="510" t="s">
        <v>15</v>
      </c>
      <c r="E2460" s="963">
        <v>750</v>
      </c>
      <c r="F2460" s="674">
        <f t="shared" si="212"/>
        <v>5250</v>
      </c>
      <c r="G2460" s="609">
        <v>115</v>
      </c>
      <c r="H2460" s="674">
        <f t="shared" si="213"/>
        <v>805</v>
      </c>
      <c r="I2460" s="674">
        <f t="shared" si="214"/>
        <v>6055</v>
      </c>
      <c r="J2460" s="558"/>
    </row>
    <row r="2461" spans="1:10">
      <c r="A2461" s="502"/>
      <c r="B2461" s="962" t="s">
        <v>771</v>
      </c>
      <c r="C2461" s="683">
        <v>70</v>
      </c>
      <c r="D2461" s="510" t="s">
        <v>15</v>
      </c>
      <c r="E2461" s="963">
        <v>2000</v>
      </c>
      <c r="F2461" s="674">
        <f t="shared" si="212"/>
        <v>140000</v>
      </c>
      <c r="G2461" s="609">
        <v>115</v>
      </c>
      <c r="H2461" s="674">
        <f t="shared" si="213"/>
        <v>8050</v>
      </c>
      <c r="I2461" s="674">
        <f t="shared" si="214"/>
        <v>148050</v>
      </c>
      <c r="J2461" s="558"/>
    </row>
    <row r="2462" spans="1:10">
      <c r="A2462" s="502"/>
      <c r="B2462" s="962" t="s">
        <v>772</v>
      </c>
      <c r="C2462" s="683">
        <v>48</v>
      </c>
      <c r="D2462" s="510" t="s">
        <v>15</v>
      </c>
      <c r="E2462" s="963">
        <v>2000</v>
      </c>
      <c r="F2462" s="674">
        <f t="shared" si="212"/>
        <v>96000</v>
      </c>
      <c r="G2462" s="609">
        <v>115</v>
      </c>
      <c r="H2462" s="674">
        <f t="shared" si="213"/>
        <v>5520</v>
      </c>
      <c r="I2462" s="674">
        <f t="shared" si="214"/>
        <v>101520</v>
      </c>
      <c r="J2462" s="558"/>
    </row>
    <row r="2463" spans="1:10">
      <c r="A2463" s="502"/>
      <c r="B2463" s="962" t="s">
        <v>1163</v>
      </c>
      <c r="C2463" s="683">
        <v>285</v>
      </c>
      <c r="D2463" s="510" t="s">
        <v>15</v>
      </c>
      <c r="E2463" s="963">
        <v>3000</v>
      </c>
      <c r="F2463" s="674">
        <f t="shared" si="212"/>
        <v>855000</v>
      </c>
      <c r="G2463" s="609">
        <v>165</v>
      </c>
      <c r="H2463" s="674">
        <f t="shared" si="213"/>
        <v>47025</v>
      </c>
      <c r="I2463" s="674">
        <f t="shared" si="214"/>
        <v>902025</v>
      </c>
      <c r="J2463" s="558"/>
    </row>
    <row r="2464" spans="1:10">
      <c r="A2464" s="502"/>
      <c r="B2464" s="962" t="s">
        <v>773</v>
      </c>
      <c r="C2464" s="683">
        <v>19</v>
      </c>
      <c r="D2464" s="510" t="s">
        <v>15</v>
      </c>
      <c r="E2464" s="963">
        <v>2500</v>
      </c>
      <c r="F2464" s="674">
        <f t="shared" si="212"/>
        <v>47500</v>
      </c>
      <c r="G2464" s="609">
        <v>165</v>
      </c>
      <c r="H2464" s="674">
        <f t="shared" si="213"/>
        <v>3135</v>
      </c>
      <c r="I2464" s="674">
        <f t="shared" si="214"/>
        <v>50635</v>
      </c>
      <c r="J2464" s="558"/>
    </row>
    <row r="2465" spans="1:10">
      <c r="A2465" s="502"/>
      <c r="B2465" s="962" t="s">
        <v>667</v>
      </c>
      <c r="C2465" s="683">
        <v>1</v>
      </c>
      <c r="D2465" s="912" t="s">
        <v>508</v>
      </c>
      <c r="E2465" s="660">
        <f>I2465*0.8</f>
        <v>104880</v>
      </c>
      <c r="F2465" s="913">
        <f>C2465*E2465</f>
        <v>104880</v>
      </c>
      <c r="G2465" s="913">
        <f>I2465*0.2</f>
        <v>26220</v>
      </c>
      <c r="H2465" s="674">
        <f>C2465*G2465</f>
        <v>26220</v>
      </c>
      <c r="I2465" s="674">
        <f>ROUNDUP(SUM(I2455:I2464)*5%,-2)</f>
        <v>131100</v>
      </c>
      <c r="J2465" s="558"/>
    </row>
    <row r="2466" spans="1:10">
      <c r="A2466" s="496" t="s">
        <v>882</v>
      </c>
      <c r="B2466" s="960" t="s">
        <v>776</v>
      </c>
      <c r="C2466" s="683"/>
      <c r="D2466" s="961"/>
      <c r="E2466" s="683"/>
      <c r="F2466" s="676"/>
      <c r="G2466" s="682"/>
      <c r="H2466" s="676"/>
      <c r="I2466" s="676"/>
      <c r="J2466" s="558"/>
    </row>
    <row r="2467" spans="1:10">
      <c r="A2467" s="502"/>
      <c r="B2467" s="962" t="s">
        <v>664</v>
      </c>
      <c r="C2467" s="683">
        <v>5</v>
      </c>
      <c r="D2467" s="910" t="s">
        <v>57</v>
      </c>
      <c r="E2467" s="489">
        <v>546</v>
      </c>
      <c r="F2467" s="674">
        <f>E2467*C2467</f>
        <v>2730</v>
      </c>
      <c r="G2467" s="672">
        <v>85</v>
      </c>
      <c r="H2467" s="674">
        <f t="shared" ref="H2467:H2473" si="215">G2467*C2467</f>
        <v>425</v>
      </c>
      <c r="I2467" s="674">
        <f t="shared" ref="I2467:I2473" si="216">F2467+H2467</f>
        <v>3155</v>
      </c>
      <c r="J2467" s="558"/>
    </row>
    <row r="2468" spans="1:10">
      <c r="A2468" s="502"/>
      <c r="B2468" s="962" t="s">
        <v>779</v>
      </c>
      <c r="C2468" s="683">
        <v>15</v>
      </c>
      <c r="D2468" s="910" t="s">
        <v>57</v>
      </c>
      <c r="E2468" s="489">
        <v>335</v>
      </c>
      <c r="F2468" s="674">
        <f t="shared" ref="F2468:F2473" si="217">E2468*C2468</f>
        <v>5025</v>
      </c>
      <c r="G2468" s="672">
        <v>55</v>
      </c>
      <c r="H2468" s="674">
        <f t="shared" si="215"/>
        <v>825</v>
      </c>
      <c r="I2468" s="674">
        <f t="shared" si="216"/>
        <v>5850</v>
      </c>
      <c r="J2468" s="558"/>
    </row>
    <row r="2469" spans="1:10">
      <c r="A2469" s="502"/>
      <c r="B2469" s="962" t="s">
        <v>783</v>
      </c>
      <c r="C2469" s="683">
        <v>5</v>
      </c>
      <c r="D2469" s="910" t="s">
        <v>57</v>
      </c>
      <c r="E2469" s="489">
        <v>132</v>
      </c>
      <c r="F2469" s="674">
        <f t="shared" si="217"/>
        <v>660</v>
      </c>
      <c r="G2469" s="672">
        <v>42</v>
      </c>
      <c r="H2469" s="674">
        <f t="shared" si="215"/>
        <v>210</v>
      </c>
      <c r="I2469" s="674">
        <f t="shared" si="216"/>
        <v>870</v>
      </c>
      <c r="J2469" s="558"/>
    </row>
    <row r="2470" spans="1:10">
      <c r="A2470" s="502"/>
      <c r="B2470" s="962" t="s">
        <v>784</v>
      </c>
      <c r="C2470" s="683">
        <v>25</v>
      </c>
      <c r="D2470" s="910" t="s">
        <v>57</v>
      </c>
      <c r="E2470" s="489">
        <v>107</v>
      </c>
      <c r="F2470" s="674">
        <f t="shared" si="217"/>
        <v>2675</v>
      </c>
      <c r="G2470" s="672">
        <v>38</v>
      </c>
      <c r="H2470" s="674">
        <f t="shared" si="215"/>
        <v>950</v>
      </c>
      <c r="I2470" s="674">
        <f t="shared" si="216"/>
        <v>3625</v>
      </c>
      <c r="J2470" s="558"/>
    </row>
    <row r="2471" spans="1:10">
      <c r="A2471" s="502"/>
      <c r="B2471" s="962" t="s">
        <v>786</v>
      </c>
      <c r="C2471" s="683">
        <v>20</v>
      </c>
      <c r="D2471" s="910" t="s">
        <v>57</v>
      </c>
      <c r="E2471" s="489">
        <v>53</v>
      </c>
      <c r="F2471" s="674">
        <f>E2471*C2471</f>
        <v>1060</v>
      </c>
      <c r="G2471" s="672">
        <v>28</v>
      </c>
      <c r="H2471" s="674">
        <f t="shared" si="215"/>
        <v>560</v>
      </c>
      <c r="I2471" s="674">
        <f t="shared" si="216"/>
        <v>1620</v>
      </c>
      <c r="J2471" s="558"/>
    </row>
    <row r="2472" spans="1:10">
      <c r="A2472" s="502"/>
      <c r="B2472" s="962" t="s">
        <v>787</v>
      </c>
      <c r="C2472" s="683">
        <v>310</v>
      </c>
      <c r="D2472" s="910" t="s">
        <v>57</v>
      </c>
      <c r="E2472" s="489">
        <v>37</v>
      </c>
      <c r="F2472" s="674">
        <f t="shared" si="217"/>
        <v>11470</v>
      </c>
      <c r="G2472" s="672">
        <v>24</v>
      </c>
      <c r="H2472" s="674">
        <f t="shared" si="215"/>
        <v>7440</v>
      </c>
      <c r="I2472" s="674">
        <f t="shared" si="216"/>
        <v>18910</v>
      </c>
      <c r="J2472" s="558"/>
    </row>
    <row r="2473" spans="1:10">
      <c r="A2473" s="502"/>
      <c r="B2473" s="962" t="s">
        <v>788</v>
      </c>
      <c r="C2473" s="683">
        <v>11390</v>
      </c>
      <c r="D2473" s="910" t="s">
        <v>57</v>
      </c>
      <c r="E2473" s="489">
        <v>26</v>
      </c>
      <c r="F2473" s="674">
        <f t="shared" si="217"/>
        <v>296140</v>
      </c>
      <c r="G2473" s="672">
        <v>22</v>
      </c>
      <c r="H2473" s="674">
        <f t="shared" si="215"/>
        <v>250580</v>
      </c>
      <c r="I2473" s="674">
        <f t="shared" si="216"/>
        <v>546720</v>
      </c>
      <c r="J2473" s="558"/>
    </row>
    <row r="2474" spans="1:10">
      <c r="A2474" s="502"/>
      <c r="B2474" s="962" t="s">
        <v>790</v>
      </c>
      <c r="C2474" s="683">
        <v>1</v>
      </c>
      <c r="D2474" s="912" t="s">
        <v>508</v>
      </c>
      <c r="E2474" s="660">
        <f>I2474*0.8</f>
        <v>8000</v>
      </c>
      <c r="F2474" s="913">
        <f>C2474*E2474</f>
        <v>8000</v>
      </c>
      <c r="G2474" s="913">
        <f>I2474*0.2</f>
        <v>2000</v>
      </c>
      <c r="H2474" s="674">
        <f>C2474*G2474</f>
        <v>2000</v>
      </c>
      <c r="I2474" s="674">
        <v>10000</v>
      </c>
      <c r="J2474" s="558"/>
    </row>
    <row r="2475" spans="1:10">
      <c r="A2475" s="502"/>
      <c r="B2475" s="962" t="s">
        <v>791</v>
      </c>
      <c r="C2475" s="683">
        <v>1</v>
      </c>
      <c r="D2475" s="912" t="s">
        <v>508</v>
      </c>
      <c r="E2475" s="660">
        <f>I2475*0.8</f>
        <v>47280</v>
      </c>
      <c r="F2475" s="913">
        <f>C2475*E2475</f>
        <v>47280</v>
      </c>
      <c r="G2475" s="913">
        <f>I2475*0.2</f>
        <v>11820</v>
      </c>
      <c r="H2475" s="674">
        <f>C2475*G2475</f>
        <v>11820</v>
      </c>
      <c r="I2475" s="674">
        <f>ROUNDUP(SUM(I2467:I2474)*10%,-2)</f>
        <v>59100</v>
      </c>
      <c r="J2475" s="558"/>
    </row>
    <row r="2476" spans="1:10">
      <c r="A2476" s="502"/>
      <c r="B2476" s="962" t="s">
        <v>667</v>
      </c>
      <c r="C2476" s="683">
        <v>1</v>
      </c>
      <c r="D2476" s="912" t="s">
        <v>508</v>
      </c>
      <c r="E2476" s="660">
        <f>I2476*0.8</f>
        <v>26000</v>
      </c>
      <c r="F2476" s="913">
        <f>C2476*E2476</f>
        <v>26000</v>
      </c>
      <c r="G2476" s="913">
        <f>I2476*0.2</f>
        <v>6500</v>
      </c>
      <c r="H2476" s="674">
        <f>C2476*G2476</f>
        <v>6500</v>
      </c>
      <c r="I2476" s="674">
        <f>ROUNDUP(SUM(I2467:I2475)*5%,-2)</f>
        <v>32500</v>
      </c>
      <c r="J2476" s="558"/>
    </row>
    <row r="2477" spans="1:10">
      <c r="A2477" s="496" t="s">
        <v>883</v>
      </c>
      <c r="B2477" s="960" t="s">
        <v>793</v>
      </c>
      <c r="C2477" s="683"/>
      <c r="D2477" s="961"/>
      <c r="E2477" s="683"/>
      <c r="F2477" s="676"/>
      <c r="G2477" s="682"/>
      <c r="H2477" s="676"/>
      <c r="I2477" s="676"/>
      <c r="J2477" s="558"/>
    </row>
    <row r="2478" spans="1:10">
      <c r="A2478" s="502"/>
      <c r="B2478" s="962" t="s">
        <v>795</v>
      </c>
      <c r="C2478" s="683">
        <v>20</v>
      </c>
      <c r="D2478" s="910" t="s">
        <v>57</v>
      </c>
      <c r="E2478" s="489">
        <v>1199</v>
      </c>
      <c r="F2478" s="674">
        <f>E2478*C2478</f>
        <v>23980</v>
      </c>
      <c r="G2478" s="672">
        <v>110</v>
      </c>
      <c r="H2478" s="674">
        <f>G2478*C2478</f>
        <v>2200</v>
      </c>
      <c r="I2478" s="674">
        <f>F2478+H2478</f>
        <v>26180</v>
      </c>
      <c r="J2478" s="558"/>
    </row>
    <row r="2479" spans="1:10">
      <c r="A2479" s="502"/>
      <c r="B2479" s="962" t="s">
        <v>800</v>
      </c>
      <c r="C2479" s="683">
        <v>60</v>
      </c>
      <c r="D2479" s="910" t="s">
        <v>57</v>
      </c>
      <c r="E2479" s="489">
        <v>235</v>
      </c>
      <c r="F2479" s="674">
        <f t="shared" ref="F2479:F2486" si="218">E2479*C2479</f>
        <v>14100</v>
      </c>
      <c r="G2479" s="672">
        <v>45</v>
      </c>
      <c r="H2479" s="674">
        <f>G2479*C2479</f>
        <v>2700</v>
      </c>
      <c r="I2479" s="674">
        <f>F2479+H2479</f>
        <v>16800</v>
      </c>
      <c r="J2479" s="558"/>
    </row>
    <row r="2480" spans="1:10">
      <c r="A2480" s="502"/>
      <c r="B2480" s="962" t="s">
        <v>801</v>
      </c>
      <c r="C2480" s="683">
        <v>20</v>
      </c>
      <c r="D2480" s="910" t="s">
        <v>57</v>
      </c>
      <c r="E2480" s="489">
        <v>164</v>
      </c>
      <c r="F2480" s="674">
        <f t="shared" si="218"/>
        <v>3280</v>
      </c>
      <c r="G2480" s="672">
        <v>40</v>
      </c>
      <c r="H2480" s="674">
        <f>G2480*C2480</f>
        <v>800</v>
      </c>
      <c r="I2480" s="674">
        <f>F2480+H2480</f>
        <v>4080</v>
      </c>
      <c r="J2480" s="558"/>
    </row>
    <row r="2481" spans="1:10">
      <c r="A2481" s="502"/>
      <c r="B2481" s="962" t="s">
        <v>802</v>
      </c>
      <c r="C2481" s="683">
        <v>105</v>
      </c>
      <c r="D2481" s="910" t="s">
        <v>57</v>
      </c>
      <c r="E2481" s="489">
        <v>86</v>
      </c>
      <c r="F2481" s="674">
        <f t="shared" si="218"/>
        <v>9030</v>
      </c>
      <c r="G2481" s="672">
        <v>25</v>
      </c>
      <c r="H2481" s="674">
        <f t="shared" ref="H2481:H2486" si="219">G2481*C2481</f>
        <v>2625</v>
      </c>
      <c r="I2481" s="674">
        <f t="shared" ref="I2481:I2486" si="220">F2481+H2481</f>
        <v>11655</v>
      </c>
      <c r="J2481" s="558"/>
    </row>
    <row r="2482" spans="1:10">
      <c r="A2482" s="502"/>
      <c r="B2482" s="962" t="s">
        <v>803</v>
      </c>
      <c r="C2482" s="683">
        <v>15</v>
      </c>
      <c r="D2482" s="910" t="s">
        <v>57</v>
      </c>
      <c r="E2482" s="489">
        <v>55</v>
      </c>
      <c r="F2482" s="674">
        <f t="shared" si="218"/>
        <v>825</v>
      </c>
      <c r="G2482" s="672">
        <v>20</v>
      </c>
      <c r="H2482" s="674">
        <f t="shared" si="219"/>
        <v>300</v>
      </c>
      <c r="I2482" s="674">
        <f t="shared" si="220"/>
        <v>1125</v>
      </c>
      <c r="J2482" s="558"/>
    </row>
    <row r="2483" spans="1:10">
      <c r="A2483" s="502"/>
      <c r="B2483" s="962" t="s">
        <v>804</v>
      </c>
      <c r="C2483" s="683">
        <v>85</v>
      </c>
      <c r="D2483" s="910" t="s">
        <v>57</v>
      </c>
      <c r="E2483" s="489">
        <v>36</v>
      </c>
      <c r="F2483" s="674">
        <f t="shared" si="218"/>
        <v>3060</v>
      </c>
      <c r="G2483" s="672">
        <v>16</v>
      </c>
      <c r="H2483" s="674">
        <f t="shared" si="219"/>
        <v>1360</v>
      </c>
      <c r="I2483" s="674">
        <f t="shared" si="220"/>
        <v>4420</v>
      </c>
      <c r="J2483" s="558"/>
    </row>
    <row r="2484" spans="1:10">
      <c r="A2484" s="502"/>
      <c r="B2484" s="962" t="s">
        <v>805</v>
      </c>
      <c r="C2484" s="683">
        <v>45</v>
      </c>
      <c r="D2484" s="910" t="s">
        <v>57</v>
      </c>
      <c r="E2484" s="489">
        <v>21</v>
      </c>
      <c r="F2484" s="674">
        <f t="shared" si="218"/>
        <v>945</v>
      </c>
      <c r="G2484" s="672">
        <v>12</v>
      </c>
      <c r="H2484" s="674">
        <f t="shared" si="219"/>
        <v>540</v>
      </c>
      <c r="I2484" s="674">
        <f t="shared" si="220"/>
        <v>1485</v>
      </c>
      <c r="J2484" s="558"/>
    </row>
    <row r="2485" spans="1:10">
      <c r="A2485" s="502"/>
      <c r="B2485" s="962" t="s">
        <v>806</v>
      </c>
      <c r="C2485" s="683">
        <v>8690</v>
      </c>
      <c r="D2485" s="910" t="s">
        <v>57</v>
      </c>
      <c r="E2485" s="489">
        <v>13</v>
      </c>
      <c r="F2485" s="674">
        <f t="shared" si="218"/>
        <v>112970</v>
      </c>
      <c r="G2485" s="672">
        <v>10</v>
      </c>
      <c r="H2485" s="674">
        <f t="shared" si="219"/>
        <v>86900</v>
      </c>
      <c r="I2485" s="674">
        <f t="shared" si="220"/>
        <v>199870</v>
      </c>
      <c r="J2485" s="558"/>
    </row>
    <row r="2486" spans="1:10">
      <c r="A2486" s="502"/>
      <c r="B2486" s="962" t="s">
        <v>807</v>
      </c>
      <c r="C2486" s="683">
        <v>22600</v>
      </c>
      <c r="D2486" s="910" t="s">
        <v>57</v>
      </c>
      <c r="E2486" s="489">
        <v>9</v>
      </c>
      <c r="F2486" s="674">
        <f t="shared" si="218"/>
        <v>203400</v>
      </c>
      <c r="G2486" s="672">
        <v>7</v>
      </c>
      <c r="H2486" s="674">
        <f t="shared" si="219"/>
        <v>158200</v>
      </c>
      <c r="I2486" s="674">
        <f t="shared" si="220"/>
        <v>361600</v>
      </c>
      <c r="J2486" s="558"/>
    </row>
    <row r="2487" spans="1:10">
      <c r="A2487" s="502"/>
      <c r="B2487" s="962" t="s">
        <v>667</v>
      </c>
      <c r="C2487" s="683">
        <v>1</v>
      </c>
      <c r="D2487" s="912" t="s">
        <v>508</v>
      </c>
      <c r="E2487" s="660">
        <f>I2487*0.8</f>
        <v>25120</v>
      </c>
      <c r="F2487" s="913">
        <f>C2487*E2487</f>
        <v>25120</v>
      </c>
      <c r="G2487" s="913">
        <f>I2487*0.2</f>
        <v>6280</v>
      </c>
      <c r="H2487" s="674">
        <f>C2487*G2487</f>
        <v>6280</v>
      </c>
      <c r="I2487" s="674">
        <f>ROUNDUP(SUM(I2478:I2486)*5%,-2)</f>
        <v>31400</v>
      </c>
      <c r="J2487" s="558"/>
    </row>
    <row r="2488" spans="1:10">
      <c r="A2488" s="496" t="s">
        <v>884</v>
      </c>
      <c r="B2488" s="960" t="s">
        <v>811</v>
      </c>
      <c r="C2488" s="683"/>
      <c r="D2488" s="961"/>
      <c r="E2488" s="683"/>
      <c r="F2488" s="676"/>
      <c r="G2488" s="682"/>
      <c r="H2488" s="676"/>
      <c r="I2488" s="676"/>
      <c r="J2488" s="558"/>
    </row>
    <row r="2489" spans="1:10">
      <c r="A2489" s="502"/>
      <c r="B2489" s="962" t="s">
        <v>812</v>
      </c>
      <c r="C2489" s="683">
        <v>222</v>
      </c>
      <c r="D2489" s="510" t="s">
        <v>15</v>
      </c>
      <c r="E2489" s="489">
        <v>57</v>
      </c>
      <c r="F2489" s="674">
        <f t="shared" ref="F2489:F2496" si="221">E2489*C2489</f>
        <v>12654</v>
      </c>
      <c r="G2489" s="672">
        <v>80</v>
      </c>
      <c r="H2489" s="674">
        <f t="shared" ref="H2489:H2496" si="222">G2489*C2489</f>
        <v>17760</v>
      </c>
      <c r="I2489" s="674">
        <f t="shared" ref="I2489:I2496" si="223">F2489+H2489</f>
        <v>30414</v>
      </c>
      <c r="J2489" s="558"/>
    </row>
    <row r="2490" spans="1:10">
      <c r="A2490" s="502"/>
      <c r="B2490" s="962" t="s">
        <v>813</v>
      </c>
      <c r="C2490" s="683">
        <v>20</v>
      </c>
      <c r="D2490" s="510" t="s">
        <v>15</v>
      </c>
      <c r="E2490" s="489">
        <v>82</v>
      </c>
      <c r="F2490" s="674">
        <f t="shared" si="221"/>
        <v>1640</v>
      </c>
      <c r="G2490" s="672">
        <v>85</v>
      </c>
      <c r="H2490" s="674">
        <f t="shared" si="222"/>
        <v>1700</v>
      </c>
      <c r="I2490" s="674">
        <f t="shared" si="223"/>
        <v>3340</v>
      </c>
      <c r="J2490" s="558"/>
    </row>
    <row r="2491" spans="1:10">
      <c r="A2491" s="502"/>
      <c r="B2491" s="962" t="s">
        <v>814</v>
      </c>
      <c r="C2491" s="683">
        <v>4</v>
      </c>
      <c r="D2491" s="510" t="s">
        <v>15</v>
      </c>
      <c r="E2491" s="489">
        <v>560</v>
      </c>
      <c r="F2491" s="674">
        <f t="shared" si="221"/>
        <v>2240</v>
      </c>
      <c r="G2491" s="672">
        <v>90</v>
      </c>
      <c r="H2491" s="674">
        <f t="shared" si="222"/>
        <v>360</v>
      </c>
      <c r="I2491" s="674">
        <f t="shared" si="223"/>
        <v>2600</v>
      </c>
      <c r="J2491" s="558"/>
    </row>
    <row r="2492" spans="1:10">
      <c r="A2492" s="502"/>
      <c r="B2492" s="962" t="s">
        <v>815</v>
      </c>
      <c r="C2492" s="683">
        <v>62</v>
      </c>
      <c r="D2492" s="510" t="s">
        <v>15</v>
      </c>
      <c r="E2492" s="489">
        <v>115</v>
      </c>
      <c r="F2492" s="674">
        <f t="shared" si="221"/>
        <v>7130</v>
      </c>
      <c r="G2492" s="672">
        <v>90</v>
      </c>
      <c r="H2492" s="674">
        <f t="shared" si="222"/>
        <v>5580</v>
      </c>
      <c r="I2492" s="674">
        <f t="shared" si="223"/>
        <v>12710</v>
      </c>
      <c r="J2492" s="558"/>
    </row>
    <row r="2493" spans="1:10">
      <c r="A2493" s="502"/>
      <c r="B2493" s="962" t="s">
        <v>816</v>
      </c>
      <c r="C2493" s="683">
        <v>272</v>
      </c>
      <c r="D2493" s="510" t="s">
        <v>15</v>
      </c>
      <c r="E2493" s="489">
        <v>170</v>
      </c>
      <c r="F2493" s="674">
        <f t="shared" si="221"/>
        <v>46240</v>
      </c>
      <c r="G2493" s="672">
        <v>90</v>
      </c>
      <c r="H2493" s="674">
        <f t="shared" si="222"/>
        <v>24480</v>
      </c>
      <c r="I2493" s="674">
        <f t="shared" si="223"/>
        <v>70720</v>
      </c>
      <c r="J2493" s="558"/>
    </row>
    <row r="2494" spans="1:10">
      <c r="A2494" s="502"/>
      <c r="B2494" s="962" t="s">
        <v>817</v>
      </c>
      <c r="C2494" s="683">
        <v>10</v>
      </c>
      <c r="D2494" s="510" t="s">
        <v>15</v>
      </c>
      <c r="E2494" s="489">
        <v>4500</v>
      </c>
      <c r="F2494" s="674">
        <f t="shared" si="221"/>
        <v>45000</v>
      </c>
      <c r="G2494" s="672">
        <v>300</v>
      </c>
      <c r="H2494" s="674">
        <f t="shared" si="222"/>
        <v>3000</v>
      </c>
      <c r="I2494" s="674">
        <f t="shared" si="223"/>
        <v>48000</v>
      </c>
      <c r="J2494" s="558"/>
    </row>
    <row r="2495" spans="1:10">
      <c r="A2495" s="502"/>
      <c r="B2495" s="962" t="s">
        <v>818</v>
      </c>
      <c r="C2495" s="683">
        <v>62</v>
      </c>
      <c r="D2495" s="510" t="s">
        <v>15</v>
      </c>
      <c r="E2495" s="489">
        <v>2600</v>
      </c>
      <c r="F2495" s="674">
        <f t="shared" si="221"/>
        <v>161200</v>
      </c>
      <c r="G2495" s="672">
        <v>240</v>
      </c>
      <c r="H2495" s="674">
        <f t="shared" si="222"/>
        <v>14880</v>
      </c>
      <c r="I2495" s="674">
        <f t="shared" si="223"/>
        <v>176080</v>
      </c>
      <c r="J2495" s="558"/>
    </row>
    <row r="2496" spans="1:10">
      <c r="A2496" s="502"/>
      <c r="B2496" s="962" t="s">
        <v>819</v>
      </c>
      <c r="C2496" s="683">
        <v>33</v>
      </c>
      <c r="D2496" s="510" t="s">
        <v>15</v>
      </c>
      <c r="E2496" s="489">
        <v>2000</v>
      </c>
      <c r="F2496" s="674">
        <f t="shared" si="221"/>
        <v>66000</v>
      </c>
      <c r="G2496" s="672">
        <v>240</v>
      </c>
      <c r="H2496" s="674">
        <f t="shared" si="222"/>
        <v>7920</v>
      </c>
      <c r="I2496" s="674">
        <f t="shared" si="223"/>
        <v>73920</v>
      </c>
      <c r="J2496" s="558"/>
    </row>
    <row r="2497" spans="1:10">
      <c r="A2497" s="502"/>
      <c r="B2497" s="962" t="s">
        <v>667</v>
      </c>
      <c r="C2497" s="683">
        <v>1</v>
      </c>
      <c r="D2497" s="912" t="s">
        <v>508</v>
      </c>
      <c r="E2497" s="660">
        <f>I2497*0.8</f>
        <v>16720</v>
      </c>
      <c r="F2497" s="913">
        <f>C2497*E2497</f>
        <v>16720</v>
      </c>
      <c r="G2497" s="913">
        <f>I2497*0.2</f>
        <v>4180</v>
      </c>
      <c r="H2497" s="674">
        <f>C2497*G2497</f>
        <v>4180</v>
      </c>
      <c r="I2497" s="674">
        <f>ROUNDUP(SUM(I2489:I2496)*5%,-2)</f>
        <v>20900</v>
      </c>
      <c r="J2497" s="558"/>
    </row>
    <row r="2498" spans="1:10">
      <c r="A2498" s="607" t="s">
        <v>885</v>
      </c>
      <c r="B2498" s="965" t="s">
        <v>836</v>
      </c>
      <c r="C2498" s="682"/>
      <c r="D2498" s="506"/>
      <c r="E2498" s="506"/>
      <c r="F2498" s="489"/>
      <c r="G2498" s="676"/>
      <c r="H2498" s="676"/>
      <c r="I2498" s="676"/>
      <c r="J2498" s="550"/>
    </row>
    <row r="2499" spans="1:10">
      <c r="A2499" s="966"/>
      <c r="B2499" s="967" t="s">
        <v>837</v>
      </c>
      <c r="C2499" s="1156">
        <v>14</v>
      </c>
      <c r="D2499" s="968" t="s">
        <v>15</v>
      </c>
      <c r="E2499" s="673">
        <v>250</v>
      </c>
      <c r="F2499" s="673">
        <f>SUM(C2499*E2499)</f>
        <v>3500</v>
      </c>
      <c r="G2499" s="673">
        <v>40</v>
      </c>
      <c r="H2499" s="673">
        <f>SUM(C2499*G2499)</f>
        <v>560</v>
      </c>
      <c r="I2499" s="673">
        <f>SUM(F2499+H2499)</f>
        <v>4060</v>
      </c>
      <c r="J2499" s="550"/>
    </row>
    <row r="2500" spans="1:10">
      <c r="A2500" s="966"/>
      <c r="B2500" s="967" t="s">
        <v>838</v>
      </c>
      <c r="C2500" s="1156">
        <v>654</v>
      </c>
      <c r="D2500" s="910" t="s">
        <v>57</v>
      </c>
      <c r="E2500" s="673">
        <v>18</v>
      </c>
      <c r="F2500" s="673">
        <f>SUM(C2500*E2500)</f>
        <v>11772</v>
      </c>
      <c r="G2500" s="673">
        <v>5</v>
      </c>
      <c r="H2500" s="673">
        <f>SUM(C2500*G2500)</f>
        <v>3270</v>
      </c>
      <c r="I2500" s="673">
        <f>SUM(F2500+H2500)</f>
        <v>15042</v>
      </c>
      <c r="J2500" s="550"/>
    </row>
    <row r="2501" spans="1:10">
      <c r="A2501" s="966"/>
      <c r="B2501" s="967" t="s">
        <v>839</v>
      </c>
      <c r="C2501" s="1156"/>
      <c r="D2501" s="968"/>
      <c r="E2501" s="673"/>
      <c r="F2501" s="673"/>
      <c r="G2501" s="673"/>
      <c r="H2501" s="673"/>
      <c r="I2501" s="673"/>
      <c r="J2501" s="550"/>
    </row>
    <row r="2502" spans="1:10">
      <c r="A2502" s="966"/>
      <c r="B2502" s="967" t="s">
        <v>840</v>
      </c>
      <c r="C2502" s="1156">
        <v>186</v>
      </c>
      <c r="D2502" s="910" t="s">
        <v>57</v>
      </c>
      <c r="E2502" s="673">
        <v>650</v>
      </c>
      <c r="F2502" s="673">
        <f>SUM(C2502*E2502)</f>
        <v>120900</v>
      </c>
      <c r="G2502" s="673">
        <v>200</v>
      </c>
      <c r="H2502" s="673">
        <f>SUM(C2502*G2502)</f>
        <v>37200</v>
      </c>
      <c r="I2502" s="673">
        <f>SUM(F2502+H2502)</f>
        <v>158100</v>
      </c>
      <c r="J2502" s="550"/>
    </row>
    <row r="2503" spans="1:10">
      <c r="A2503" s="966"/>
      <c r="B2503" s="967" t="s">
        <v>841</v>
      </c>
      <c r="C2503" s="1156"/>
      <c r="D2503" s="968"/>
      <c r="E2503" s="673"/>
      <c r="F2503" s="673"/>
      <c r="G2503" s="673"/>
      <c r="H2503" s="673"/>
      <c r="I2503" s="673"/>
      <c r="J2503" s="550"/>
    </row>
    <row r="2504" spans="1:10">
      <c r="A2504" s="966"/>
      <c r="B2504" s="967" t="s">
        <v>842</v>
      </c>
      <c r="C2504" s="1156">
        <v>54</v>
      </c>
      <c r="D2504" s="910" t="s">
        <v>57</v>
      </c>
      <c r="E2504" s="489">
        <v>37</v>
      </c>
      <c r="F2504" s="674">
        <f>E2504*C2504</f>
        <v>1998</v>
      </c>
      <c r="G2504" s="672">
        <v>24</v>
      </c>
      <c r="H2504" s="674">
        <f>G2504*C2504</f>
        <v>1296</v>
      </c>
      <c r="I2504" s="674">
        <f>F2504+H2504</f>
        <v>3294</v>
      </c>
      <c r="J2504" s="550"/>
    </row>
    <row r="2505" spans="1:10">
      <c r="A2505" s="969"/>
      <c r="B2505" s="967" t="s">
        <v>843</v>
      </c>
      <c r="C2505" s="1156">
        <v>49</v>
      </c>
      <c r="D2505" s="910" t="s">
        <v>57</v>
      </c>
      <c r="E2505" s="489">
        <v>26</v>
      </c>
      <c r="F2505" s="674">
        <f>E2505*C2505</f>
        <v>1274</v>
      </c>
      <c r="G2505" s="672">
        <v>22</v>
      </c>
      <c r="H2505" s="674">
        <f>G2505*C2505</f>
        <v>1078</v>
      </c>
      <c r="I2505" s="674">
        <f>F2505+H2505</f>
        <v>2352</v>
      </c>
      <c r="J2505" s="550"/>
    </row>
    <row r="2506" spans="1:10">
      <c r="A2506" s="966"/>
      <c r="B2506" s="610" t="s">
        <v>726</v>
      </c>
      <c r="C2506" s="1156">
        <v>1</v>
      </c>
      <c r="D2506" s="606" t="s">
        <v>508</v>
      </c>
      <c r="E2506" s="970">
        <f>I2506*0.8</f>
        <v>7360</v>
      </c>
      <c r="F2506" s="673">
        <f>SUM(C2506*E2506)</f>
        <v>7360</v>
      </c>
      <c r="G2506" s="673">
        <f>I2506*0.2</f>
        <v>1840</v>
      </c>
      <c r="H2506" s="673">
        <f>SUM(C2506*G2506)</f>
        <v>1840</v>
      </c>
      <c r="I2506" s="673">
        <f>ROUNDUP(SUM(I2499:I2505)*5%,-2)</f>
        <v>9200</v>
      </c>
      <c r="J2506" s="550"/>
    </row>
    <row r="2507" spans="1:10">
      <c r="A2507" s="1023" t="s">
        <v>886</v>
      </c>
      <c r="B2507" s="572" t="s">
        <v>844</v>
      </c>
      <c r="C2507" s="1157"/>
      <c r="D2507" s="682"/>
      <c r="E2507" s="682"/>
      <c r="F2507" s="660"/>
      <c r="G2507" s="676"/>
      <c r="H2507" s="676"/>
      <c r="I2507" s="676"/>
      <c r="J2507" s="676"/>
    </row>
    <row r="2508" spans="1:10">
      <c r="A2508" s="966"/>
      <c r="B2508" s="967" t="s">
        <v>845</v>
      </c>
      <c r="C2508" s="1158"/>
      <c r="D2508" s="573"/>
      <c r="E2508" s="573"/>
      <c r="F2508" s="573"/>
      <c r="G2508" s="573"/>
      <c r="H2508" s="573"/>
      <c r="I2508" s="573"/>
      <c r="J2508" s="550"/>
    </row>
    <row r="2509" spans="1:10">
      <c r="A2509" s="966"/>
      <c r="B2509" s="967" t="s">
        <v>889</v>
      </c>
      <c r="C2509" s="1156">
        <v>1</v>
      </c>
      <c r="D2509" s="968" t="s">
        <v>15</v>
      </c>
      <c r="E2509" s="673">
        <v>28000</v>
      </c>
      <c r="F2509" s="608">
        <f t="shared" ref="F2509:F2514" si="224">SUM(C2509*E2509)</f>
        <v>28000</v>
      </c>
      <c r="G2509" s="608">
        <v>1000</v>
      </c>
      <c r="H2509" s="608">
        <f t="shared" ref="H2509:H2514" si="225">SUM(C2509*G2509)</f>
        <v>1000</v>
      </c>
      <c r="I2509" s="608">
        <f t="shared" ref="I2509:I2514" si="226">SUM(F2509+H2509)</f>
        <v>29000</v>
      </c>
      <c r="J2509" s="550"/>
    </row>
    <row r="2510" spans="1:10">
      <c r="A2510" s="1024"/>
      <c r="B2510" s="967" t="s">
        <v>890</v>
      </c>
      <c r="C2510" s="1165">
        <v>1</v>
      </c>
      <c r="D2510" s="1006" t="s">
        <v>15</v>
      </c>
      <c r="E2510" s="1025">
        <v>22000</v>
      </c>
      <c r="F2510" s="1025">
        <f t="shared" si="224"/>
        <v>22000</v>
      </c>
      <c r="G2510" s="1025">
        <v>1000</v>
      </c>
      <c r="H2510" s="1025">
        <f t="shared" si="225"/>
        <v>1000</v>
      </c>
      <c r="I2510" s="1025">
        <f t="shared" si="226"/>
        <v>23000</v>
      </c>
      <c r="J2510" s="550"/>
    </row>
    <row r="2511" spans="1:10">
      <c r="A2511" s="1024"/>
      <c r="B2511" s="967" t="s">
        <v>847</v>
      </c>
      <c r="C2511" s="1165">
        <v>3</v>
      </c>
      <c r="D2511" s="1006" t="s">
        <v>15</v>
      </c>
      <c r="E2511" s="1025">
        <v>14000</v>
      </c>
      <c r="F2511" s="1025">
        <f t="shared" si="224"/>
        <v>42000</v>
      </c>
      <c r="G2511" s="1025">
        <v>500</v>
      </c>
      <c r="H2511" s="1025">
        <f t="shared" si="225"/>
        <v>1500</v>
      </c>
      <c r="I2511" s="1025">
        <f t="shared" si="226"/>
        <v>43500</v>
      </c>
      <c r="J2511" s="550"/>
    </row>
    <row r="2512" spans="1:10">
      <c r="A2512" s="1024"/>
      <c r="B2512" s="967" t="s">
        <v>848</v>
      </c>
      <c r="C2512" s="1165">
        <v>69</v>
      </c>
      <c r="D2512" s="1006" t="s">
        <v>15</v>
      </c>
      <c r="E2512" s="1025">
        <v>250</v>
      </c>
      <c r="F2512" s="1025">
        <f t="shared" si="224"/>
        <v>17250</v>
      </c>
      <c r="G2512" s="1025">
        <v>40</v>
      </c>
      <c r="H2512" s="1025">
        <f t="shared" si="225"/>
        <v>2760</v>
      </c>
      <c r="I2512" s="1025">
        <f t="shared" si="226"/>
        <v>20010</v>
      </c>
      <c r="J2512" s="550"/>
    </row>
    <row r="2513" spans="1:10">
      <c r="A2513" s="1024"/>
      <c r="B2513" s="967" t="s">
        <v>849</v>
      </c>
      <c r="C2513" s="1165">
        <v>375</v>
      </c>
      <c r="D2513" s="1002" t="s">
        <v>57</v>
      </c>
      <c r="E2513" s="1025">
        <v>80</v>
      </c>
      <c r="F2513" s="1025">
        <f t="shared" si="224"/>
        <v>30000</v>
      </c>
      <c r="G2513" s="1025">
        <v>20</v>
      </c>
      <c r="H2513" s="1025">
        <f t="shared" si="225"/>
        <v>7500</v>
      </c>
      <c r="I2513" s="1025">
        <f t="shared" si="226"/>
        <v>37500</v>
      </c>
      <c r="J2513" s="550"/>
    </row>
    <row r="2514" spans="1:10">
      <c r="A2514" s="1024"/>
      <c r="B2514" s="967" t="s">
        <v>838</v>
      </c>
      <c r="C2514" s="1165">
        <v>2980</v>
      </c>
      <c r="D2514" s="1002" t="s">
        <v>57</v>
      </c>
      <c r="E2514" s="1025">
        <v>18</v>
      </c>
      <c r="F2514" s="1025">
        <f t="shared" si="224"/>
        <v>53640</v>
      </c>
      <c r="G2514" s="1025">
        <v>5</v>
      </c>
      <c r="H2514" s="1025">
        <f t="shared" si="225"/>
        <v>14900</v>
      </c>
      <c r="I2514" s="1025">
        <f t="shared" si="226"/>
        <v>68540</v>
      </c>
      <c r="J2514" s="550"/>
    </row>
    <row r="2515" spans="1:10">
      <c r="A2515" s="1024"/>
      <c r="B2515" s="967" t="s">
        <v>850</v>
      </c>
      <c r="C2515" s="1165"/>
      <c r="D2515" s="1006"/>
      <c r="E2515" s="1025"/>
      <c r="F2515" s="1025"/>
      <c r="G2515" s="1025"/>
      <c r="H2515" s="1025"/>
      <c r="I2515" s="1025"/>
      <c r="J2515" s="550"/>
    </row>
    <row r="2516" spans="1:10">
      <c r="A2516" s="1024"/>
      <c r="B2516" s="967" t="s">
        <v>851</v>
      </c>
      <c r="C2516" s="1165">
        <v>386</v>
      </c>
      <c r="D2516" s="1002" t="s">
        <v>57</v>
      </c>
      <c r="E2516" s="1025">
        <v>450</v>
      </c>
      <c r="F2516" s="608">
        <f>SUM(C2516*E2516)</f>
        <v>173700</v>
      </c>
      <c r="G2516" s="608">
        <v>200</v>
      </c>
      <c r="H2516" s="608">
        <f>SUM(C2516*G2516)</f>
        <v>77200</v>
      </c>
      <c r="I2516" s="608">
        <f>SUM(F2516+H2516)</f>
        <v>250900</v>
      </c>
      <c r="J2516" s="550"/>
    </row>
    <row r="2517" spans="1:10">
      <c r="A2517" s="1024"/>
      <c r="B2517" s="967" t="s">
        <v>841</v>
      </c>
      <c r="C2517" s="1166"/>
      <c r="D2517" s="1006"/>
      <c r="E2517" s="1025"/>
      <c r="F2517" s="1025"/>
      <c r="G2517" s="1025"/>
      <c r="H2517" s="1025"/>
      <c r="I2517" s="1025"/>
      <c r="J2517" s="550"/>
    </row>
    <row r="2518" spans="1:10">
      <c r="A2518" s="1024"/>
      <c r="B2518" s="967" t="s">
        <v>842</v>
      </c>
      <c r="C2518" s="1166">
        <v>56</v>
      </c>
      <c r="D2518" s="1002" t="s">
        <v>57</v>
      </c>
      <c r="E2518" s="489">
        <v>37</v>
      </c>
      <c r="F2518" s="1003">
        <f>E2518*C2518</f>
        <v>2072</v>
      </c>
      <c r="G2518" s="672">
        <v>24</v>
      </c>
      <c r="H2518" s="1003">
        <f>G2518*C2518</f>
        <v>1344</v>
      </c>
      <c r="I2518" s="1003">
        <f>F2518+H2518</f>
        <v>3416</v>
      </c>
      <c r="J2518" s="550"/>
    </row>
    <row r="2519" spans="1:10">
      <c r="A2519" s="1026"/>
      <c r="B2519" s="967" t="s">
        <v>843</v>
      </c>
      <c r="C2519" s="1166">
        <v>185</v>
      </c>
      <c r="D2519" s="1002" t="s">
        <v>57</v>
      </c>
      <c r="E2519" s="489">
        <v>26</v>
      </c>
      <c r="F2519" s="1003">
        <f>E2519*C2519</f>
        <v>4810</v>
      </c>
      <c r="G2519" s="672">
        <v>22</v>
      </c>
      <c r="H2519" s="1003">
        <f>G2519*C2519</f>
        <v>4070</v>
      </c>
      <c r="I2519" s="1003">
        <f>F2519+H2519</f>
        <v>8880</v>
      </c>
      <c r="J2519" s="550"/>
    </row>
    <row r="2520" spans="1:10">
      <c r="A2520" s="1024"/>
      <c r="B2520" s="610" t="s">
        <v>726</v>
      </c>
      <c r="C2520" s="1161">
        <v>1</v>
      </c>
      <c r="D2520" s="975" t="s">
        <v>508</v>
      </c>
      <c r="E2520" s="970">
        <f>I2520*0.8</f>
        <v>17360</v>
      </c>
      <c r="F2520" s="673">
        <f>SUM(C2520*E2520)</f>
        <v>17360</v>
      </c>
      <c r="G2520" s="673">
        <f>I2520*0.2</f>
        <v>4340</v>
      </c>
      <c r="H2520" s="673">
        <f>SUM(C2520*G2520)</f>
        <v>4340</v>
      </c>
      <c r="I2520" s="673">
        <f>ROUNDUP(SUM(I2511:I2519)*5%,-2)</f>
        <v>21700</v>
      </c>
      <c r="J2520" s="550"/>
    </row>
    <row r="2521" spans="1:10">
      <c r="A2521" s="600" t="s">
        <v>887</v>
      </c>
      <c r="B2521" s="601" t="s">
        <v>852</v>
      </c>
      <c r="C2521" s="1162"/>
      <c r="D2521" s="574"/>
      <c r="E2521" s="575"/>
      <c r="F2521" s="568"/>
      <c r="G2521" s="568"/>
      <c r="H2521" s="568"/>
      <c r="I2521" s="568"/>
      <c r="J2521" s="569"/>
    </row>
    <row r="2522" spans="1:10">
      <c r="A2522" s="966"/>
      <c r="B2522" s="967" t="s">
        <v>891</v>
      </c>
      <c r="C2522" s="1156">
        <v>1</v>
      </c>
      <c r="D2522" s="968" t="s">
        <v>15</v>
      </c>
      <c r="E2522" s="673">
        <v>250000</v>
      </c>
      <c r="F2522" s="608">
        <f>SUM(C2522*E2522)</f>
        <v>250000</v>
      </c>
      <c r="G2522" s="608">
        <v>5000</v>
      </c>
      <c r="H2522" s="608">
        <f>SUM(C2522*G2522)</f>
        <v>5000</v>
      </c>
      <c r="I2522" s="608">
        <f>SUM(F2522+H2522)</f>
        <v>255000</v>
      </c>
      <c r="J2522" s="1027"/>
    </row>
    <row r="2523" spans="1:10">
      <c r="A2523" s="1024"/>
      <c r="B2523" s="1028" t="s">
        <v>854</v>
      </c>
      <c r="C2523" s="1165">
        <v>1</v>
      </c>
      <c r="D2523" s="1006" t="s">
        <v>15</v>
      </c>
      <c r="E2523" s="1025">
        <v>95000</v>
      </c>
      <c r="F2523" s="992">
        <f>SUM(C2523*E2523)</f>
        <v>95000</v>
      </c>
      <c r="G2523" s="992">
        <v>10000</v>
      </c>
      <c r="H2523" s="992">
        <f>SUM(C2523*G2523)</f>
        <v>10000</v>
      </c>
      <c r="I2523" s="992">
        <f>SUM(F2523+H2523)</f>
        <v>105000</v>
      </c>
      <c r="J2523" s="1027"/>
    </row>
    <row r="2524" spans="1:10">
      <c r="A2524" s="1024"/>
      <c r="B2524" s="1028" t="s">
        <v>892</v>
      </c>
      <c r="C2524" s="1165">
        <v>1</v>
      </c>
      <c r="D2524" s="1006" t="s">
        <v>15</v>
      </c>
      <c r="E2524" s="1025">
        <v>200000</v>
      </c>
      <c r="F2524" s="992">
        <f>SUM(C2524*E2524)</f>
        <v>200000</v>
      </c>
      <c r="G2524" s="992">
        <v>5000</v>
      </c>
      <c r="H2524" s="992">
        <f>SUM(C2524*G2524)</f>
        <v>5000</v>
      </c>
      <c r="I2524" s="992">
        <f>SUM(F2524+H2524)</f>
        <v>205000</v>
      </c>
      <c r="J2524" s="1027"/>
    </row>
    <row r="2525" spans="1:10">
      <c r="A2525" s="1024"/>
      <c r="B2525" s="1028" t="s">
        <v>893</v>
      </c>
      <c r="C2525" s="1165"/>
      <c r="D2525" s="1029"/>
      <c r="E2525" s="1025"/>
      <c r="F2525" s="1025"/>
      <c r="G2525" s="1025"/>
      <c r="H2525" s="1025"/>
      <c r="I2525" s="1025"/>
      <c r="J2525" s="1027"/>
    </row>
    <row r="2526" spans="1:10">
      <c r="A2526" s="1024"/>
      <c r="B2526" s="1030" t="s">
        <v>894</v>
      </c>
      <c r="C2526" s="1167"/>
      <c r="D2526" s="1031"/>
      <c r="E2526" s="1031"/>
      <c r="F2526" s="1031"/>
      <c r="G2526" s="1031"/>
      <c r="H2526" s="1031"/>
      <c r="I2526" s="1031"/>
      <c r="J2526" s="1027"/>
    </row>
    <row r="2527" spans="1:10">
      <c r="A2527" s="1024"/>
      <c r="B2527" s="1028" t="s">
        <v>853</v>
      </c>
      <c r="C2527" s="1165">
        <v>2</v>
      </c>
      <c r="D2527" s="1006" t="s">
        <v>15</v>
      </c>
      <c r="E2527" s="1025">
        <v>6000</v>
      </c>
      <c r="F2527" s="992">
        <f>SUM(C2527*E2527)</f>
        <v>12000</v>
      </c>
      <c r="G2527" s="992">
        <v>600</v>
      </c>
      <c r="H2527" s="992">
        <f t="shared" ref="H2527:H2536" si="227">SUM(C2527*G2527)</f>
        <v>1200</v>
      </c>
      <c r="I2527" s="992">
        <f t="shared" ref="I2527:I2536" si="228">SUM(F2527+H2527)</f>
        <v>13200</v>
      </c>
      <c r="J2527" s="550"/>
    </row>
    <row r="2528" spans="1:10">
      <c r="A2528" s="1024"/>
      <c r="B2528" s="1028" t="s">
        <v>855</v>
      </c>
      <c r="C2528" s="1165">
        <v>20</v>
      </c>
      <c r="D2528" s="1006" t="s">
        <v>15</v>
      </c>
      <c r="E2528" s="1025">
        <v>3900</v>
      </c>
      <c r="F2528" s="608">
        <f t="shared" ref="F2528:F2534" si="229">SUM(C2528*E2528)</f>
        <v>78000</v>
      </c>
      <c r="G2528" s="608">
        <v>240</v>
      </c>
      <c r="H2528" s="608">
        <f t="shared" si="227"/>
        <v>4800</v>
      </c>
      <c r="I2528" s="608">
        <f t="shared" si="228"/>
        <v>82800</v>
      </c>
      <c r="J2528" s="676"/>
    </row>
    <row r="2529" spans="1:10">
      <c r="A2529" s="966"/>
      <c r="B2529" s="967" t="s">
        <v>856</v>
      </c>
      <c r="C2529" s="1156">
        <v>2</v>
      </c>
      <c r="D2529" s="968" t="s">
        <v>15</v>
      </c>
      <c r="E2529" s="673">
        <v>4000</v>
      </c>
      <c r="F2529" s="608">
        <f t="shared" si="229"/>
        <v>8000</v>
      </c>
      <c r="G2529" s="608">
        <v>240</v>
      </c>
      <c r="H2529" s="608">
        <f t="shared" si="227"/>
        <v>480</v>
      </c>
      <c r="I2529" s="608">
        <f t="shared" si="228"/>
        <v>8480</v>
      </c>
      <c r="J2529" s="676"/>
    </row>
    <row r="2530" spans="1:10">
      <c r="A2530" s="966"/>
      <c r="B2530" s="967" t="s">
        <v>857</v>
      </c>
      <c r="C2530" s="1156">
        <v>8</v>
      </c>
      <c r="D2530" s="968" t="s">
        <v>15</v>
      </c>
      <c r="E2530" s="673">
        <v>2100</v>
      </c>
      <c r="F2530" s="608">
        <f t="shared" si="229"/>
        <v>16800</v>
      </c>
      <c r="G2530" s="608">
        <v>100</v>
      </c>
      <c r="H2530" s="608">
        <f t="shared" si="227"/>
        <v>800</v>
      </c>
      <c r="I2530" s="608">
        <f t="shared" si="228"/>
        <v>17600</v>
      </c>
      <c r="J2530" s="676"/>
    </row>
    <row r="2531" spans="1:10">
      <c r="A2531" s="966"/>
      <c r="B2531" s="967" t="s">
        <v>895</v>
      </c>
      <c r="C2531" s="1156">
        <v>1</v>
      </c>
      <c r="D2531" s="968" t="s">
        <v>15</v>
      </c>
      <c r="E2531" s="673">
        <v>8220</v>
      </c>
      <c r="F2531" s="608">
        <f t="shared" si="229"/>
        <v>8220</v>
      </c>
      <c r="G2531" s="608">
        <v>200</v>
      </c>
      <c r="H2531" s="608">
        <f t="shared" si="227"/>
        <v>200</v>
      </c>
      <c r="I2531" s="608">
        <f t="shared" si="228"/>
        <v>8420</v>
      </c>
      <c r="J2531" s="676"/>
    </row>
    <row r="2532" spans="1:10">
      <c r="A2532" s="966"/>
      <c r="B2532" s="967" t="s">
        <v>858</v>
      </c>
      <c r="C2532" s="1156">
        <v>110</v>
      </c>
      <c r="D2532" s="968" t="s">
        <v>15</v>
      </c>
      <c r="E2532" s="673">
        <v>1400</v>
      </c>
      <c r="F2532" s="608">
        <f t="shared" si="229"/>
        <v>154000</v>
      </c>
      <c r="G2532" s="608">
        <v>100</v>
      </c>
      <c r="H2532" s="608">
        <f t="shared" si="227"/>
        <v>11000</v>
      </c>
      <c r="I2532" s="608">
        <f t="shared" si="228"/>
        <v>165000</v>
      </c>
      <c r="J2532" s="676"/>
    </row>
    <row r="2533" spans="1:10">
      <c r="A2533" s="966"/>
      <c r="B2533" s="967" t="s">
        <v>896</v>
      </c>
      <c r="C2533" s="1156">
        <v>6</v>
      </c>
      <c r="D2533" s="968" t="s">
        <v>15</v>
      </c>
      <c r="E2533" s="673">
        <v>33000</v>
      </c>
      <c r="F2533" s="608">
        <f t="shared" si="229"/>
        <v>198000</v>
      </c>
      <c r="G2533" s="608">
        <v>600</v>
      </c>
      <c r="H2533" s="608">
        <f t="shared" si="227"/>
        <v>3600</v>
      </c>
      <c r="I2533" s="608">
        <f t="shared" si="228"/>
        <v>201600</v>
      </c>
      <c r="J2533" s="676"/>
    </row>
    <row r="2534" spans="1:10">
      <c r="A2534" s="966"/>
      <c r="B2534" s="967" t="s">
        <v>859</v>
      </c>
      <c r="C2534" s="1156">
        <v>27</v>
      </c>
      <c r="D2534" s="968" t="s">
        <v>15</v>
      </c>
      <c r="E2534" s="673">
        <v>750</v>
      </c>
      <c r="F2534" s="608">
        <f t="shared" si="229"/>
        <v>20250</v>
      </c>
      <c r="G2534" s="608">
        <v>100</v>
      </c>
      <c r="H2534" s="608">
        <f t="shared" si="227"/>
        <v>2700</v>
      </c>
      <c r="I2534" s="608">
        <f t="shared" si="228"/>
        <v>22950</v>
      </c>
      <c r="J2534" s="676"/>
    </row>
    <row r="2535" spans="1:10">
      <c r="A2535" s="966"/>
      <c r="B2535" s="967" t="s">
        <v>860</v>
      </c>
      <c r="C2535" s="1156">
        <v>8</v>
      </c>
      <c r="D2535" s="968" t="s">
        <v>15</v>
      </c>
      <c r="E2535" s="673">
        <v>4700</v>
      </c>
      <c r="F2535" s="608">
        <f>SUM(C2535*E2535)</f>
        <v>37600</v>
      </c>
      <c r="G2535" s="608">
        <v>200</v>
      </c>
      <c r="H2535" s="608">
        <f t="shared" si="227"/>
        <v>1600</v>
      </c>
      <c r="I2535" s="608">
        <f t="shared" si="228"/>
        <v>39200</v>
      </c>
      <c r="J2535" s="676"/>
    </row>
    <row r="2536" spans="1:10">
      <c r="A2536" s="966"/>
      <c r="B2536" s="967" t="s">
        <v>897</v>
      </c>
      <c r="C2536" s="1156">
        <v>12</v>
      </c>
      <c r="D2536" s="968" t="s">
        <v>15</v>
      </c>
      <c r="E2536" s="673">
        <v>600</v>
      </c>
      <c r="F2536" s="608">
        <f>SUM(C2536*E2536)</f>
        <v>7200</v>
      </c>
      <c r="G2536" s="608">
        <v>100</v>
      </c>
      <c r="H2536" s="608">
        <f t="shared" si="227"/>
        <v>1200</v>
      </c>
      <c r="I2536" s="608">
        <f t="shared" si="228"/>
        <v>8400</v>
      </c>
      <c r="J2536" s="676"/>
    </row>
    <row r="2537" spans="1:10">
      <c r="A2537" s="966"/>
      <c r="B2537" s="967" t="s">
        <v>861</v>
      </c>
      <c r="C2537" s="1156"/>
      <c r="D2537" s="978"/>
      <c r="E2537" s="673"/>
      <c r="F2537" s="673"/>
      <c r="G2537" s="673"/>
      <c r="H2537" s="673"/>
      <c r="I2537" s="673"/>
      <c r="J2537" s="676"/>
    </row>
    <row r="2538" spans="1:10">
      <c r="A2538" s="969"/>
      <c r="B2538" s="967" t="s">
        <v>862</v>
      </c>
      <c r="C2538" s="1156">
        <v>780</v>
      </c>
      <c r="D2538" s="910" t="s">
        <v>57</v>
      </c>
      <c r="E2538" s="673">
        <v>60</v>
      </c>
      <c r="F2538" s="608">
        <f>SUM(C2538*E2538)</f>
        <v>46800</v>
      </c>
      <c r="G2538" s="608">
        <v>5</v>
      </c>
      <c r="H2538" s="608">
        <f>SUM(C2538*G2538)</f>
        <v>3900</v>
      </c>
      <c r="I2538" s="608">
        <f>SUM(F2538+H2538)</f>
        <v>50700</v>
      </c>
      <c r="J2538" s="676"/>
    </row>
    <row r="2539" spans="1:10">
      <c r="A2539" s="969"/>
      <c r="B2539" s="967" t="s">
        <v>863</v>
      </c>
      <c r="C2539" s="1156">
        <v>950</v>
      </c>
      <c r="D2539" s="910" t="s">
        <v>57</v>
      </c>
      <c r="E2539" s="673">
        <v>30</v>
      </c>
      <c r="F2539" s="608">
        <f>SUM(C2539*E2539)</f>
        <v>28500</v>
      </c>
      <c r="G2539" s="608">
        <v>12</v>
      </c>
      <c r="H2539" s="608">
        <f>SUM(C2539*G2539)</f>
        <v>11400</v>
      </c>
      <c r="I2539" s="608">
        <f>SUM(F2539+H2539)</f>
        <v>39900</v>
      </c>
      <c r="J2539" s="676"/>
    </row>
    <row r="2540" spans="1:10">
      <c r="A2540" s="966"/>
      <c r="B2540" s="967" t="s">
        <v>864</v>
      </c>
      <c r="C2540" s="1156">
        <v>3560</v>
      </c>
      <c r="D2540" s="910" t="s">
        <v>57</v>
      </c>
      <c r="E2540" s="673">
        <v>6</v>
      </c>
      <c r="F2540" s="608">
        <f>SUM(C2540*E2540)</f>
        <v>21360</v>
      </c>
      <c r="G2540" s="608">
        <v>5</v>
      </c>
      <c r="H2540" s="608">
        <f>SUM(C2540*G2540)</f>
        <v>17800</v>
      </c>
      <c r="I2540" s="608">
        <f>SUM(F2540+H2540)</f>
        <v>39160</v>
      </c>
      <c r="J2540" s="676"/>
    </row>
    <row r="2541" spans="1:10">
      <c r="A2541" s="966"/>
      <c r="B2541" s="967" t="s">
        <v>865</v>
      </c>
      <c r="C2541" s="1156">
        <v>650</v>
      </c>
      <c r="D2541" s="910" t="s">
        <v>57</v>
      </c>
      <c r="E2541" s="673">
        <v>8</v>
      </c>
      <c r="F2541" s="608">
        <f>SUM(C2541*E2541)</f>
        <v>5200</v>
      </c>
      <c r="G2541" s="608">
        <v>3</v>
      </c>
      <c r="H2541" s="608">
        <f>SUM(C2541*G2541)</f>
        <v>1950</v>
      </c>
      <c r="I2541" s="608">
        <f>SUM(F2541+H2541)</f>
        <v>7150</v>
      </c>
      <c r="J2541" s="676"/>
    </row>
    <row r="2542" spans="1:10">
      <c r="A2542" s="969"/>
      <c r="B2542" s="967" t="s">
        <v>841</v>
      </c>
      <c r="C2542" s="1156"/>
      <c r="D2542" s="978"/>
      <c r="E2542" s="673"/>
      <c r="F2542" s="673"/>
      <c r="G2542" s="673"/>
      <c r="H2542" s="673"/>
      <c r="I2542" s="673"/>
      <c r="J2542" s="676"/>
    </row>
    <row r="2543" spans="1:10">
      <c r="A2543" s="969"/>
      <c r="B2543" s="967" t="s">
        <v>866</v>
      </c>
      <c r="C2543" s="1156">
        <v>682</v>
      </c>
      <c r="D2543" s="910" t="s">
        <v>57</v>
      </c>
      <c r="E2543" s="489">
        <v>37</v>
      </c>
      <c r="F2543" s="674">
        <f>E2543*C2543</f>
        <v>25234</v>
      </c>
      <c r="G2543" s="672">
        <v>24</v>
      </c>
      <c r="H2543" s="674">
        <f>G2543*C2543</f>
        <v>16368</v>
      </c>
      <c r="I2543" s="674">
        <f>F2543+H2543</f>
        <v>41602</v>
      </c>
      <c r="J2543" s="676"/>
    </row>
    <row r="2544" spans="1:10">
      <c r="A2544" s="969"/>
      <c r="B2544" s="967" t="s">
        <v>867</v>
      </c>
      <c r="C2544" s="1156">
        <v>2541</v>
      </c>
      <c r="D2544" s="910" t="s">
        <v>57</v>
      </c>
      <c r="E2544" s="489">
        <v>26</v>
      </c>
      <c r="F2544" s="674">
        <f>E2544*C2544</f>
        <v>66066</v>
      </c>
      <c r="G2544" s="672">
        <v>22</v>
      </c>
      <c r="H2544" s="674">
        <f>G2544*C2544</f>
        <v>55902</v>
      </c>
      <c r="I2544" s="674">
        <f>F2544+H2544</f>
        <v>121968</v>
      </c>
      <c r="J2544" s="676"/>
    </row>
    <row r="2545" spans="1:10">
      <c r="A2545" s="969"/>
      <c r="B2545" s="967" t="s">
        <v>868</v>
      </c>
      <c r="C2545" s="1156"/>
      <c r="D2545" s="978"/>
      <c r="E2545" s="673"/>
      <c r="F2545" s="608"/>
      <c r="G2545" s="608"/>
      <c r="H2545" s="608"/>
      <c r="I2545" s="608"/>
      <c r="J2545" s="676"/>
    </row>
    <row r="2546" spans="1:10">
      <c r="A2546" s="966"/>
      <c r="B2546" s="967" t="s">
        <v>869</v>
      </c>
      <c r="C2546" s="1156">
        <v>135</v>
      </c>
      <c r="D2546" s="910" t="s">
        <v>57</v>
      </c>
      <c r="E2546" s="673">
        <v>450</v>
      </c>
      <c r="F2546" s="608">
        <f>SUM(C2546*E2546)</f>
        <v>60750</v>
      </c>
      <c r="G2546" s="608">
        <v>200</v>
      </c>
      <c r="H2546" s="608">
        <f>SUM(C2546*G2546)</f>
        <v>27000</v>
      </c>
      <c r="I2546" s="608">
        <f>SUM(F2546+H2546)</f>
        <v>87750</v>
      </c>
      <c r="J2546" s="676"/>
    </row>
    <row r="2547" spans="1:10">
      <c r="A2547" s="969"/>
      <c r="B2547" s="653" t="s">
        <v>726</v>
      </c>
      <c r="C2547" s="1165">
        <v>1</v>
      </c>
      <c r="D2547" s="1007" t="s">
        <v>508</v>
      </c>
      <c r="E2547" s="1008">
        <f>I2547*0.8</f>
        <v>38240</v>
      </c>
      <c r="F2547" s="1009">
        <f>SUM(C2547*E2547)</f>
        <v>38240</v>
      </c>
      <c r="G2547" s="1009">
        <f>I2547*0.2</f>
        <v>9560</v>
      </c>
      <c r="H2547" s="1009">
        <f>SUM(C2547*G2547)</f>
        <v>9560</v>
      </c>
      <c r="I2547" s="1009">
        <f>ROUNDUP(SUM(I2527:I2546)*5%,-2)</f>
        <v>47800</v>
      </c>
      <c r="J2547" s="1032"/>
    </row>
    <row r="2548" spans="1:10">
      <c r="A2548" s="600" t="s">
        <v>888</v>
      </c>
      <c r="B2548" s="601" t="s">
        <v>870</v>
      </c>
      <c r="C2548" s="1163"/>
      <c r="D2548" s="603"/>
      <c r="E2548" s="604"/>
      <c r="F2548" s="571"/>
      <c r="G2548" s="534"/>
      <c r="H2548" s="571"/>
      <c r="I2548" s="571"/>
      <c r="J2548" s="569"/>
    </row>
    <row r="2549" spans="1:10">
      <c r="A2549" s="1033"/>
      <c r="B2549" s="967" t="s">
        <v>871</v>
      </c>
      <c r="C2549" s="1163"/>
      <c r="D2549" s="603"/>
      <c r="E2549" s="604"/>
      <c r="F2549" s="571"/>
      <c r="G2549" s="534"/>
      <c r="H2549" s="571"/>
      <c r="I2549" s="571"/>
      <c r="J2549" s="571"/>
    </row>
    <row r="2550" spans="1:10">
      <c r="A2550" s="1033"/>
      <c r="B2550" s="967" t="s">
        <v>872</v>
      </c>
      <c r="C2550" s="1168">
        <v>2</v>
      </c>
      <c r="D2550" s="1034" t="s">
        <v>15</v>
      </c>
      <c r="E2550" s="1035">
        <v>14000</v>
      </c>
      <c r="F2550" s="1035">
        <f>SUM(C2550*E2550)</f>
        <v>28000</v>
      </c>
      <c r="G2550" s="1035">
        <v>500</v>
      </c>
      <c r="H2550" s="1035">
        <f>SUM(C2550*G2550)</f>
        <v>1000</v>
      </c>
      <c r="I2550" s="1035">
        <f>SUM(F2550+H2550)</f>
        <v>29000</v>
      </c>
      <c r="J2550" s="571"/>
    </row>
    <row r="2551" spans="1:10">
      <c r="A2551" s="1033"/>
      <c r="B2551" s="967" t="s">
        <v>873</v>
      </c>
      <c r="C2551" s="1168">
        <v>372</v>
      </c>
      <c r="D2551" s="1036" t="s">
        <v>57</v>
      </c>
      <c r="E2551" s="1035">
        <v>80</v>
      </c>
      <c r="F2551" s="608">
        <f>SUM(C2551*E2551)</f>
        <v>29760</v>
      </c>
      <c r="G2551" s="608">
        <v>20</v>
      </c>
      <c r="H2551" s="608">
        <f>SUM(C2551*G2551)</f>
        <v>7440</v>
      </c>
      <c r="I2551" s="608">
        <f>SUM(F2551+H2551)</f>
        <v>37200</v>
      </c>
      <c r="J2551" s="571"/>
    </row>
    <row r="2552" spans="1:10">
      <c r="A2552" s="1033"/>
      <c r="B2552" s="967" t="s">
        <v>874</v>
      </c>
      <c r="C2552" s="1168">
        <v>762</v>
      </c>
      <c r="D2552" s="1036" t="s">
        <v>57</v>
      </c>
      <c r="E2552" s="1035">
        <v>18</v>
      </c>
      <c r="F2552" s="608">
        <f>SUM(C2552*E2552)</f>
        <v>13716</v>
      </c>
      <c r="G2552" s="608">
        <v>5</v>
      </c>
      <c r="H2552" s="608">
        <f>SUM(C2552*G2552)</f>
        <v>3810</v>
      </c>
      <c r="I2552" s="608">
        <f>SUM(F2552+H2552)</f>
        <v>17526</v>
      </c>
      <c r="J2552" s="571"/>
    </row>
    <row r="2553" spans="1:10">
      <c r="A2553" s="1033"/>
      <c r="B2553" s="967" t="s">
        <v>841</v>
      </c>
      <c r="C2553" s="1168"/>
      <c r="D2553" s="1037"/>
      <c r="E2553" s="1035"/>
      <c r="F2553" s="1035"/>
      <c r="G2553" s="1035"/>
      <c r="H2553" s="1035"/>
      <c r="I2553" s="1035"/>
      <c r="J2553" s="571"/>
    </row>
    <row r="2554" spans="1:10">
      <c r="A2554" s="1033"/>
      <c r="B2554" s="967" t="s">
        <v>875</v>
      </c>
      <c r="C2554" s="1168">
        <v>160</v>
      </c>
      <c r="D2554" s="1036" t="s">
        <v>57</v>
      </c>
      <c r="E2554" s="489">
        <v>53</v>
      </c>
      <c r="F2554" s="1038">
        <f>E2554*C2554</f>
        <v>8480</v>
      </c>
      <c r="G2554" s="672">
        <v>28</v>
      </c>
      <c r="H2554" s="1038">
        <f>G2554*C2554</f>
        <v>4480</v>
      </c>
      <c r="I2554" s="1038">
        <f>F2554+H2554</f>
        <v>12960</v>
      </c>
      <c r="J2554" s="571"/>
    </row>
    <row r="2555" spans="1:10">
      <c r="A2555" s="1033"/>
      <c r="B2555" s="967" t="s">
        <v>866</v>
      </c>
      <c r="C2555" s="1168">
        <v>212</v>
      </c>
      <c r="D2555" s="1036" t="s">
        <v>57</v>
      </c>
      <c r="E2555" s="489">
        <v>37</v>
      </c>
      <c r="F2555" s="1038">
        <f>E2555*C2555</f>
        <v>7844</v>
      </c>
      <c r="G2555" s="672">
        <v>24</v>
      </c>
      <c r="H2555" s="1038">
        <f>G2555*C2555</f>
        <v>5088</v>
      </c>
      <c r="I2555" s="1038">
        <f>F2555+H2555</f>
        <v>12932</v>
      </c>
      <c r="J2555" s="550"/>
    </row>
    <row r="2556" spans="1:10">
      <c r="A2556" s="1039"/>
      <c r="B2556" s="967" t="s">
        <v>867</v>
      </c>
      <c r="C2556" s="1168">
        <v>148</v>
      </c>
      <c r="D2556" s="1036" t="s">
        <v>57</v>
      </c>
      <c r="E2556" s="489">
        <v>26</v>
      </c>
      <c r="F2556" s="1038">
        <f>E2556*C2556</f>
        <v>3848</v>
      </c>
      <c r="G2556" s="672">
        <v>22</v>
      </c>
      <c r="H2556" s="1038">
        <f>G2556*C2556</f>
        <v>3256</v>
      </c>
      <c r="I2556" s="1038">
        <f>F2556+H2556</f>
        <v>7104</v>
      </c>
      <c r="J2556" s="571"/>
    </row>
    <row r="2557" spans="1:10">
      <c r="A2557" s="1039"/>
      <c r="B2557" s="971" t="s">
        <v>726</v>
      </c>
      <c r="C2557" s="1168">
        <v>1</v>
      </c>
      <c r="D2557" s="1040" t="s">
        <v>508</v>
      </c>
      <c r="E2557" s="1041">
        <f>I2557*0.8</f>
        <v>4720</v>
      </c>
      <c r="F2557" s="1042">
        <f>SUM(C2557*E2557)</f>
        <v>4720</v>
      </c>
      <c r="G2557" s="1042">
        <f>I2557*0.2</f>
        <v>1180</v>
      </c>
      <c r="H2557" s="1042">
        <f>SUM(C2557*G2557)</f>
        <v>1180</v>
      </c>
      <c r="I2557" s="1042">
        <f>ROUNDUP(SUM(I2548:I2556)*5%,-2)</f>
        <v>5900</v>
      </c>
      <c r="J2557" s="571"/>
    </row>
    <row r="2558" spans="1:10">
      <c r="A2558" s="602"/>
      <c r="B2558" s="576"/>
      <c r="C2558" s="1168"/>
      <c r="D2558" s="1040"/>
      <c r="E2558" s="1041"/>
      <c r="F2558" s="1042"/>
      <c r="G2558" s="1042"/>
      <c r="H2558" s="1042"/>
      <c r="I2558" s="1042"/>
      <c r="J2558" s="571"/>
    </row>
    <row r="2559" spans="1:10">
      <c r="A2559" s="1043">
        <v>5.4</v>
      </c>
      <c r="B2559" s="957" t="s">
        <v>898</v>
      </c>
      <c r="C2559" s="1044"/>
      <c r="D2559" s="486"/>
      <c r="E2559" s="1045"/>
      <c r="F2559" s="1046"/>
      <c r="G2559" s="959"/>
      <c r="H2559" s="680"/>
      <c r="I2559" s="680"/>
      <c r="J2559" s="565"/>
    </row>
    <row r="2560" spans="1:10">
      <c r="A2560" s="496" t="s">
        <v>899</v>
      </c>
      <c r="B2560" s="960" t="s">
        <v>728</v>
      </c>
      <c r="C2560" s="683"/>
      <c r="D2560" s="961"/>
      <c r="E2560" s="683"/>
      <c r="F2560" s="676"/>
      <c r="G2560" s="682"/>
      <c r="H2560" s="676"/>
      <c r="I2560" s="676"/>
      <c r="J2560" s="558"/>
    </row>
    <row r="2561" spans="1:10">
      <c r="A2561" s="502"/>
      <c r="B2561" s="962" t="s">
        <v>732</v>
      </c>
      <c r="C2561" s="683">
        <v>1</v>
      </c>
      <c r="D2561" s="510" t="s">
        <v>15</v>
      </c>
      <c r="E2561" s="963">
        <v>91500</v>
      </c>
      <c r="F2561" s="674">
        <f t="shared" ref="F2561:F2571" si="230">E2561*C2561</f>
        <v>91500</v>
      </c>
      <c r="G2561" s="609">
        <v>2500</v>
      </c>
      <c r="H2561" s="674">
        <f t="shared" ref="H2561:H2571" si="231">G2561*C2561</f>
        <v>2500</v>
      </c>
      <c r="I2561" s="674">
        <f t="shared" ref="I2561:I2571" si="232">F2561+H2561</f>
        <v>94000</v>
      </c>
      <c r="J2561" s="558"/>
    </row>
    <row r="2562" spans="1:10">
      <c r="A2562" s="502"/>
      <c r="B2562" s="962" t="s">
        <v>733</v>
      </c>
      <c r="C2562" s="683">
        <v>1</v>
      </c>
      <c r="D2562" s="510" t="s">
        <v>15</v>
      </c>
      <c r="E2562" s="963">
        <v>67100</v>
      </c>
      <c r="F2562" s="674">
        <f t="shared" si="230"/>
        <v>67100</v>
      </c>
      <c r="G2562" s="609">
        <v>2500</v>
      </c>
      <c r="H2562" s="674">
        <f t="shared" si="231"/>
        <v>2500</v>
      </c>
      <c r="I2562" s="674">
        <f t="shared" si="232"/>
        <v>69600</v>
      </c>
      <c r="J2562" s="558"/>
    </row>
    <row r="2563" spans="1:10">
      <c r="A2563" s="502"/>
      <c r="B2563" s="962" t="s">
        <v>745</v>
      </c>
      <c r="C2563" s="683">
        <v>1</v>
      </c>
      <c r="D2563" s="510" t="s">
        <v>15</v>
      </c>
      <c r="E2563" s="963">
        <v>13710</v>
      </c>
      <c r="F2563" s="674">
        <f t="shared" si="230"/>
        <v>13710</v>
      </c>
      <c r="G2563" s="609">
        <v>1000</v>
      </c>
      <c r="H2563" s="674">
        <f t="shared" si="231"/>
        <v>1000</v>
      </c>
      <c r="I2563" s="674">
        <f t="shared" si="232"/>
        <v>14710</v>
      </c>
      <c r="J2563" s="558"/>
    </row>
    <row r="2564" spans="1:10">
      <c r="A2564" s="502"/>
      <c r="B2564" s="962" t="s">
        <v>746</v>
      </c>
      <c r="C2564" s="683">
        <v>1</v>
      </c>
      <c r="D2564" s="510" t="s">
        <v>15</v>
      </c>
      <c r="E2564" s="963">
        <v>14800</v>
      </c>
      <c r="F2564" s="674">
        <f t="shared" si="230"/>
        <v>14800</v>
      </c>
      <c r="G2564" s="609">
        <v>1000</v>
      </c>
      <c r="H2564" s="674">
        <f t="shared" si="231"/>
        <v>1000</v>
      </c>
      <c r="I2564" s="674">
        <f t="shared" si="232"/>
        <v>15800</v>
      </c>
      <c r="J2564" s="558"/>
    </row>
    <row r="2565" spans="1:10">
      <c r="A2565" s="502"/>
      <c r="B2565" s="962" t="s">
        <v>1155</v>
      </c>
      <c r="C2565" s="683">
        <v>1</v>
      </c>
      <c r="D2565" s="510" t="s">
        <v>15</v>
      </c>
      <c r="E2565" s="963">
        <v>41860</v>
      </c>
      <c r="F2565" s="674">
        <f t="shared" si="230"/>
        <v>41860</v>
      </c>
      <c r="G2565" s="609">
        <v>1000</v>
      </c>
      <c r="H2565" s="674">
        <f t="shared" si="231"/>
        <v>1000</v>
      </c>
      <c r="I2565" s="674">
        <f t="shared" si="232"/>
        <v>42860</v>
      </c>
      <c r="J2565" s="558"/>
    </row>
    <row r="2566" spans="1:10">
      <c r="A2566" s="502"/>
      <c r="B2566" s="962" t="s">
        <v>1156</v>
      </c>
      <c r="C2566" s="683">
        <v>1</v>
      </c>
      <c r="D2566" s="510" t="s">
        <v>15</v>
      </c>
      <c r="E2566" s="963">
        <v>30420</v>
      </c>
      <c r="F2566" s="674">
        <f t="shared" si="230"/>
        <v>30420</v>
      </c>
      <c r="G2566" s="609">
        <v>1000</v>
      </c>
      <c r="H2566" s="674">
        <f t="shared" si="231"/>
        <v>1000</v>
      </c>
      <c r="I2566" s="674">
        <f t="shared" si="232"/>
        <v>31420</v>
      </c>
      <c r="J2566" s="558"/>
    </row>
    <row r="2567" spans="1:10">
      <c r="A2567" s="502"/>
      <c r="B2567" s="962" t="s">
        <v>1157</v>
      </c>
      <c r="C2567" s="683">
        <v>1</v>
      </c>
      <c r="D2567" s="510" t="s">
        <v>15</v>
      </c>
      <c r="E2567" s="963">
        <v>47260</v>
      </c>
      <c r="F2567" s="674">
        <f t="shared" si="230"/>
        <v>47260</v>
      </c>
      <c r="G2567" s="609">
        <v>1000</v>
      </c>
      <c r="H2567" s="674">
        <f t="shared" si="231"/>
        <v>1000</v>
      </c>
      <c r="I2567" s="674">
        <f t="shared" si="232"/>
        <v>48260</v>
      </c>
      <c r="J2567" s="558"/>
    </row>
    <row r="2568" spans="1:10">
      <c r="A2568" s="502"/>
      <c r="B2568" s="962" t="s">
        <v>747</v>
      </c>
      <c r="C2568" s="683">
        <v>1</v>
      </c>
      <c r="D2568" s="510" t="s">
        <v>15</v>
      </c>
      <c r="E2568" s="963">
        <v>13710</v>
      </c>
      <c r="F2568" s="674">
        <f t="shared" si="230"/>
        <v>13710</v>
      </c>
      <c r="G2568" s="609">
        <v>1000</v>
      </c>
      <c r="H2568" s="674">
        <f t="shared" si="231"/>
        <v>1000</v>
      </c>
      <c r="I2568" s="674">
        <f t="shared" si="232"/>
        <v>14710</v>
      </c>
      <c r="J2568" s="558"/>
    </row>
    <row r="2569" spans="1:10">
      <c r="A2569" s="502"/>
      <c r="B2569" s="962" t="s">
        <v>748</v>
      </c>
      <c r="C2569" s="683">
        <v>1</v>
      </c>
      <c r="D2569" s="510" t="s">
        <v>15</v>
      </c>
      <c r="E2569" s="963">
        <v>15330</v>
      </c>
      <c r="F2569" s="674">
        <f t="shared" si="230"/>
        <v>15330</v>
      </c>
      <c r="G2569" s="609">
        <v>1000</v>
      </c>
      <c r="H2569" s="674">
        <f t="shared" si="231"/>
        <v>1000</v>
      </c>
      <c r="I2569" s="674">
        <f t="shared" si="232"/>
        <v>16330</v>
      </c>
      <c r="J2569" s="558"/>
    </row>
    <row r="2570" spans="1:10">
      <c r="A2570" s="502"/>
      <c r="B2570" s="962" t="s">
        <v>753</v>
      </c>
      <c r="C2570" s="683">
        <v>1</v>
      </c>
      <c r="D2570" s="510" t="s">
        <v>15</v>
      </c>
      <c r="E2570" s="963">
        <v>12140</v>
      </c>
      <c r="F2570" s="674">
        <f t="shared" si="230"/>
        <v>12140</v>
      </c>
      <c r="G2570" s="609">
        <v>1000</v>
      </c>
      <c r="H2570" s="674">
        <f t="shared" si="231"/>
        <v>1000</v>
      </c>
      <c r="I2570" s="674">
        <f t="shared" si="232"/>
        <v>13140</v>
      </c>
      <c r="J2570" s="558"/>
    </row>
    <row r="2571" spans="1:10">
      <c r="A2571" s="502"/>
      <c r="B2571" s="962" t="s">
        <v>754</v>
      </c>
      <c r="C2571" s="683">
        <v>1</v>
      </c>
      <c r="D2571" s="510" t="s">
        <v>15</v>
      </c>
      <c r="E2571" s="963">
        <v>13710</v>
      </c>
      <c r="F2571" s="674">
        <f t="shared" si="230"/>
        <v>13710</v>
      </c>
      <c r="G2571" s="609">
        <v>1000</v>
      </c>
      <c r="H2571" s="674">
        <f t="shared" si="231"/>
        <v>1000</v>
      </c>
      <c r="I2571" s="674">
        <f t="shared" si="232"/>
        <v>14710</v>
      </c>
      <c r="J2571" s="558"/>
    </row>
    <row r="2572" spans="1:10">
      <c r="A2572" s="502"/>
      <c r="B2572" s="962" t="s">
        <v>667</v>
      </c>
      <c r="C2572" s="683">
        <v>1</v>
      </c>
      <c r="D2572" s="912" t="s">
        <v>508</v>
      </c>
      <c r="E2572" s="660">
        <f>I2572*0.8</f>
        <v>15040</v>
      </c>
      <c r="F2572" s="913">
        <f>C2572*E2572</f>
        <v>15040</v>
      </c>
      <c r="G2572" s="913">
        <f>I2572*0.2</f>
        <v>3760</v>
      </c>
      <c r="H2572" s="674">
        <f>C2572*G2572</f>
        <v>3760</v>
      </c>
      <c r="I2572" s="674">
        <f>ROUNDUP(SUM(I2561:I2571)*5%,-2)</f>
        <v>18800</v>
      </c>
      <c r="J2572" s="558"/>
    </row>
    <row r="2573" spans="1:10">
      <c r="A2573" s="496" t="s">
        <v>900</v>
      </c>
      <c r="B2573" s="960" t="s">
        <v>762</v>
      </c>
      <c r="C2573" s="683"/>
      <c r="D2573" s="961"/>
      <c r="E2573" s="683"/>
      <c r="F2573" s="676"/>
      <c r="G2573" s="682"/>
      <c r="H2573" s="676"/>
      <c r="I2573" s="676"/>
      <c r="J2573" s="558"/>
    </row>
    <row r="2574" spans="1:10">
      <c r="A2574" s="502"/>
      <c r="B2574" s="962" t="s">
        <v>763</v>
      </c>
      <c r="C2574" s="683">
        <v>236</v>
      </c>
      <c r="D2574" s="510" t="s">
        <v>15</v>
      </c>
      <c r="E2574" s="963">
        <v>3500</v>
      </c>
      <c r="F2574" s="674">
        <f t="shared" ref="F2574:F2579" si="233">E2574*C2574</f>
        <v>826000</v>
      </c>
      <c r="G2574" s="609">
        <v>200</v>
      </c>
      <c r="H2574" s="674">
        <f t="shared" ref="H2574:H2580" si="234">G2574*C2574</f>
        <v>47200</v>
      </c>
      <c r="I2574" s="674">
        <f t="shared" ref="I2574:I2580" si="235">F2574+H2574</f>
        <v>873200</v>
      </c>
      <c r="J2574" s="558"/>
    </row>
    <row r="2575" spans="1:10">
      <c r="A2575" s="502"/>
      <c r="B2575" s="962" t="s">
        <v>765</v>
      </c>
      <c r="C2575" s="683">
        <v>56</v>
      </c>
      <c r="D2575" s="510" t="s">
        <v>15</v>
      </c>
      <c r="E2575" s="963">
        <v>2700</v>
      </c>
      <c r="F2575" s="674">
        <f t="shared" si="233"/>
        <v>151200</v>
      </c>
      <c r="G2575" s="609">
        <v>150</v>
      </c>
      <c r="H2575" s="674">
        <f t="shared" si="234"/>
        <v>8400</v>
      </c>
      <c r="I2575" s="674">
        <f t="shared" si="235"/>
        <v>159600</v>
      </c>
      <c r="J2575" s="558"/>
    </row>
    <row r="2576" spans="1:10">
      <c r="A2576" s="502"/>
      <c r="B2576" s="962" t="s">
        <v>767</v>
      </c>
      <c r="C2576" s="683">
        <v>24</v>
      </c>
      <c r="D2576" s="510" t="s">
        <v>15</v>
      </c>
      <c r="E2576" s="963">
        <v>1200</v>
      </c>
      <c r="F2576" s="674">
        <f t="shared" si="233"/>
        <v>28800</v>
      </c>
      <c r="G2576" s="609">
        <v>115</v>
      </c>
      <c r="H2576" s="674">
        <f t="shared" si="234"/>
        <v>2760</v>
      </c>
      <c r="I2576" s="674">
        <f t="shared" si="235"/>
        <v>31560</v>
      </c>
      <c r="J2576" s="558"/>
    </row>
    <row r="2577" spans="1:10">
      <c r="A2577" s="502"/>
      <c r="B2577" s="962" t="s">
        <v>768</v>
      </c>
      <c r="C2577" s="683">
        <v>11</v>
      </c>
      <c r="D2577" s="510" t="s">
        <v>15</v>
      </c>
      <c r="E2577" s="963">
        <v>950</v>
      </c>
      <c r="F2577" s="674">
        <f t="shared" si="233"/>
        <v>10450</v>
      </c>
      <c r="G2577" s="609">
        <v>150</v>
      </c>
      <c r="H2577" s="674">
        <f t="shared" si="234"/>
        <v>1650</v>
      </c>
      <c r="I2577" s="674">
        <f t="shared" si="235"/>
        <v>12100</v>
      </c>
      <c r="J2577" s="558"/>
    </row>
    <row r="2578" spans="1:10">
      <c r="A2578" s="502"/>
      <c r="B2578" s="962" t="s">
        <v>769</v>
      </c>
      <c r="C2578" s="683">
        <v>7</v>
      </c>
      <c r="D2578" s="510" t="s">
        <v>15</v>
      </c>
      <c r="E2578" s="963">
        <v>750</v>
      </c>
      <c r="F2578" s="674">
        <f t="shared" si="233"/>
        <v>5250</v>
      </c>
      <c r="G2578" s="609">
        <v>115</v>
      </c>
      <c r="H2578" s="674">
        <f t="shared" si="234"/>
        <v>805</v>
      </c>
      <c r="I2578" s="674">
        <f t="shared" si="235"/>
        <v>6055</v>
      </c>
      <c r="J2578" s="558"/>
    </row>
    <row r="2579" spans="1:10">
      <c r="A2579" s="502"/>
      <c r="B2579" s="962" t="s">
        <v>771</v>
      </c>
      <c r="C2579" s="683">
        <v>70</v>
      </c>
      <c r="D2579" s="510" t="s">
        <v>15</v>
      </c>
      <c r="E2579" s="963">
        <v>2000</v>
      </c>
      <c r="F2579" s="674">
        <f t="shared" si="233"/>
        <v>140000</v>
      </c>
      <c r="G2579" s="609">
        <v>115</v>
      </c>
      <c r="H2579" s="674">
        <f t="shared" si="234"/>
        <v>8050</v>
      </c>
      <c r="I2579" s="674">
        <f t="shared" si="235"/>
        <v>148050</v>
      </c>
      <c r="J2579" s="558"/>
    </row>
    <row r="2580" spans="1:10">
      <c r="A2580" s="502"/>
      <c r="B2580" s="962" t="s">
        <v>1163</v>
      </c>
      <c r="C2580" s="683">
        <v>182</v>
      </c>
      <c r="D2580" s="510" t="s">
        <v>15</v>
      </c>
      <c r="E2580" s="963">
        <v>3000</v>
      </c>
      <c r="F2580" s="674">
        <f>E2580*C2580</f>
        <v>546000</v>
      </c>
      <c r="G2580" s="609">
        <v>165</v>
      </c>
      <c r="H2580" s="674">
        <f t="shared" si="234"/>
        <v>30030</v>
      </c>
      <c r="I2580" s="674">
        <f t="shared" si="235"/>
        <v>576030</v>
      </c>
      <c r="J2580" s="558"/>
    </row>
    <row r="2581" spans="1:10">
      <c r="A2581" s="502"/>
      <c r="B2581" s="962" t="s">
        <v>774</v>
      </c>
      <c r="C2581" s="683">
        <v>4</v>
      </c>
      <c r="D2581" s="510" t="s">
        <v>15</v>
      </c>
      <c r="E2581" s="963">
        <v>6500</v>
      </c>
      <c r="F2581" s="674">
        <f>E2581*C2581</f>
        <v>26000</v>
      </c>
      <c r="G2581" s="609">
        <v>300</v>
      </c>
      <c r="H2581" s="674">
        <f>G2581*C2581</f>
        <v>1200</v>
      </c>
      <c r="I2581" s="674">
        <f>F2581+H2581</f>
        <v>27200</v>
      </c>
      <c r="J2581" s="558"/>
    </row>
    <row r="2582" spans="1:10">
      <c r="A2582" s="502"/>
      <c r="B2582" s="962" t="s">
        <v>667</v>
      </c>
      <c r="C2582" s="683">
        <v>1</v>
      </c>
      <c r="D2582" s="912" t="s">
        <v>508</v>
      </c>
      <c r="E2582" s="660">
        <f>I2582*0.8</f>
        <v>73360</v>
      </c>
      <c r="F2582" s="913">
        <f>C2582*E2582</f>
        <v>73360</v>
      </c>
      <c r="G2582" s="913">
        <f>I2582*0.2</f>
        <v>18340</v>
      </c>
      <c r="H2582" s="674">
        <f>C2582*G2582</f>
        <v>18340</v>
      </c>
      <c r="I2582" s="674">
        <f>ROUNDUP(SUM(I2574:I2581)*5%,-2)</f>
        <v>91700</v>
      </c>
      <c r="J2582" s="558"/>
    </row>
    <row r="2583" spans="1:10">
      <c r="A2583" s="496" t="s">
        <v>901</v>
      </c>
      <c r="B2583" s="960" t="s">
        <v>776</v>
      </c>
      <c r="C2583" s="683"/>
      <c r="D2583" s="961"/>
      <c r="E2583" s="683"/>
      <c r="F2583" s="676"/>
      <c r="G2583" s="682"/>
      <c r="H2583" s="676"/>
      <c r="I2583" s="676"/>
      <c r="J2583" s="558"/>
    </row>
    <row r="2584" spans="1:10">
      <c r="A2584" s="502"/>
      <c r="B2584" s="962" t="s">
        <v>664</v>
      </c>
      <c r="C2584" s="683">
        <v>5</v>
      </c>
      <c r="D2584" s="910" t="s">
        <v>57</v>
      </c>
      <c r="E2584" s="489">
        <v>546</v>
      </c>
      <c r="F2584" s="674">
        <f t="shared" ref="F2584:F2591" si="236">E2584*C2584</f>
        <v>2730</v>
      </c>
      <c r="G2584" s="672">
        <v>85</v>
      </c>
      <c r="H2584" s="674">
        <f>G2584*C2584</f>
        <v>425</v>
      </c>
      <c r="I2584" s="674">
        <f>F2584+H2584</f>
        <v>3155</v>
      </c>
      <c r="J2584" s="558"/>
    </row>
    <row r="2585" spans="1:10">
      <c r="A2585" s="502"/>
      <c r="B2585" s="962" t="s">
        <v>777</v>
      </c>
      <c r="C2585" s="683">
        <v>10</v>
      </c>
      <c r="D2585" s="910" t="s">
        <v>57</v>
      </c>
      <c r="E2585" s="489">
        <v>476</v>
      </c>
      <c r="F2585" s="674">
        <f t="shared" si="236"/>
        <v>4760</v>
      </c>
      <c r="G2585" s="672">
        <v>75</v>
      </c>
      <c r="H2585" s="674">
        <f t="shared" ref="H2585:H2591" si="237">G2585*C2585</f>
        <v>750</v>
      </c>
      <c r="I2585" s="674">
        <f t="shared" ref="I2585:I2591" si="238">F2585+H2585</f>
        <v>5510</v>
      </c>
      <c r="J2585" s="558"/>
    </row>
    <row r="2586" spans="1:10">
      <c r="A2586" s="502"/>
      <c r="B2586" s="962" t="s">
        <v>778</v>
      </c>
      <c r="C2586" s="683">
        <v>5</v>
      </c>
      <c r="D2586" s="910" t="s">
        <v>57</v>
      </c>
      <c r="E2586" s="489">
        <v>414</v>
      </c>
      <c r="F2586" s="674">
        <f t="shared" si="236"/>
        <v>2070</v>
      </c>
      <c r="G2586" s="672">
        <v>65</v>
      </c>
      <c r="H2586" s="674">
        <f t="shared" si="237"/>
        <v>325</v>
      </c>
      <c r="I2586" s="674">
        <f t="shared" si="238"/>
        <v>2395</v>
      </c>
      <c r="J2586" s="558"/>
    </row>
    <row r="2587" spans="1:10">
      <c r="A2587" s="502"/>
      <c r="B2587" s="962" t="s">
        <v>779</v>
      </c>
      <c r="C2587" s="683">
        <v>10</v>
      </c>
      <c r="D2587" s="910" t="s">
        <v>57</v>
      </c>
      <c r="E2587" s="489">
        <v>335</v>
      </c>
      <c r="F2587" s="674">
        <f t="shared" si="236"/>
        <v>3350</v>
      </c>
      <c r="G2587" s="672">
        <v>55</v>
      </c>
      <c r="H2587" s="674">
        <f t="shared" si="237"/>
        <v>550</v>
      </c>
      <c r="I2587" s="674">
        <f t="shared" si="238"/>
        <v>3900</v>
      </c>
      <c r="J2587" s="558"/>
    </row>
    <row r="2588" spans="1:10">
      <c r="A2588" s="502"/>
      <c r="B2588" s="962" t="s">
        <v>784</v>
      </c>
      <c r="C2588" s="683">
        <v>10</v>
      </c>
      <c r="D2588" s="910" t="s">
        <v>57</v>
      </c>
      <c r="E2588" s="489">
        <v>107</v>
      </c>
      <c r="F2588" s="674">
        <f t="shared" si="236"/>
        <v>1070</v>
      </c>
      <c r="G2588" s="672">
        <v>38</v>
      </c>
      <c r="H2588" s="674">
        <f t="shared" si="237"/>
        <v>380</v>
      </c>
      <c r="I2588" s="674">
        <f t="shared" si="238"/>
        <v>1450</v>
      </c>
      <c r="J2588" s="558"/>
    </row>
    <row r="2589" spans="1:10">
      <c r="A2589" s="502"/>
      <c r="B2589" s="962" t="s">
        <v>786</v>
      </c>
      <c r="C2589" s="683">
        <v>50</v>
      </c>
      <c r="D2589" s="910" t="s">
        <v>57</v>
      </c>
      <c r="E2589" s="489">
        <v>53</v>
      </c>
      <c r="F2589" s="674">
        <f t="shared" si="236"/>
        <v>2650</v>
      </c>
      <c r="G2589" s="672">
        <v>28</v>
      </c>
      <c r="H2589" s="674">
        <f t="shared" si="237"/>
        <v>1400</v>
      </c>
      <c r="I2589" s="674">
        <f t="shared" si="238"/>
        <v>4050</v>
      </c>
      <c r="J2589" s="558"/>
    </row>
    <row r="2590" spans="1:10">
      <c r="A2590" s="502"/>
      <c r="B2590" s="962" t="s">
        <v>787</v>
      </c>
      <c r="C2590" s="683">
        <v>290</v>
      </c>
      <c r="D2590" s="910" t="s">
        <v>57</v>
      </c>
      <c r="E2590" s="489">
        <v>37</v>
      </c>
      <c r="F2590" s="674">
        <f t="shared" si="236"/>
        <v>10730</v>
      </c>
      <c r="G2590" s="672">
        <v>24</v>
      </c>
      <c r="H2590" s="674">
        <f t="shared" si="237"/>
        <v>6960</v>
      </c>
      <c r="I2590" s="674">
        <f t="shared" si="238"/>
        <v>17690</v>
      </c>
      <c r="J2590" s="558"/>
    </row>
    <row r="2591" spans="1:10">
      <c r="A2591" s="502"/>
      <c r="B2591" s="962" t="s">
        <v>788</v>
      </c>
      <c r="C2591" s="683">
        <v>7920</v>
      </c>
      <c r="D2591" s="910" t="s">
        <v>57</v>
      </c>
      <c r="E2591" s="489">
        <v>26</v>
      </c>
      <c r="F2591" s="674">
        <f t="shared" si="236"/>
        <v>205920</v>
      </c>
      <c r="G2591" s="672">
        <v>22</v>
      </c>
      <c r="H2591" s="674">
        <f t="shared" si="237"/>
        <v>174240</v>
      </c>
      <c r="I2591" s="674">
        <f t="shared" si="238"/>
        <v>380160</v>
      </c>
      <c r="J2591" s="558"/>
    </row>
    <row r="2592" spans="1:10">
      <c r="A2592" s="502"/>
      <c r="B2592" s="962" t="s">
        <v>790</v>
      </c>
      <c r="C2592" s="683">
        <v>1</v>
      </c>
      <c r="D2592" s="912" t="s">
        <v>508</v>
      </c>
      <c r="E2592" s="660">
        <f>I2592*0.8</f>
        <v>8000</v>
      </c>
      <c r="F2592" s="913">
        <f>C2592*E2592</f>
        <v>8000</v>
      </c>
      <c r="G2592" s="913">
        <f>I2592*0.2</f>
        <v>2000</v>
      </c>
      <c r="H2592" s="674">
        <f>C2592*G2592</f>
        <v>2000</v>
      </c>
      <c r="I2592" s="674">
        <v>10000</v>
      </c>
      <c r="J2592" s="558"/>
    </row>
    <row r="2593" spans="1:10">
      <c r="A2593" s="502"/>
      <c r="B2593" s="962" t="s">
        <v>791</v>
      </c>
      <c r="C2593" s="683">
        <v>1</v>
      </c>
      <c r="D2593" s="912" t="s">
        <v>508</v>
      </c>
      <c r="E2593" s="660">
        <f>I2593*0.8</f>
        <v>34320</v>
      </c>
      <c r="F2593" s="913">
        <f>C2593*E2593</f>
        <v>34320</v>
      </c>
      <c r="G2593" s="913">
        <f>I2593*0.2</f>
        <v>8580</v>
      </c>
      <c r="H2593" s="674">
        <f>C2593*G2593</f>
        <v>8580</v>
      </c>
      <c r="I2593" s="674">
        <f>ROUNDUP(SUM(I2584:I2592)*10%,-2)</f>
        <v>42900</v>
      </c>
      <c r="J2593" s="558"/>
    </row>
    <row r="2594" spans="1:10">
      <c r="A2594" s="502"/>
      <c r="B2594" s="962" t="s">
        <v>667</v>
      </c>
      <c r="C2594" s="683">
        <v>1</v>
      </c>
      <c r="D2594" s="912" t="s">
        <v>508</v>
      </c>
      <c r="E2594" s="660">
        <f>I2594*0.8</f>
        <v>18880</v>
      </c>
      <c r="F2594" s="913">
        <f>C2594*E2594</f>
        <v>18880</v>
      </c>
      <c r="G2594" s="913">
        <f>I2594*0.2</f>
        <v>4720</v>
      </c>
      <c r="H2594" s="674">
        <f>C2594*G2594</f>
        <v>4720</v>
      </c>
      <c r="I2594" s="674">
        <f>ROUNDUP(SUM(I2584:I2593)*5%,-2)</f>
        <v>23600</v>
      </c>
      <c r="J2594" s="558"/>
    </row>
    <row r="2595" spans="1:10">
      <c r="A2595" s="496" t="s">
        <v>902</v>
      </c>
      <c r="B2595" s="960" t="s">
        <v>793</v>
      </c>
      <c r="C2595" s="683"/>
      <c r="D2595" s="961"/>
      <c r="E2595" s="683"/>
      <c r="F2595" s="676"/>
      <c r="G2595" s="682"/>
      <c r="H2595" s="676"/>
      <c r="I2595" s="676"/>
      <c r="J2595" s="558"/>
    </row>
    <row r="2596" spans="1:10">
      <c r="A2596" s="502"/>
      <c r="B2596" s="962" t="s">
        <v>795</v>
      </c>
      <c r="C2596" s="683">
        <v>20</v>
      </c>
      <c r="D2596" s="910" t="s">
        <v>57</v>
      </c>
      <c r="E2596" s="489">
        <v>1199</v>
      </c>
      <c r="F2596" s="674">
        <f>E2596*C2596</f>
        <v>23980</v>
      </c>
      <c r="G2596" s="672">
        <v>110</v>
      </c>
      <c r="H2596" s="674">
        <f>G2596*C2596</f>
        <v>2200</v>
      </c>
      <c r="I2596" s="674">
        <f>F2596+H2596</f>
        <v>26180</v>
      </c>
      <c r="J2596" s="558"/>
    </row>
    <row r="2597" spans="1:10">
      <c r="A2597" s="502"/>
      <c r="B2597" s="962" t="s">
        <v>797</v>
      </c>
      <c r="C2597" s="683">
        <v>40</v>
      </c>
      <c r="D2597" s="910" t="s">
        <v>57</v>
      </c>
      <c r="E2597" s="489">
        <v>729</v>
      </c>
      <c r="F2597" s="674">
        <f t="shared" ref="F2597:F2605" si="239">E2597*C2597</f>
        <v>29160</v>
      </c>
      <c r="G2597" s="672">
        <v>85</v>
      </c>
      <c r="H2597" s="674">
        <f>G2597*C2597</f>
        <v>3400</v>
      </c>
      <c r="I2597" s="674">
        <f>F2597+H2597</f>
        <v>32560</v>
      </c>
      <c r="J2597" s="558"/>
    </row>
    <row r="2598" spans="1:10">
      <c r="A2598" s="502"/>
      <c r="B2598" s="962" t="s">
        <v>798</v>
      </c>
      <c r="C2598" s="683">
        <v>20</v>
      </c>
      <c r="D2598" s="910" t="s">
        <v>57</v>
      </c>
      <c r="E2598" s="489">
        <v>409</v>
      </c>
      <c r="F2598" s="674">
        <f t="shared" si="239"/>
        <v>8180</v>
      </c>
      <c r="G2598" s="672">
        <v>60</v>
      </c>
      <c r="H2598" s="674">
        <f>G2598*C2598</f>
        <v>1200</v>
      </c>
      <c r="I2598" s="674">
        <f>F2598+H2598</f>
        <v>9380</v>
      </c>
      <c r="J2598" s="558"/>
    </row>
    <row r="2599" spans="1:10">
      <c r="A2599" s="502"/>
      <c r="B2599" s="962" t="s">
        <v>800</v>
      </c>
      <c r="C2599" s="683">
        <v>40</v>
      </c>
      <c r="D2599" s="910" t="s">
        <v>57</v>
      </c>
      <c r="E2599" s="489">
        <v>235</v>
      </c>
      <c r="F2599" s="674">
        <f t="shared" si="239"/>
        <v>9400</v>
      </c>
      <c r="G2599" s="672">
        <v>45</v>
      </c>
      <c r="H2599" s="674">
        <f>G2599*C2599</f>
        <v>1800</v>
      </c>
      <c r="I2599" s="674">
        <f>F2599+H2599</f>
        <v>11200</v>
      </c>
      <c r="J2599" s="558"/>
    </row>
    <row r="2600" spans="1:10">
      <c r="A2600" s="502"/>
      <c r="B2600" s="962" t="s">
        <v>802</v>
      </c>
      <c r="C2600" s="683">
        <v>55</v>
      </c>
      <c r="D2600" s="910" t="s">
        <v>57</v>
      </c>
      <c r="E2600" s="489">
        <v>86</v>
      </c>
      <c r="F2600" s="674">
        <f t="shared" si="239"/>
        <v>4730</v>
      </c>
      <c r="G2600" s="672">
        <v>25</v>
      </c>
      <c r="H2600" s="674">
        <f t="shared" ref="H2600:H2605" si="240">G2600*C2600</f>
        <v>1375</v>
      </c>
      <c r="I2600" s="674">
        <f t="shared" ref="I2600:I2605" si="241">F2600+H2600</f>
        <v>6105</v>
      </c>
      <c r="J2600" s="558"/>
    </row>
    <row r="2601" spans="1:10">
      <c r="A2601" s="502"/>
      <c r="B2601" s="962" t="s">
        <v>803</v>
      </c>
      <c r="C2601" s="683">
        <v>15</v>
      </c>
      <c r="D2601" s="910" t="s">
        <v>57</v>
      </c>
      <c r="E2601" s="489">
        <v>55</v>
      </c>
      <c r="F2601" s="674">
        <f t="shared" si="239"/>
        <v>825</v>
      </c>
      <c r="G2601" s="672">
        <v>20</v>
      </c>
      <c r="H2601" s="674">
        <f t="shared" si="240"/>
        <v>300</v>
      </c>
      <c r="I2601" s="674">
        <f t="shared" si="241"/>
        <v>1125</v>
      </c>
      <c r="J2601" s="558"/>
    </row>
    <row r="2602" spans="1:10">
      <c r="A2602" s="502"/>
      <c r="B2602" s="962" t="s">
        <v>804</v>
      </c>
      <c r="C2602" s="683">
        <v>200</v>
      </c>
      <c r="D2602" s="910" t="s">
        <v>57</v>
      </c>
      <c r="E2602" s="489">
        <v>36</v>
      </c>
      <c r="F2602" s="674">
        <f t="shared" si="239"/>
        <v>7200</v>
      </c>
      <c r="G2602" s="672">
        <v>16</v>
      </c>
      <c r="H2602" s="674">
        <f t="shared" si="240"/>
        <v>3200</v>
      </c>
      <c r="I2602" s="674">
        <f t="shared" si="241"/>
        <v>10400</v>
      </c>
      <c r="J2602" s="558"/>
    </row>
    <row r="2603" spans="1:10">
      <c r="A2603" s="502"/>
      <c r="B2603" s="962" t="s">
        <v>805</v>
      </c>
      <c r="C2603" s="683">
        <v>60</v>
      </c>
      <c r="D2603" s="910" t="s">
        <v>57</v>
      </c>
      <c r="E2603" s="489">
        <v>21</v>
      </c>
      <c r="F2603" s="674">
        <f t="shared" si="239"/>
        <v>1260</v>
      </c>
      <c r="G2603" s="672">
        <v>12</v>
      </c>
      <c r="H2603" s="674">
        <f t="shared" si="240"/>
        <v>720</v>
      </c>
      <c r="I2603" s="674">
        <f t="shared" si="241"/>
        <v>1980</v>
      </c>
      <c r="J2603" s="558"/>
    </row>
    <row r="2604" spans="1:10">
      <c r="A2604" s="502"/>
      <c r="B2604" s="962" t="s">
        <v>806</v>
      </c>
      <c r="C2604" s="683">
        <v>5870</v>
      </c>
      <c r="D2604" s="910" t="s">
        <v>57</v>
      </c>
      <c r="E2604" s="489">
        <v>13</v>
      </c>
      <c r="F2604" s="674">
        <f t="shared" si="239"/>
        <v>76310</v>
      </c>
      <c r="G2604" s="672">
        <v>10</v>
      </c>
      <c r="H2604" s="674">
        <f t="shared" si="240"/>
        <v>58700</v>
      </c>
      <c r="I2604" s="674">
        <f t="shared" si="241"/>
        <v>135010</v>
      </c>
      <c r="J2604" s="558"/>
    </row>
    <row r="2605" spans="1:10">
      <c r="A2605" s="502"/>
      <c r="B2605" s="962" t="s">
        <v>807</v>
      </c>
      <c r="C2605" s="683">
        <v>15900</v>
      </c>
      <c r="D2605" s="910" t="s">
        <v>57</v>
      </c>
      <c r="E2605" s="489">
        <v>9</v>
      </c>
      <c r="F2605" s="674">
        <f t="shared" si="239"/>
        <v>143100</v>
      </c>
      <c r="G2605" s="672">
        <v>7</v>
      </c>
      <c r="H2605" s="674">
        <f t="shared" si="240"/>
        <v>111300</v>
      </c>
      <c r="I2605" s="674">
        <f t="shared" si="241"/>
        <v>254400</v>
      </c>
      <c r="J2605" s="558"/>
    </row>
    <row r="2606" spans="1:10">
      <c r="A2606" s="502"/>
      <c r="B2606" s="962" t="s">
        <v>667</v>
      </c>
      <c r="C2606" s="683">
        <v>1</v>
      </c>
      <c r="D2606" s="912" t="s">
        <v>508</v>
      </c>
      <c r="E2606" s="660">
        <f>I2606*0.8</f>
        <v>19600</v>
      </c>
      <c r="F2606" s="913">
        <f>C2606*E2606</f>
        <v>19600</v>
      </c>
      <c r="G2606" s="913">
        <f>I2606*0.2</f>
        <v>4900</v>
      </c>
      <c r="H2606" s="674">
        <f>C2606*G2606</f>
        <v>4900</v>
      </c>
      <c r="I2606" s="674">
        <f>ROUNDUP(SUM(I2596:I2605)*5%,-2)</f>
        <v>24500</v>
      </c>
      <c r="J2606" s="558"/>
    </row>
    <row r="2607" spans="1:10">
      <c r="A2607" s="496" t="s">
        <v>903</v>
      </c>
      <c r="B2607" s="960" t="s">
        <v>811</v>
      </c>
      <c r="C2607" s="683"/>
      <c r="D2607" s="961"/>
      <c r="E2607" s="683"/>
      <c r="F2607" s="676"/>
      <c r="G2607" s="682"/>
      <c r="H2607" s="676"/>
      <c r="I2607" s="676"/>
      <c r="J2607" s="558"/>
    </row>
    <row r="2608" spans="1:10">
      <c r="A2608" s="502"/>
      <c r="B2608" s="962" t="s">
        <v>812</v>
      </c>
      <c r="C2608" s="683">
        <v>223</v>
      </c>
      <c r="D2608" s="510" t="s">
        <v>15</v>
      </c>
      <c r="E2608" s="489">
        <v>57</v>
      </c>
      <c r="F2608" s="674">
        <f t="shared" ref="F2608:F2614" si="242">E2608*C2608</f>
        <v>12711</v>
      </c>
      <c r="G2608" s="672">
        <v>80</v>
      </c>
      <c r="H2608" s="674">
        <f t="shared" ref="H2608:H2614" si="243">G2608*C2608</f>
        <v>17840</v>
      </c>
      <c r="I2608" s="674">
        <f t="shared" ref="I2608:I2614" si="244">F2608+H2608</f>
        <v>30551</v>
      </c>
      <c r="J2608" s="558"/>
    </row>
    <row r="2609" spans="1:10">
      <c r="A2609" s="502"/>
      <c r="B2609" s="962" t="s">
        <v>813</v>
      </c>
      <c r="C2609" s="683">
        <v>20</v>
      </c>
      <c r="D2609" s="510" t="s">
        <v>15</v>
      </c>
      <c r="E2609" s="489">
        <v>82</v>
      </c>
      <c r="F2609" s="674">
        <f t="shared" si="242"/>
        <v>1640</v>
      </c>
      <c r="G2609" s="672">
        <v>85</v>
      </c>
      <c r="H2609" s="674">
        <f t="shared" si="243"/>
        <v>1700</v>
      </c>
      <c r="I2609" s="674">
        <f t="shared" si="244"/>
        <v>3340</v>
      </c>
      <c r="J2609" s="558"/>
    </row>
    <row r="2610" spans="1:10">
      <c r="A2610" s="502"/>
      <c r="B2610" s="962" t="s">
        <v>815</v>
      </c>
      <c r="C2610" s="683">
        <v>44</v>
      </c>
      <c r="D2610" s="510" t="s">
        <v>15</v>
      </c>
      <c r="E2610" s="489">
        <v>115</v>
      </c>
      <c r="F2610" s="674">
        <f t="shared" si="242"/>
        <v>5060</v>
      </c>
      <c r="G2610" s="672">
        <v>90</v>
      </c>
      <c r="H2610" s="674">
        <f t="shared" si="243"/>
        <v>3960</v>
      </c>
      <c r="I2610" s="674">
        <f t="shared" si="244"/>
        <v>9020</v>
      </c>
      <c r="J2610" s="558"/>
    </row>
    <row r="2611" spans="1:10">
      <c r="A2611" s="502"/>
      <c r="B2611" s="962" t="s">
        <v>816</v>
      </c>
      <c r="C2611" s="683">
        <v>237</v>
      </c>
      <c r="D2611" s="510" t="s">
        <v>15</v>
      </c>
      <c r="E2611" s="489">
        <v>170</v>
      </c>
      <c r="F2611" s="674">
        <f t="shared" si="242"/>
        <v>40290</v>
      </c>
      <c r="G2611" s="672">
        <v>90</v>
      </c>
      <c r="H2611" s="674">
        <f t="shared" si="243"/>
        <v>21330</v>
      </c>
      <c r="I2611" s="674">
        <f t="shared" si="244"/>
        <v>61620</v>
      </c>
      <c r="J2611" s="558"/>
    </row>
    <row r="2612" spans="1:10">
      <c r="A2612" s="502"/>
      <c r="B2612" s="962" t="s">
        <v>817</v>
      </c>
      <c r="C2612" s="683">
        <v>10</v>
      </c>
      <c r="D2612" s="510" t="s">
        <v>15</v>
      </c>
      <c r="E2612" s="489">
        <v>4500</v>
      </c>
      <c r="F2612" s="674">
        <f t="shared" si="242"/>
        <v>45000</v>
      </c>
      <c r="G2612" s="672">
        <v>300</v>
      </c>
      <c r="H2612" s="674">
        <f t="shared" si="243"/>
        <v>3000</v>
      </c>
      <c r="I2612" s="674">
        <f t="shared" si="244"/>
        <v>48000</v>
      </c>
      <c r="J2612" s="558"/>
    </row>
    <row r="2613" spans="1:10">
      <c r="A2613" s="502"/>
      <c r="B2613" s="962" t="s">
        <v>818</v>
      </c>
      <c r="C2613" s="683">
        <v>44</v>
      </c>
      <c r="D2613" s="510" t="s">
        <v>15</v>
      </c>
      <c r="E2613" s="489">
        <v>2600</v>
      </c>
      <c r="F2613" s="674">
        <f t="shared" si="242"/>
        <v>114400</v>
      </c>
      <c r="G2613" s="672">
        <v>240</v>
      </c>
      <c r="H2613" s="674">
        <f t="shared" si="243"/>
        <v>10560</v>
      </c>
      <c r="I2613" s="674">
        <f t="shared" si="244"/>
        <v>124960</v>
      </c>
      <c r="J2613" s="558"/>
    </row>
    <row r="2614" spans="1:10">
      <c r="A2614" s="502"/>
      <c r="B2614" s="962" t="s">
        <v>819</v>
      </c>
      <c r="C2614" s="683">
        <v>23</v>
      </c>
      <c r="D2614" s="510" t="s">
        <v>15</v>
      </c>
      <c r="E2614" s="489">
        <v>2000</v>
      </c>
      <c r="F2614" s="674">
        <f t="shared" si="242"/>
        <v>46000</v>
      </c>
      <c r="G2614" s="672">
        <v>240</v>
      </c>
      <c r="H2614" s="674">
        <f t="shared" si="243"/>
        <v>5520</v>
      </c>
      <c r="I2614" s="674">
        <f t="shared" si="244"/>
        <v>51520</v>
      </c>
      <c r="J2614" s="558"/>
    </row>
    <row r="2615" spans="1:10">
      <c r="A2615" s="502"/>
      <c r="B2615" s="962" t="s">
        <v>667</v>
      </c>
      <c r="C2615" s="683">
        <v>1</v>
      </c>
      <c r="D2615" s="912" t="s">
        <v>508</v>
      </c>
      <c r="E2615" s="660">
        <f>I2615*0.8</f>
        <v>13200</v>
      </c>
      <c r="F2615" s="913">
        <f>C2615*E2615</f>
        <v>13200</v>
      </c>
      <c r="G2615" s="913">
        <f>I2615*0.2</f>
        <v>3300</v>
      </c>
      <c r="H2615" s="674">
        <f>C2615*G2615</f>
        <v>3300</v>
      </c>
      <c r="I2615" s="674">
        <f>ROUNDUP(SUM(I2608:I2614)*5%,-2)</f>
        <v>16500</v>
      </c>
      <c r="J2615" s="558"/>
    </row>
    <row r="2616" spans="1:10">
      <c r="A2616" s="607" t="s">
        <v>904</v>
      </c>
      <c r="B2616" s="965" t="s">
        <v>836</v>
      </c>
      <c r="C2616" s="682"/>
      <c r="D2616" s="506"/>
      <c r="E2616" s="506"/>
      <c r="F2616" s="489"/>
      <c r="G2616" s="676"/>
      <c r="H2616" s="676"/>
      <c r="I2616" s="676"/>
      <c r="J2616" s="550"/>
    </row>
    <row r="2617" spans="1:10">
      <c r="A2617" s="966"/>
      <c r="B2617" s="1047" t="s">
        <v>837</v>
      </c>
      <c r="C2617" s="1156">
        <v>4</v>
      </c>
      <c r="D2617" s="968" t="s">
        <v>15</v>
      </c>
      <c r="E2617" s="673">
        <v>250</v>
      </c>
      <c r="F2617" s="673">
        <f>SUM(C2617*E2617)</f>
        <v>1000</v>
      </c>
      <c r="G2617" s="673">
        <v>40</v>
      </c>
      <c r="H2617" s="673">
        <f>SUM(C2617*G2617)</f>
        <v>160</v>
      </c>
      <c r="I2617" s="673">
        <f>SUM(F2617+H2617)</f>
        <v>1160</v>
      </c>
      <c r="J2617" s="550"/>
    </row>
    <row r="2618" spans="1:10">
      <c r="A2618" s="966"/>
      <c r="B2618" s="1047" t="s">
        <v>838</v>
      </c>
      <c r="C2618" s="1156">
        <v>265</v>
      </c>
      <c r="D2618" s="910" t="s">
        <v>57</v>
      </c>
      <c r="E2618" s="673">
        <v>18</v>
      </c>
      <c r="F2618" s="673">
        <f>SUM(C2618*E2618)</f>
        <v>4770</v>
      </c>
      <c r="G2618" s="673">
        <v>5</v>
      </c>
      <c r="H2618" s="673">
        <f>SUM(C2618*G2618)</f>
        <v>1325</v>
      </c>
      <c r="I2618" s="673">
        <f>SUM(F2618+H2618)</f>
        <v>6095</v>
      </c>
      <c r="J2618" s="550"/>
    </row>
    <row r="2619" spans="1:10">
      <c r="A2619" s="966"/>
      <c r="B2619" s="1047" t="s">
        <v>839</v>
      </c>
      <c r="C2619" s="1156"/>
      <c r="D2619" s="968"/>
      <c r="E2619" s="673"/>
      <c r="F2619" s="673"/>
      <c r="G2619" s="673"/>
      <c r="H2619" s="673"/>
      <c r="I2619" s="673"/>
      <c r="J2619" s="550"/>
    </row>
    <row r="2620" spans="1:10">
      <c r="A2620" s="966"/>
      <c r="B2620" s="1047" t="s">
        <v>840</v>
      </c>
      <c r="C2620" s="1156">
        <v>10</v>
      </c>
      <c r="D2620" s="910" t="s">
        <v>57</v>
      </c>
      <c r="E2620" s="673">
        <v>650</v>
      </c>
      <c r="F2620" s="673">
        <f>SUM(C2620*E2620)</f>
        <v>6500</v>
      </c>
      <c r="G2620" s="673">
        <v>200</v>
      </c>
      <c r="H2620" s="673">
        <f>SUM(C2620*G2620)</f>
        <v>2000</v>
      </c>
      <c r="I2620" s="673">
        <f>SUM(F2620+H2620)</f>
        <v>8500</v>
      </c>
      <c r="J2620" s="550"/>
    </row>
    <row r="2621" spans="1:10">
      <c r="A2621" s="966"/>
      <c r="B2621" s="1047" t="s">
        <v>841</v>
      </c>
      <c r="C2621" s="1156"/>
      <c r="D2621" s="968"/>
      <c r="E2621" s="673"/>
      <c r="F2621" s="673"/>
      <c r="G2621" s="673"/>
      <c r="H2621" s="673"/>
      <c r="I2621" s="673"/>
      <c r="J2621" s="550"/>
    </row>
    <row r="2622" spans="1:10">
      <c r="A2622" s="966"/>
      <c r="B2622" s="1047" t="s">
        <v>842</v>
      </c>
      <c r="C2622" s="1156">
        <v>8</v>
      </c>
      <c r="D2622" s="910" t="s">
        <v>57</v>
      </c>
      <c r="E2622" s="489">
        <v>37</v>
      </c>
      <c r="F2622" s="674">
        <f>E2622*C2622</f>
        <v>296</v>
      </c>
      <c r="G2622" s="672">
        <v>24</v>
      </c>
      <c r="H2622" s="674">
        <f>G2622*C2622</f>
        <v>192</v>
      </c>
      <c r="I2622" s="674">
        <f>F2622+H2622</f>
        <v>488</v>
      </c>
      <c r="J2622" s="550"/>
    </row>
    <row r="2623" spans="1:10">
      <c r="A2623" s="969"/>
      <c r="B2623" s="1047" t="s">
        <v>843</v>
      </c>
      <c r="C2623" s="1156">
        <v>186</v>
      </c>
      <c r="D2623" s="910" t="s">
        <v>57</v>
      </c>
      <c r="E2623" s="489">
        <v>26</v>
      </c>
      <c r="F2623" s="674">
        <f>E2623*C2623</f>
        <v>4836</v>
      </c>
      <c r="G2623" s="672">
        <v>22</v>
      </c>
      <c r="H2623" s="674">
        <f>G2623*C2623</f>
        <v>4092</v>
      </c>
      <c r="I2623" s="674">
        <f>F2623+H2623</f>
        <v>8928</v>
      </c>
      <c r="J2623" s="550"/>
    </row>
    <row r="2624" spans="1:10">
      <c r="A2624" s="966"/>
      <c r="B2624" s="610" t="s">
        <v>726</v>
      </c>
      <c r="C2624" s="1156">
        <v>1</v>
      </c>
      <c r="D2624" s="606" t="s">
        <v>508</v>
      </c>
      <c r="E2624" s="970">
        <f>I2624*0.8</f>
        <v>1040</v>
      </c>
      <c r="F2624" s="673">
        <f>SUM(C2624*E2624)</f>
        <v>1040</v>
      </c>
      <c r="G2624" s="673">
        <f>I2624*0.2</f>
        <v>260</v>
      </c>
      <c r="H2624" s="673">
        <f>SUM(C2624*G2624)</f>
        <v>260</v>
      </c>
      <c r="I2624" s="673">
        <f>ROUNDUP(SUM(I2617:I2623)*5%,-2)</f>
        <v>1300</v>
      </c>
      <c r="J2624" s="550"/>
    </row>
    <row r="2625" spans="1:10">
      <c r="A2625" s="1048" t="s">
        <v>905</v>
      </c>
      <c r="B2625" s="572" t="s">
        <v>844</v>
      </c>
      <c r="C2625" s="1157"/>
      <c r="D2625" s="682"/>
      <c r="E2625" s="682"/>
      <c r="F2625" s="660"/>
      <c r="G2625" s="676"/>
      <c r="H2625" s="676"/>
      <c r="I2625" s="676"/>
      <c r="J2625" s="550"/>
    </row>
    <row r="2626" spans="1:10">
      <c r="A2626" s="966"/>
      <c r="B2626" s="1047" t="s">
        <v>845</v>
      </c>
      <c r="C2626" s="1158"/>
      <c r="D2626" s="573"/>
      <c r="E2626" s="573"/>
      <c r="F2626" s="573"/>
      <c r="G2626" s="573"/>
      <c r="H2626" s="573"/>
      <c r="I2626" s="573"/>
      <c r="J2626" s="550"/>
    </row>
    <row r="2627" spans="1:10">
      <c r="A2627" s="966"/>
      <c r="B2627" s="1047" t="s">
        <v>846</v>
      </c>
      <c r="C2627" s="1156">
        <v>1</v>
      </c>
      <c r="D2627" s="968" t="s">
        <v>15</v>
      </c>
      <c r="E2627" s="673">
        <v>15000</v>
      </c>
      <c r="F2627" s="673">
        <f>SUM(C2627*E2627)</f>
        <v>15000</v>
      </c>
      <c r="G2627" s="673">
        <v>500</v>
      </c>
      <c r="H2627" s="673">
        <f>SUM(C2627*G2627)</f>
        <v>500</v>
      </c>
      <c r="I2627" s="673">
        <f>SUM(F2627+H2627)</f>
        <v>15500</v>
      </c>
      <c r="J2627" s="550"/>
    </row>
    <row r="2628" spans="1:10">
      <c r="A2628" s="966"/>
      <c r="B2628" s="1047" t="s">
        <v>847</v>
      </c>
      <c r="C2628" s="1156">
        <v>2</v>
      </c>
      <c r="D2628" s="968" t="s">
        <v>15</v>
      </c>
      <c r="E2628" s="673">
        <v>14000</v>
      </c>
      <c r="F2628" s="673">
        <f>SUM(C2628*E2628)</f>
        <v>28000</v>
      </c>
      <c r="G2628" s="673">
        <v>500</v>
      </c>
      <c r="H2628" s="673">
        <f>SUM(C2628*G2628)</f>
        <v>1000</v>
      </c>
      <c r="I2628" s="673">
        <f>SUM(F2628+H2628)</f>
        <v>29000</v>
      </c>
      <c r="J2628" s="550"/>
    </row>
    <row r="2629" spans="1:10">
      <c r="A2629" s="966"/>
      <c r="B2629" s="1047" t="s">
        <v>848</v>
      </c>
      <c r="C2629" s="1156">
        <v>66</v>
      </c>
      <c r="D2629" s="968" t="s">
        <v>15</v>
      </c>
      <c r="E2629" s="673">
        <v>250</v>
      </c>
      <c r="F2629" s="673">
        <f>SUM(C2629*E2629)</f>
        <v>16500</v>
      </c>
      <c r="G2629" s="673">
        <v>40</v>
      </c>
      <c r="H2629" s="673">
        <f>SUM(C2629*G2629)</f>
        <v>2640</v>
      </c>
      <c r="I2629" s="673">
        <f>SUM(F2629+H2629)</f>
        <v>19140</v>
      </c>
      <c r="J2629" s="550"/>
    </row>
    <row r="2630" spans="1:10">
      <c r="A2630" s="966"/>
      <c r="B2630" s="1047" t="s">
        <v>849</v>
      </c>
      <c r="C2630" s="1156">
        <v>378</v>
      </c>
      <c r="D2630" s="910" t="s">
        <v>57</v>
      </c>
      <c r="E2630" s="673">
        <v>80</v>
      </c>
      <c r="F2630" s="673">
        <f>SUM(C2630*E2630)</f>
        <v>30240</v>
      </c>
      <c r="G2630" s="673">
        <v>20</v>
      </c>
      <c r="H2630" s="673">
        <f>SUM(C2630*G2630)</f>
        <v>7560</v>
      </c>
      <c r="I2630" s="673">
        <f>SUM(F2630+H2630)</f>
        <v>37800</v>
      </c>
      <c r="J2630" s="550"/>
    </row>
    <row r="2631" spans="1:10">
      <c r="A2631" s="966"/>
      <c r="B2631" s="1047" t="s">
        <v>838</v>
      </c>
      <c r="C2631" s="1156">
        <v>3890</v>
      </c>
      <c r="D2631" s="910" t="s">
        <v>57</v>
      </c>
      <c r="E2631" s="673">
        <v>18</v>
      </c>
      <c r="F2631" s="673">
        <f>SUM(C2631*E2631)</f>
        <v>70020</v>
      </c>
      <c r="G2631" s="673">
        <v>5</v>
      </c>
      <c r="H2631" s="673">
        <f>SUM(C2631*G2631)</f>
        <v>19450</v>
      </c>
      <c r="I2631" s="673">
        <f>SUM(F2631+H2631)</f>
        <v>89470</v>
      </c>
      <c r="J2631" s="550"/>
    </row>
    <row r="2632" spans="1:10">
      <c r="A2632" s="966"/>
      <c r="B2632" s="1047" t="s">
        <v>850</v>
      </c>
      <c r="C2632" s="1156"/>
      <c r="D2632" s="968"/>
      <c r="E2632" s="673"/>
      <c r="F2632" s="673"/>
      <c r="G2632" s="673"/>
      <c r="H2632" s="673"/>
      <c r="I2632" s="673"/>
      <c r="J2632" s="550"/>
    </row>
    <row r="2633" spans="1:10">
      <c r="A2633" s="966"/>
      <c r="B2633" s="1047" t="s">
        <v>851</v>
      </c>
      <c r="C2633" s="1156">
        <v>375</v>
      </c>
      <c r="D2633" s="910" t="s">
        <v>57</v>
      </c>
      <c r="E2633" s="673">
        <v>450</v>
      </c>
      <c r="F2633" s="608">
        <f>SUM(C2633*E2633)</f>
        <v>168750</v>
      </c>
      <c r="G2633" s="608">
        <v>200</v>
      </c>
      <c r="H2633" s="608">
        <f>SUM(C2633*G2633)</f>
        <v>75000</v>
      </c>
      <c r="I2633" s="608">
        <f>SUM(F2633+H2633)</f>
        <v>243750</v>
      </c>
      <c r="J2633" s="550"/>
    </row>
    <row r="2634" spans="1:10">
      <c r="A2634" s="1049"/>
      <c r="B2634" s="1047" t="s">
        <v>841</v>
      </c>
      <c r="C2634" s="1169"/>
      <c r="D2634" s="1050"/>
      <c r="E2634" s="1051"/>
      <c r="F2634" s="1051"/>
      <c r="G2634" s="1051"/>
      <c r="H2634" s="1051"/>
      <c r="I2634" s="1051"/>
      <c r="J2634" s="550"/>
    </row>
    <row r="2635" spans="1:10">
      <c r="A2635" s="1049"/>
      <c r="B2635" s="1047" t="s">
        <v>842</v>
      </c>
      <c r="C2635" s="1169">
        <v>146</v>
      </c>
      <c r="D2635" s="1052" t="s">
        <v>57</v>
      </c>
      <c r="E2635" s="489">
        <v>37</v>
      </c>
      <c r="F2635" s="1053">
        <f>E2635*C2635</f>
        <v>5402</v>
      </c>
      <c r="G2635" s="672">
        <v>24</v>
      </c>
      <c r="H2635" s="1053">
        <f>G2635*C2635</f>
        <v>3504</v>
      </c>
      <c r="I2635" s="1053">
        <f>F2635+H2635</f>
        <v>8906</v>
      </c>
      <c r="J2635" s="550"/>
    </row>
    <row r="2636" spans="1:10">
      <c r="A2636" s="1054"/>
      <c r="B2636" s="1047" t="s">
        <v>843</v>
      </c>
      <c r="C2636" s="1169">
        <v>386</v>
      </c>
      <c r="D2636" s="1052" t="s">
        <v>57</v>
      </c>
      <c r="E2636" s="489">
        <v>26</v>
      </c>
      <c r="F2636" s="1053">
        <f>E2636*C2636</f>
        <v>10036</v>
      </c>
      <c r="G2636" s="672">
        <v>22</v>
      </c>
      <c r="H2636" s="1053">
        <f>G2636*C2636</f>
        <v>8492</v>
      </c>
      <c r="I2636" s="1053">
        <f>F2636+H2636</f>
        <v>18528</v>
      </c>
      <c r="J2636" s="550"/>
    </row>
    <row r="2637" spans="1:10">
      <c r="A2637" s="1049"/>
      <c r="B2637" s="610" t="s">
        <v>726</v>
      </c>
      <c r="C2637" s="1161">
        <v>1</v>
      </c>
      <c r="D2637" s="606" t="s">
        <v>508</v>
      </c>
      <c r="E2637" s="970">
        <f>I2637*0.8</f>
        <v>17920</v>
      </c>
      <c r="F2637" s="673">
        <f>SUM(C2637*E2637)</f>
        <v>17920</v>
      </c>
      <c r="G2637" s="673">
        <f>I2637*0.2</f>
        <v>4480</v>
      </c>
      <c r="H2637" s="673">
        <f>SUM(C2637*G2637)</f>
        <v>4480</v>
      </c>
      <c r="I2637" s="673">
        <f>ROUNDUP(SUM(I2628:I2636)*5%,-2)</f>
        <v>22400</v>
      </c>
      <c r="J2637" s="550"/>
    </row>
    <row r="2638" spans="1:10">
      <c r="A2638" s="600" t="s">
        <v>906</v>
      </c>
      <c r="B2638" s="601" t="s">
        <v>852</v>
      </c>
      <c r="C2638" s="1162"/>
      <c r="D2638" s="574"/>
      <c r="E2638" s="575"/>
      <c r="F2638" s="568"/>
      <c r="G2638" s="568"/>
      <c r="H2638" s="568"/>
      <c r="I2638" s="568"/>
      <c r="J2638" s="569"/>
    </row>
    <row r="2639" spans="1:10">
      <c r="A2639" s="966"/>
      <c r="B2639" s="1047" t="s">
        <v>853</v>
      </c>
      <c r="C2639" s="1156">
        <v>2</v>
      </c>
      <c r="D2639" s="968" t="s">
        <v>15</v>
      </c>
      <c r="E2639" s="673">
        <v>6000</v>
      </c>
      <c r="F2639" s="608">
        <f t="shared" ref="F2639:F2646" si="245">SUM(C2639*E2639)</f>
        <v>12000</v>
      </c>
      <c r="G2639" s="608">
        <v>600</v>
      </c>
      <c r="H2639" s="608">
        <f t="shared" ref="H2639:H2646" si="246">SUM(C2639*G2639)</f>
        <v>1200</v>
      </c>
      <c r="I2639" s="608">
        <f t="shared" ref="I2639:I2646" si="247">SUM(F2639+H2639)</f>
        <v>13200</v>
      </c>
      <c r="J2639" s="550"/>
    </row>
    <row r="2640" spans="1:10">
      <c r="A2640" s="966"/>
      <c r="B2640" s="1047" t="s">
        <v>855</v>
      </c>
      <c r="C2640" s="1156">
        <v>8</v>
      </c>
      <c r="D2640" s="968" t="s">
        <v>15</v>
      </c>
      <c r="E2640" s="673">
        <v>3900</v>
      </c>
      <c r="F2640" s="608">
        <f t="shared" si="245"/>
        <v>31200</v>
      </c>
      <c r="G2640" s="608">
        <v>240</v>
      </c>
      <c r="H2640" s="608">
        <f t="shared" si="246"/>
        <v>1920</v>
      </c>
      <c r="I2640" s="608">
        <f t="shared" si="247"/>
        <v>33120</v>
      </c>
      <c r="J2640" s="676"/>
    </row>
    <row r="2641" spans="1:10">
      <c r="A2641" s="966"/>
      <c r="B2641" s="1047" t="s">
        <v>856</v>
      </c>
      <c r="C2641" s="1156">
        <v>2</v>
      </c>
      <c r="D2641" s="968" t="s">
        <v>15</v>
      </c>
      <c r="E2641" s="673">
        <v>4000</v>
      </c>
      <c r="F2641" s="608">
        <f t="shared" si="245"/>
        <v>8000</v>
      </c>
      <c r="G2641" s="608">
        <v>240</v>
      </c>
      <c r="H2641" s="608">
        <f t="shared" si="246"/>
        <v>480</v>
      </c>
      <c r="I2641" s="608">
        <f t="shared" si="247"/>
        <v>8480</v>
      </c>
      <c r="J2641" s="676"/>
    </row>
    <row r="2642" spans="1:10">
      <c r="A2642" s="966"/>
      <c r="B2642" s="1047" t="s">
        <v>857</v>
      </c>
      <c r="C2642" s="1156">
        <v>8</v>
      </c>
      <c r="D2642" s="968" t="s">
        <v>15</v>
      </c>
      <c r="E2642" s="673">
        <v>2100</v>
      </c>
      <c r="F2642" s="608">
        <f t="shared" si="245"/>
        <v>16800</v>
      </c>
      <c r="G2642" s="608">
        <v>100</v>
      </c>
      <c r="H2642" s="608">
        <f t="shared" si="246"/>
        <v>800</v>
      </c>
      <c r="I2642" s="608">
        <f t="shared" si="247"/>
        <v>17600</v>
      </c>
      <c r="J2642" s="676"/>
    </row>
    <row r="2643" spans="1:10">
      <c r="A2643" s="966"/>
      <c r="B2643" s="1047" t="s">
        <v>858</v>
      </c>
      <c r="C2643" s="1156">
        <v>102</v>
      </c>
      <c r="D2643" s="968" t="s">
        <v>15</v>
      </c>
      <c r="E2643" s="673">
        <v>1400</v>
      </c>
      <c r="F2643" s="608">
        <f t="shared" si="245"/>
        <v>142800</v>
      </c>
      <c r="G2643" s="608">
        <v>100</v>
      </c>
      <c r="H2643" s="608">
        <f t="shared" si="246"/>
        <v>10200</v>
      </c>
      <c r="I2643" s="608">
        <f t="shared" si="247"/>
        <v>153000</v>
      </c>
      <c r="J2643" s="676"/>
    </row>
    <row r="2644" spans="1:10">
      <c r="A2644" s="966"/>
      <c r="B2644" s="1047" t="s">
        <v>859</v>
      </c>
      <c r="C2644" s="1156">
        <v>23</v>
      </c>
      <c r="D2644" s="968" t="s">
        <v>15</v>
      </c>
      <c r="E2644" s="673">
        <v>750</v>
      </c>
      <c r="F2644" s="608">
        <f t="shared" si="245"/>
        <v>17250</v>
      </c>
      <c r="G2644" s="608">
        <v>100</v>
      </c>
      <c r="H2644" s="608">
        <f t="shared" si="246"/>
        <v>2300</v>
      </c>
      <c r="I2644" s="608">
        <f t="shared" si="247"/>
        <v>19550</v>
      </c>
      <c r="J2644" s="676"/>
    </row>
    <row r="2645" spans="1:10">
      <c r="A2645" s="966"/>
      <c r="B2645" s="1047" t="s">
        <v>860</v>
      </c>
      <c r="C2645" s="1156">
        <v>8</v>
      </c>
      <c r="D2645" s="968" t="s">
        <v>15</v>
      </c>
      <c r="E2645" s="673">
        <v>4700</v>
      </c>
      <c r="F2645" s="608">
        <f t="shared" si="245"/>
        <v>37600</v>
      </c>
      <c r="G2645" s="608">
        <v>200</v>
      </c>
      <c r="H2645" s="608">
        <f t="shared" si="246"/>
        <v>1600</v>
      </c>
      <c r="I2645" s="608">
        <f t="shared" si="247"/>
        <v>39200</v>
      </c>
      <c r="J2645" s="676"/>
    </row>
    <row r="2646" spans="1:10">
      <c r="A2646" s="966"/>
      <c r="B2646" s="1047" t="s">
        <v>897</v>
      </c>
      <c r="C2646" s="1156">
        <v>12</v>
      </c>
      <c r="D2646" s="968" t="s">
        <v>15</v>
      </c>
      <c r="E2646" s="673">
        <v>600</v>
      </c>
      <c r="F2646" s="608">
        <f t="shared" si="245"/>
        <v>7200</v>
      </c>
      <c r="G2646" s="608">
        <v>100</v>
      </c>
      <c r="H2646" s="608">
        <f t="shared" si="246"/>
        <v>1200</v>
      </c>
      <c r="I2646" s="608">
        <f t="shared" si="247"/>
        <v>8400</v>
      </c>
      <c r="J2646" s="676"/>
    </row>
    <row r="2647" spans="1:10">
      <c r="A2647" s="966"/>
      <c r="B2647" s="1047" t="s">
        <v>861</v>
      </c>
      <c r="C2647" s="1156"/>
      <c r="D2647" s="978"/>
      <c r="E2647" s="673"/>
      <c r="F2647" s="673"/>
      <c r="G2647" s="673"/>
      <c r="H2647" s="673"/>
      <c r="I2647" s="673"/>
      <c r="J2647" s="676"/>
    </row>
    <row r="2648" spans="1:10">
      <c r="A2648" s="969"/>
      <c r="B2648" s="1047" t="s">
        <v>862</v>
      </c>
      <c r="C2648" s="1156">
        <v>20</v>
      </c>
      <c r="D2648" s="910" t="s">
        <v>57</v>
      </c>
      <c r="E2648" s="673">
        <v>60</v>
      </c>
      <c r="F2648" s="608">
        <f>SUM(C2648*E2648)</f>
        <v>1200</v>
      </c>
      <c r="G2648" s="608">
        <v>5</v>
      </c>
      <c r="H2648" s="608">
        <f>SUM(C2648*G2648)</f>
        <v>100</v>
      </c>
      <c r="I2648" s="608">
        <f>SUM(F2648+H2648)</f>
        <v>1300</v>
      </c>
      <c r="J2648" s="676"/>
    </row>
    <row r="2649" spans="1:10">
      <c r="A2649" s="969"/>
      <c r="B2649" s="1047" t="s">
        <v>863</v>
      </c>
      <c r="C2649" s="1156">
        <v>680</v>
      </c>
      <c r="D2649" s="910" t="s">
        <v>57</v>
      </c>
      <c r="E2649" s="673">
        <v>30</v>
      </c>
      <c r="F2649" s="608">
        <f>SUM(C2649*E2649)</f>
        <v>20400</v>
      </c>
      <c r="G2649" s="608">
        <v>12</v>
      </c>
      <c r="H2649" s="608">
        <f>SUM(C2649*G2649)</f>
        <v>8160</v>
      </c>
      <c r="I2649" s="608">
        <f>SUM(F2649+H2649)</f>
        <v>28560</v>
      </c>
      <c r="J2649" s="676"/>
    </row>
    <row r="2650" spans="1:10">
      <c r="A2650" s="966"/>
      <c r="B2650" s="1047" t="s">
        <v>864</v>
      </c>
      <c r="C2650" s="1156">
        <v>2545</v>
      </c>
      <c r="D2650" s="910" t="s">
        <v>57</v>
      </c>
      <c r="E2650" s="673">
        <v>6</v>
      </c>
      <c r="F2650" s="608">
        <f>SUM(C2650*E2650)</f>
        <v>15270</v>
      </c>
      <c r="G2650" s="608">
        <v>5</v>
      </c>
      <c r="H2650" s="608">
        <f>SUM(C2650*G2650)</f>
        <v>12725</v>
      </c>
      <c r="I2650" s="608">
        <f>SUM(F2650+H2650)</f>
        <v>27995</v>
      </c>
      <c r="J2650" s="676"/>
    </row>
    <row r="2651" spans="1:10">
      <c r="A2651" s="966"/>
      <c r="B2651" s="1047" t="s">
        <v>865</v>
      </c>
      <c r="C2651" s="1156">
        <v>368</v>
      </c>
      <c r="D2651" s="910" t="s">
        <v>57</v>
      </c>
      <c r="E2651" s="673">
        <v>8</v>
      </c>
      <c r="F2651" s="608">
        <f>SUM(C2651*E2651)</f>
        <v>2944</v>
      </c>
      <c r="G2651" s="608">
        <v>3</v>
      </c>
      <c r="H2651" s="608">
        <f>SUM(C2651*G2651)</f>
        <v>1104</v>
      </c>
      <c r="I2651" s="608">
        <f>SUM(F2651+H2651)</f>
        <v>4048</v>
      </c>
      <c r="J2651" s="676"/>
    </row>
    <row r="2652" spans="1:10">
      <c r="A2652" s="969"/>
      <c r="B2652" s="1047" t="s">
        <v>841</v>
      </c>
      <c r="C2652" s="1156"/>
      <c r="D2652" s="978"/>
      <c r="E2652" s="673"/>
      <c r="F2652" s="673"/>
      <c r="G2652" s="673"/>
      <c r="H2652" s="673"/>
      <c r="I2652" s="673"/>
      <c r="J2652" s="676"/>
    </row>
    <row r="2653" spans="1:10">
      <c r="A2653" s="969"/>
      <c r="B2653" s="1047" t="s">
        <v>866</v>
      </c>
      <c r="C2653" s="1156">
        <v>680</v>
      </c>
      <c r="D2653" s="910" t="s">
        <v>57</v>
      </c>
      <c r="E2653" s="489">
        <v>37</v>
      </c>
      <c r="F2653" s="674">
        <f>E2653*C2653</f>
        <v>25160</v>
      </c>
      <c r="G2653" s="672">
        <v>24</v>
      </c>
      <c r="H2653" s="674">
        <f>G2653*C2653</f>
        <v>16320</v>
      </c>
      <c r="I2653" s="674">
        <f>F2653+H2653</f>
        <v>41480</v>
      </c>
      <c r="J2653" s="676"/>
    </row>
    <row r="2654" spans="1:10">
      <c r="A2654" s="969"/>
      <c r="B2654" s="1047" t="s">
        <v>867</v>
      </c>
      <c r="C2654" s="1156">
        <v>1890</v>
      </c>
      <c r="D2654" s="910" t="s">
        <v>57</v>
      </c>
      <c r="E2654" s="489">
        <v>26</v>
      </c>
      <c r="F2654" s="674">
        <f>E2654*C2654</f>
        <v>49140</v>
      </c>
      <c r="G2654" s="672">
        <v>22</v>
      </c>
      <c r="H2654" s="674">
        <f>G2654*C2654</f>
        <v>41580</v>
      </c>
      <c r="I2654" s="674">
        <f>F2654+H2654</f>
        <v>90720</v>
      </c>
      <c r="J2654" s="676"/>
    </row>
    <row r="2655" spans="1:10">
      <c r="A2655" s="969"/>
      <c r="B2655" s="1047" t="s">
        <v>868</v>
      </c>
      <c r="C2655" s="1156"/>
      <c r="D2655" s="978"/>
      <c r="E2655" s="673"/>
      <c r="F2655" s="608"/>
      <c r="G2655" s="608"/>
      <c r="H2655" s="608"/>
      <c r="I2655" s="608"/>
      <c r="J2655" s="676"/>
    </row>
    <row r="2656" spans="1:10">
      <c r="A2656" s="966"/>
      <c r="B2656" s="1047" t="s">
        <v>869</v>
      </c>
      <c r="C2656" s="1156">
        <v>4</v>
      </c>
      <c r="D2656" s="910" t="s">
        <v>57</v>
      </c>
      <c r="E2656" s="673">
        <v>450</v>
      </c>
      <c r="F2656" s="608">
        <f>SUM(C2656*E2656)</f>
        <v>1800</v>
      </c>
      <c r="G2656" s="608">
        <v>200</v>
      </c>
      <c r="H2656" s="608">
        <f>SUM(C2656*G2656)</f>
        <v>800</v>
      </c>
      <c r="I2656" s="608">
        <f>SUM(F2656+H2656)</f>
        <v>2600</v>
      </c>
      <c r="J2656" s="676"/>
    </row>
    <row r="2657" spans="1:10">
      <c r="A2657" s="969"/>
      <c r="B2657" s="653" t="s">
        <v>726</v>
      </c>
      <c r="C2657" s="1170">
        <v>1</v>
      </c>
      <c r="D2657" s="1055" t="s">
        <v>508</v>
      </c>
      <c r="E2657" s="1056">
        <f>I2657*0.8</f>
        <v>19600</v>
      </c>
      <c r="F2657" s="1057">
        <f>SUM(C2657*E2657)</f>
        <v>19600</v>
      </c>
      <c r="G2657" s="1057">
        <f>I2657*0.2</f>
        <v>4900</v>
      </c>
      <c r="H2657" s="1057">
        <f>SUM(C2657*G2657)</f>
        <v>4900</v>
      </c>
      <c r="I2657" s="1057">
        <f>ROUNDUP(SUM(I2639:I2656)*5%,-2)</f>
        <v>24500</v>
      </c>
      <c r="J2657" s="1058"/>
    </row>
    <row r="2658" spans="1:10">
      <c r="A2658" s="600" t="s">
        <v>907</v>
      </c>
      <c r="B2658" s="1059" t="s">
        <v>870</v>
      </c>
      <c r="C2658" s="1163"/>
      <c r="D2658" s="603"/>
      <c r="E2658" s="604"/>
      <c r="F2658" s="571"/>
      <c r="G2658" s="534"/>
      <c r="H2658" s="571"/>
      <c r="I2658" s="571"/>
      <c r="J2658" s="569"/>
    </row>
    <row r="2659" spans="1:10">
      <c r="A2659" s="1060"/>
      <c r="B2659" s="1061" t="s">
        <v>871</v>
      </c>
      <c r="C2659" s="1163"/>
      <c r="D2659" s="603"/>
      <c r="E2659" s="604"/>
      <c r="F2659" s="571"/>
      <c r="G2659" s="534"/>
      <c r="H2659" s="571"/>
      <c r="I2659" s="571"/>
      <c r="J2659" s="571"/>
    </row>
    <row r="2660" spans="1:10">
      <c r="A2660" s="1060"/>
      <c r="B2660" s="1061" t="s">
        <v>872</v>
      </c>
      <c r="C2660" s="1171">
        <v>2</v>
      </c>
      <c r="D2660" s="1062" t="s">
        <v>15</v>
      </c>
      <c r="E2660" s="1063">
        <v>14000</v>
      </c>
      <c r="F2660" s="1063">
        <f>SUM(C2660*E2660)</f>
        <v>28000</v>
      </c>
      <c r="G2660" s="1063">
        <v>500</v>
      </c>
      <c r="H2660" s="1063">
        <f>SUM(C2660*G2660)</f>
        <v>1000</v>
      </c>
      <c r="I2660" s="1063">
        <f>SUM(F2660+H2660)</f>
        <v>29000</v>
      </c>
      <c r="J2660" s="571"/>
    </row>
    <row r="2661" spans="1:10">
      <c r="A2661" s="1060"/>
      <c r="B2661" s="1061" t="s">
        <v>873</v>
      </c>
      <c r="C2661" s="1171">
        <v>396</v>
      </c>
      <c r="D2661" s="1064" t="s">
        <v>57</v>
      </c>
      <c r="E2661" s="1063">
        <v>80</v>
      </c>
      <c r="F2661" s="1057">
        <f>SUM(C2661*E2661)</f>
        <v>31680</v>
      </c>
      <c r="G2661" s="1057">
        <v>20</v>
      </c>
      <c r="H2661" s="1057">
        <f>SUM(C2661*G2661)</f>
        <v>7920</v>
      </c>
      <c r="I2661" s="1057">
        <f>SUM(F2661+H2661)</f>
        <v>39600</v>
      </c>
      <c r="J2661" s="571"/>
    </row>
    <row r="2662" spans="1:10">
      <c r="A2662" s="1060"/>
      <c r="B2662" s="1061" t="s">
        <v>874</v>
      </c>
      <c r="C2662" s="1171">
        <v>792</v>
      </c>
      <c r="D2662" s="1064" t="s">
        <v>57</v>
      </c>
      <c r="E2662" s="1063">
        <v>18</v>
      </c>
      <c r="F2662" s="1057">
        <f>SUM(C2662*E2662)</f>
        <v>14256</v>
      </c>
      <c r="G2662" s="1057">
        <v>5</v>
      </c>
      <c r="H2662" s="1057">
        <f>SUM(C2662*G2662)</f>
        <v>3960</v>
      </c>
      <c r="I2662" s="1057">
        <f>SUM(F2662+H2662)</f>
        <v>18216</v>
      </c>
      <c r="J2662" s="571"/>
    </row>
    <row r="2663" spans="1:10">
      <c r="A2663" s="1060"/>
      <c r="B2663" s="1061" t="s">
        <v>841</v>
      </c>
      <c r="C2663" s="1171"/>
      <c r="D2663" s="1065"/>
      <c r="E2663" s="1063"/>
      <c r="F2663" s="1063"/>
      <c r="G2663" s="1063"/>
      <c r="H2663" s="1063"/>
      <c r="I2663" s="1063"/>
      <c r="J2663" s="571"/>
    </row>
    <row r="2664" spans="1:10">
      <c r="A2664" s="1060"/>
      <c r="B2664" s="1061" t="s">
        <v>875</v>
      </c>
      <c r="C2664" s="1171">
        <v>20</v>
      </c>
      <c r="D2664" s="1064" t="s">
        <v>57</v>
      </c>
      <c r="E2664" s="489">
        <v>53</v>
      </c>
      <c r="F2664" s="1066">
        <f>E2664*C2664</f>
        <v>1060</v>
      </c>
      <c r="G2664" s="1067">
        <v>28</v>
      </c>
      <c r="H2664" s="1066">
        <f>G2664*C2664</f>
        <v>560</v>
      </c>
      <c r="I2664" s="1066">
        <f>F2664+H2664</f>
        <v>1620</v>
      </c>
      <c r="J2664" s="571"/>
    </row>
    <row r="2665" spans="1:10">
      <c r="A2665" s="1068"/>
      <c r="B2665" s="1061" t="s">
        <v>866</v>
      </c>
      <c r="C2665" s="1171">
        <v>220</v>
      </c>
      <c r="D2665" s="1064" t="s">
        <v>57</v>
      </c>
      <c r="E2665" s="489">
        <v>37</v>
      </c>
      <c r="F2665" s="1066">
        <f>E2665*C2665</f>
        <v>8140</v>
      </c>
      <c r="G2665" s="1067">
        <v>24</v>
      </c>
      <c r="H2665" s="1066">
        <f>G2665*C2665</f>
        <v>5280</v>
      </c>
      <c r="I2665" s="1066">
        <f>F2665+H2665</f>
        <v>13420</v>
      </c>
      <c r="J2665" s="1058"/>
    </row>
    <row r="2666" spans="1:10">
      <c r="A2666" s="1068"/>
      <c r="B2666" s="1061" t="s">
        <v>867</v>
      </c>
      <c r="C2666" s="1171">
        <v>153</v>
      </c>
      <c r="D2666" s="1064" t="s">
        <v>57</v>
      </c>
      <c r="E2666" s="489">
        <v>26</v>
      </c>
      <c r="F2666" s="1066">
        <f>E2666*C2666</f>
        <v>3978</v>
      </c>
      <c r="G2666" s="1067">
        <v>22</v>
      </c>
      <c r="H2666" s="1066">
        <f>G2666*C2666</f>
        <v>3366</v>
      </c>
      <c r="I2666" s="1066">
        <f>F2666+H2666</f>
        <v>7344</v>
      </c>
      <c r="J2666" s="571"/>
    </row>
    <row r="2667" spans="1:10">
      <c r="A2667" s="1068"/>
      <c r="B2667" s="1069" t="s">
        <v>726</v>
      </c>
      <c r="C2667" s="1171">
        <v>1</v>
      </c>
      <c r="D2667" s="1070" t="s">
        <v>508</v>
      </c>
      <c r="E2667" s="1071">
        <f>I2667*0.8</f>
        <v>4400</v>
      </c>
      <c r="F2667" s="1072">
        <f>SUM(C2667*E2667)</f>
        <v>4400</v>
      </c>
      <c r="G2667" s="1072">
        <f>I2667*0.2</f>
        <v>1100</v>
      </c>
      <c r="H2667" s="1072">
        <f>SUM(C2667*G2667)</f>
        <v>1100</v>
      </c>
      <c r="I2667" s="1072">
        <f>ROUNDUP(SUM(I2658:I2666)*5%,-2)</f>
        <v>5500</v>
      </c>
      <c r="J2667" s="571"/>
    </row>
    <row r="2668" spans="1:10">
      <c r="A2668" s="602"/>
      <c r="B2668" s="576"/>
      <c r="C2668" s="1171"/>
      <c r="D2668" s="1070"/>
      <c r="E2668" s="1071"/>
      <c r="F2668" s="1072"/>
      <c r="G2668" s="1072"/>
      <c r="H2668" s="1072"/>
      <c r="I2668" s="1072"/>
      <c r="J2668" s="571"/>
    </row>
    <row r="2669" spans="1:10">
      <c r="A2669" s="1073">
        <v>5.5</v>
      </c>
      <c r="B2669" s="1074" t="s">
        <v>908</v>
      </c>
      <c r="C2669" s="1075"/>
      <c r="D2669" s="486"/>
      <c r="E2669" s="1076"/>
      <c r="F2669" s="1077"/>
      <c r="G2669" s="1078"/>
      <c r="H2669" s="1079"/>
      <c r="I2669" s="1079"/>
      <c r="J2669" s="565"/>
    </row>
    <row r="2670" spans="1:10">
      <c r="A2670" s="496" t="s">
        <v>909</v>
      </c>
      <c r="B2670" s="1080" t="s">
        <v>728</v>
      </c>
      <c r="C2670" s="1081"/>
      <c r="D2670" s="1082"/>
      <c r="E2670" s="1081"/>
      <c r="F2670" s="1083"/>
      <c r="G2670" s="1084"/>
      <c r="H2670" s="1083"/>
      <c r="I2670" s="1083"/>
      <c r="J2670" s="558"/>
    </row>
    <row r="2671" spans="1:10">
      <c r="A2671" s="502"/>
      <c r="B2671" s="1085" t="s">
        <v>1148</v>
      </c>
      <c r="C2671" s="1081">
        <v>1</v>
      </c>
      <c r="D2671" s="510" t="s">
        <v>15</v>
      </c>
      <c r="E2671" s="1088">
        <v>53900</v>
      </c>
      <c r="F2671" s="1086">
        <f t="shared" ref="F2671:F2676" si="248">E2671*C2671</f>
        <v>53900</v>
      </c>
      <c r="G2671" s="1087">
        <v>2500</v>
      </c>
      <c r="H2671" s="1086">
        <f t="shared" ref="H2671:H2676" si="249">G2671*C2671</f>
        <v>2500</v>
      </c>
      <c r="I2671" s="1086">
        <f t="shared" ref="I2671:I2676" si="250">F2671+H2671</f>
        <v>56400</v>
      </c>
      <c r="J2671" s="558"/>
    </row>
    <row r="2672" spans="1:10">
      <c r="A2672" s="502"/>
      <c r="B2672" s="1085" t="s">
        <v>1158</v>
      </c>
      <c r="C2672" s="1081">
        <v>1</v>
      </c>
      <c r="D2672" s="510" t="s">
        <v>15</v>
      </c>
      <c r="E2672" s="1088">
        <v>36940</v>
      </c>
      <c r="F2672" s="1086">
        <f t="shared" si="248"/>
        <v>36940</v>
      </c>
      <c r="G2672" s="1087">
        <v>1000</v>
      </c>
      <c r="H2672" s="1086">
        <f t="shared" si="249"/>
        <v>1000</v>
      </c>
      <c r="I2672" s="1086">
        <f t="shared" si="250"/>
        <v>37940</v>
      </c>
      <c r="J2672" s="558"/>
    </row>
    <row r="2673" spans="1:10">
      <c r="A2673" s="502"/>
      <c r="B2673" s="1085" t="s">
        <v>1159</v>
      </c>
      <c r="C2673" s="1081">
        <v>1</v>
      </c>
      <c r="D2673" s="510" t="s">
        <v>15</v>
      </c>
      <c r="E2673" s="1088">
        <v>39680</v>
      </c>
      <c r="F2673" s="1086">
        <f t="shared" si="248"/>
        <v>39680</v>
      </c>
      <c r="G2673" s="1087">
        <v>1000</v>
      </c>
      <c r="H2673" s="1086">
        <f t="shared" si="249"/>
        <v>1000</v>
      </c>
      <c r="I2673" s="1086">
        <f t="shared" si="250"/>
        <v>40680</v>
      </c>
      <c r="J2673" s="558"/>
    </row>
    <row r="2674" spans="1:10">
      <c r="A2674" s="502"/>
      <c r="B2674" s="1085" t="s">
        <v>1160</v>
      </c>
      <c r="C2674" s="1081">
        <v>1</v>
      </c>
      <c r="D2674" s="510" t="s">
        <v>15</v>
      </c>
      <c r="E2674" s="1088">
        <v>33680</v>
      </c>
      <c r="F2674" s="1086">
        <f t="shared" si="248"/>
        <v>33680</v>
      </c>
      <c r="G2674" s="1087">
        <v>1000</v>
      </c>
      <c r="H2674" s="1086">
        <f t="shared" si="249"/>
        <v>1000</v>
      </c>
      <c r="I2674" s="1086">
        <f t="shared" si="250"/>
        <v>34680</v>
      </c>
      <c r="J2674" s="558"/>
    </row>
    <row r="2675" spans="1:10">
      <c r="A2675" s="502"/>
      <c r="B2675" s="1085" t="s">
        <v>1161</v>
      </c>
      <c r="C2675" s="1081">
        <v>1</v>
      </c>
      <c r="D2675" s="510" t="s">
        <v>15</v>
      </c>
      <c r="E2675" s="1088">
        <v>43630</v>
      </c>
      <c r="F2675" s="1086">
        <f t="shared" si="248"/>
        <v>43630</v>
      </c>
      <c r="G2675" s="1087">
        <v>1000</v>
      </c>
      <c r="H2675" s="1086">
        <f t="shared" si="249"/>
        <v>1000</v>
      </c>
      <c r="I2675" s="1086">
        <f t="shared" si="250"/>
        <v>44630</v>
      </c>
      <c r="J2675" s="558"/>
    </row>
    <row r="2676" spans="1:10">
      <c r="A2676" s="502"/>
      <c r="B2676" s="1085" t="s">
        <v>1168</v>
      </c>
      <c r="C2676" s="1081">
        <v>1</v>
      </c>
      <c r="D2676" s="510" t="s">
        <v>15</v>
      </c>
      <c r="E2676" s="1088">
        <v>37470</v>
      </c>
      <c r="F2676" s="1086">
        <f t="shared" si="248"/>
        <v>37470</v>
      </c>
      <c r="G2676" s="1087">
        <v>1000</v>
      </c>
      <c r="H2676" s="1086">
        <f t="shared" si="249"/>
        <v>1000</v>
      </c>
      <c r="I2676" s="1086">
        <f t="shared" si="250"/>
        <v>38470</v>
      </c>
      <c r="J2676" s="558"/>
    </row>
    <row r="2677" spans="1:10">
      <c r="A2677" s="502"/>
      <c r="B2677" s="1085" t="s">
        <v>667</v>
      </c>
      <c r="C2677" s="1081">
        <v>1</v>
      </c>
      <c r="D2677" s="1089" t="s">
        <v>508</v>
      </c>
      <c r="E2677" s="1090">
        <f>I2677*0.8</f>
        <v>10160</v>
      </c>
      <c r="F2677" s="1091">
        <f>C2677*E2677</f>
        <v>10160</v>
      </c>
      <c r="G2677" s="1091">
        <f>I2677*0.2</f>
        <v>2540</v>
      </c>
      <c r="H2677" s="1086">
        <f>C2677*G2677</f>
        <v>2540</v>
      </c>
      <c r="I2677" s="1086">
        <f>ROUNDUP(SUM(I2671:I2676)*5%,-2)</f>
        <v>12700</v>
      </c>
      <c r="J2677" s="558"/>
    </row>
    <row r="2678" spans="1:10">
      <c r="A2678" s="496" t="s">
        <v>910</v>
      </c>
      <c r="B2678" s="1080" t="s">
        <v>762</v>
      </c>
      <c r="C2678" s="1081"/>
      <c r="D2678" s="1082"/>
      <c r="E2678" s="1081"/>
      <c r="F2678" s="1083"/>
      <c r="G2678" s="1084"/>
      <c r="H2678" s="1083"/>
      <c r="I2678" s="1083"/>
      <c r="J2678" s="558"/>
    </row>
    <row r="2679" spans="1:10">
      <c r="A2679" s="502"/>
      <c r="B2679" s="1085" t="s">
        <v>768</v>
      </c>
      <c r="C2679" s="1081">
        <v>9</v>
      </c>
      <c r="D2679" s="510" t="s">
        <v>15</v>
      </c>
      <c r="E2679" s="1088">
        <v>950</v>
      </c>
      <c r="F2679" s="1086">
        <f>E2679*C2679</f>
        <v>8550</v>
      </c>
      <c r="G2679" s="1087">
        <v>150</v>
      </c>
      <c r="H2679" s="1086">
        <f>G2679*C2679</f>
        <v>1350</v>
      </c>
      <c r="I2679" s="1086">
        <f>F2679+H2679</f>
        <v>9900</v>
      </c>
      <c r="J2679" s="558"/>
    </row>
    <row r="2680" spans="1:10">
      <c r="A2680" s="502"/>
      <c r="B2680" s="1085" t="s">
        <v>769</v>
      </c>
      <c r="C2680" s="1081">
        <v>2</v>
      </c>
      <c r="D2680" s="510" t="s">
        <v>15</v>
      </c>
      <c r="E2680" s="1088">
        <v>750</v>
      </c>
      <c r="F2680" s="1086">
        <f>E2680*C2680</f>
        <v>1500</v>
      </c>
      <c r="G2680" s="1087">
        <v>115</v>
      </c>
      <c r="H2680" s="1086">
        <f>G2680*C2680</f>
        <v>230</v>
      </c>
      <c r="I2680" s="1086">
        <f>F2680+H2680</f>
        <v>1730</v>
      </c>
      <c r="J2680" s="558"/>
    </row>
    <row r="2681" spans="1:10">
      <c r="A2681" s="502"/>
      <c r="B2681" s="1085" t="s">
        <v>774</v>
      </c>
      <c r="C2681" s="1081">
        <v>11</v>
      </c>
      <c r="D2681" s="510" t="s">
        <v>15</v>
      </c>
      <c r="E2681" s="1088">
        <v>6500</v>
      </c>
      <c r="F2681" s="1086">
        <f>E2681*C2681</f>
        <v>71500</v>
      </c>
      <c r="G2681" s="1087">
        <v>300</v>
      </c>
      <c r="H2681" s="1086">
        <f>G2681*C2681</f>
        <v>3300</v>
      </c>
      <c r="I2681" s="1086">
        <f>F2681+H2681</f>
        <v>74800</v>
      </c>
      <c r="J2681" s="558"/>
    </row>
    <row r="2682" spans="1:10">
      <c r="A2682" s="502"/>
      <c r="B2682" s="1085" t="s">
        <v>667</v>
      </c>
      <c r="C2682" s="1081">
        <v>1</v>
      </c>
      <c r="D2682" s="1089" t="s">
        <v>508</v>
      </c>
      <c r="E2682" s="1090">
        <f>I2682*0.8</f>
        <v>3520</v>
      </c>
      <c r="F2682" s="1091">
        <f>C2682*E2682</f>
        <v>3520</v>
      </c>
      <c r="G2682" s="1091">
        <f>I2682*0.2</f>
        <v>880</v>
      </c>
      <c r="H2682" s="1086">
        <f>C2682*G2682</f>
        <v>880</v>
      </c>
      <c r="I2682" s="1086">
        <f>ROUNDUP(SUM(I2679:I2681)*5%,-2)</f>
        <v>4400</v>
      </c>
      <c r="J2682" s="558"/>
    </row>
    <row r="2683" spans="1:10">
      <c r="A2683" s="496" t="s">
        <v>911</v>
      </c>
      <c r="B2683" s="1080" t="s">
        <v>776</v>
      </c>
      <c r="C2683" s="1081"/>
      <c r="D2683" s="1082"/>
      <c r="E2683" s="1081"/>
      <c r="F2683" s="1083"/>
      <c r="G2683" s="1084"/>
      <c r="H2683" s="1083"/>
      <c r="I2683" s="1083"/>
      <c r="J2683" s="558"/>
    </row>
    <row r="2684" spans="1:10">
      <c r="A2684" s="502"/>
      <c r="B2684" s="1085" t="s">
        <v>778</v>
      </c>
      <c r="C2684" s="1081">
        <v>45</v>
      </c>
      <c r="D2684" s="1094" t="s">
        <v>57</v>
      </c>
      <c r="E2684" s="489">
        <v>414</v>
      </c>
      <c r="F2684" s="1086">
        <f>E2684*C2684</f>
        <v>18630</v>
      </c>
      <c r="G2684" s="1067">
        <v>65</v>
      </c>
      <c r="H2684" s="1086">
        <f>G2684*C2684</f>
        <v>2925</v>
      </c>
      <c r="I2684" s="1086">
        <f>F2684+H2684</f>
        <v>21555</v>
      </c>
      <c r="J2684" s="558"/>
    </row>
    <row r="2685" spans="1:10">
      <c r="A2685" s="502"/>
      <c r="B2685" s="1085" t="s">
        <v>779</v>
      </c>
      <c r="C2685" s="1081">
        <v>30</v>
      </c>
      <c r="D2685" s="1094" t="s">
        <v>57</v>
      </c>
      <c r="E2685" s="489">
        <v>335</v>
      </c>
      <c r="F2685" s="1086">
        <f>E2685*C2685</f>
        <v>10050</v>
      </c>
      <c r="G2685" s="1067">
        <v>55</v>
      </c>
      <c r="H2685" s="1086">
        <f>G2685*C2685</f>
        <v>1650</v>
      </c>
      <c r="I2685" s="1086">
        <f>F2685+H2685</f>
        <v>11700</v>
      </c>
      <c r="J2685" s="558"/>
    </row>
    <row r="2686" spans="1:10">
      <c r="A2686" s="502"/>
      <c r="B2686" s="1085" t="s">
        <v>782</v>
      </c>
      <c r="C2686" s="1081">
        <v>110</v>
      </c>
      <c r="D2686" s="1094" t="s">
        <v>57</v>
      </c>
      <c r="E2686" s="489">
        <v>54</v>
      </c>
      <c r="F2686" s="1086">
        <f>E2686*C2686</f>
        <v>5940</v>
      </c>
      <c r="G2686" s="1067">
        <v>26</v>
      </c>
      <c r="H2686" s="1086">
        <f>G2686*C2686</f>
        <v>2860</v>
      </c>
      <c r="I2686" s="1086">
        <f>F2686+H2686</f>
        <v>8800</v>
      </c>
      <c r="J2686" s="558"/>
    </row>
    <row r="2687" spans="1:10">
      <c r="A2687" s="502"/>
      <c r="B2687" s="1085" t="s">
        <v>788</v>
      </c>
      <c r="C2687" s="1081">
        <v>125</v>
      </c>
      <c r="D2687" s="1094" t="s">
        <v>57</v>
      </c>
      <c r="E2687" s="489">
        <v>26</v>
      </c>
      <c r="F2687" s="1086">
        <f>E2687*C2687</f>
        <v>3250</v>
      </c>
      <c r="G2687" s="1067">
        <v>22</v>
      </c>
      <c r="H2687" s="1086">
        <f>G2687*C2687</f>
        <v>2750</v>
      </c>
      <c r="I2687" s="1086">
        <f>F2687+H2687</f>
        <v>6000</v>
      </c>
      <c r="J2687" s="558"/>
    </row>
    <row r="2688" spans="1:10">
      <c r="A2688" s="502"/>
      <c r="B2688" s="1085" t="s">
        <v>791</v>
      </c>
      <c r="C2688" s="1081">
        <v>1</v>
      </c>
      <c r="D2688" s="1089" t="s">
        <v>508</v>
      </c>
      <c r="E2688" s="1090">
        <f>I2688*0.8</f>
        <v>3920</v>
      </c>
      <c r="F2688" s="1091">
        <f>C2688*E2688</f>
        <v>3920</v>
      </c>
      <c r="G2688" s="1091">
        <f>I2688*0.2</f>
        <v>980</v>
      </c>
      <c r="H2688" s="1086">
        <f>C2688*G2688</f>
        <v>980</v>
      </c>
      <c r="I2688" s="1086">
        <f>ROUNDUP(SUM(I2684:I2687)*10%,-2)</f>
        <v>4900</v>
      </c>
      <c r="J2688" s="558"/>
    </row>
    <row r="2689" spans="1:10">
      <c r="A2689" s="502"/>
      <c r="B2689" s="1085" t="s">
        <v>667</v>
      </c>
      <c r="C2689" s="1081">
        <v>1</v>
      </c>
      <c r="D2689" s="1089" t="s">
        <v>508</v>
      </c>
      <c r="E2689" s="1090">
        <f>I2689*0.8</f>
        <v>2160</v>
      </c>
      <c r="F2689" s="1091">
        <f>C2689*E2689</f>
        <v>2160</v>
      </c>
      <c r="G2689" s="1091">
        <f>I2689*0.2</f>
        <v>540</v>
      </c>
      <c r="H2689" s="1086">
        <f>C2689*G2689</f>
        <v>540</v>
      </c>
      <c r="I2689" s="1086">
        <f>ROUNDUP(SUM(I2684:I2688)*5%,-2)</f>
        <v>2700</v>
      </c>
      <c r="J2689" s="558"/>
    </row>
    <row r="2690" spans="1:10">
      <c r="A2690" s="496" t="s">
        <v>912</v>
      </c>
      <c r="B2690" s="1080" t="s">
        <v>793</v>
      </c>
      <c r="C2690" s="1081"/>
      <c r="D2690" s="1082"/>
      <c r="E2690" s="1081"/>
      <c r="F2690" s="1083"/>
      <c r="G2690" s="1084"/>
      <c r="H2690" s="1083"/>
      <c r="I2690" s="1083"/>
      <c r="J2690" s="558"/>
    </row>
    <row r="2691" spans="1:10">
      <c r="A2691" s="502"/>
      <c r="B2691" s="1085" t="s">
        <v>798</v>
      </c>
      <c r="C2691" s="1081">
        <v>180</v>
      </c>
      <c r="D2691" s="1094" t="s">
        <v>57</v>
      </c>
      <c r="E2691" s="489">
        <v>409</v>
      </c>
      <c r="F2691" s="1086">
        <f>E2691*C2691</f>
        <v>73620</v>
      </c>
      <c r="G2691" s="1067">
        <v>60</v>
      </c>
      <c r="H2691" s="1086">
        <f>G2691*C2691</f>
        <v>10800</v>
      </c>
      <c r="I2691" s="1086">
        <f>F2691+H2691</f>
        <v>84420</v>
      </c>
      <c r="J2691" s="558"/>
    </row>
    <row r="2692" spans="1:10">
      <c r="A2692" s="502"/>
      <c r="B2692" s="1085" t="s">
        <v>799</v>
      </c>
      <c r="C2692" s="1081">
        <v>20</v>
      </c>
      <c r="D2692" s="1094" t="s">
        <v>57</v>
      </c>
      <c r="E2692" s="489">
        <v>323</v>
      </c>
      <c r="F2692" s="1086">
        <f>E2692*C2692</f>
        <v>6460</v>
      </c>
      <c r="G2692" s="1067">
        <v>55</v>
      </c>
      <c r="H2692" s="1086">
        <f>G2692*C2692</f>
        <v>1100</v>
      </c>
      <c r="I2692" s="1086">
        <f>F2692+H2692</f>
        <v>7560</v>
      </c>
      <c r="J2692" s="558"/>
    </row>
    <row r="2693" spans="1:10">
      <c r="A2693" s="502"/>
      <c r="B2693" s="1085" t="s">
        <v>800</v>
      </c>
      <c r="C2693" s="1081">
        <v>100</v>
      </c>
      <c r="D2693" s="1094" t="s">
        <v>57</v>
      </c>
      <c r="E2693" s="489">
        <v>235</v>
      </c>
      <c r="F2693" s="1086">
        <f>E2693*C2693</f>
        <v>23500</v>
      </c>
      <c r="G2693" s="1067">
        <v>45</v>
      </c>
      <c r="H2693" s="1086">
        <f>G2693*C2693</f>
        <v>4500</v>
      </c>
      <c r="I2693" s="1086">
        <f>F2693+H2693</f>
        <v>28000</v>
      </c>
      <c r="J2693" s="558"/>
    </row>
    <row r="2694" spans="1:10">
      <c r="A2694" s="502"/>
      <c r="B2694" s="1085" t="s">
        <v>803</v>
      </c>
      <c r="C2694" s="1081">
        <v>75</v>
      </c>
      <c r="D2694" s="1094" t="s">
        <v>57</v>
      </c>
      <c r="E2694" s="489">
        <v>55</v>
      </c>
      <c r="F2694" s="1086">
        <f>E2694*C2694</f>
        <v>4125</v>
      </c>
      <c r="G2694" s="1067">
        <v>20</v>
      </c>
      <c r="H2694" s="1086">
        <f>G2694*C2694</f>
        <v>1500</v>
      </c>
      <c r="I2694" s="1086">
        <f>F2694+H2694</f>
        <v>5625</v>
      </c>
      <c r="J2694" s="558"/>
    </row>
    <row r="2695" spans="1:10">
      <c r="A2695" s="502"/>
      <c r="B2695" s="1085" t="s">
        <v>807</v>
      </c>
      <c r="C2695" s="1081">
        <v>690</v>
      </c>
      <c r="D2695" s="1094" t="s">
        <v>57</v>
      </c>
      <c r="E2695" s="489">
        <v>9</v>
      </c>
      <c r="F2695" s="1086">
        <f>E2695*C2695</f>
        <v>6210</v>
      </c>
      <c r="G2695" s="1067">
        <v>7</v>
      </c>
      <c r="H2695" s="1086">
        <f>G2695*C2695</f>
        <v>4830</v>
      </c>
      <c r="I2695" s="1086">
        <f>F2695+H2695</f>
        <v>11040</v>
      </c>
      <c r="J2695" s="558"/>
    </row>
    <row r="2696" spans="1:10">
      <c r="A2696" s="502"/>
      <c r="B2696" s="1085" t="s">
        <v>667</v>
      </c>
      <c r="C2696" s="1081">
        <v>1</v>
      </c>
      <c r="D2696" s="1089" t="s">
        <v>508</v>
      </c>
      <c r="E2696" s="1090">
        <f>I2696*0.8</f>
        <v>5520</v>
      </c>
      <c r="F2696" s="1091">
        <f>C2696*E2696</f>
        <v>5520</v>
      </c>
      <c r="G2696" s="1091">
        <f>I2696*0.2</f>
        <v>1380</v>
      </c>
      <c r="H2696" s="1086">
        <f>C2696*G2696</f>
        <v>1380</v>
      </c>
      <c r="I2696" s="1086">
        <f>ROUNDUP(SUM(I2691:I2695)*5%,-2)</f>
        <v>6900</v>
      </c>
      <c r="J2696" s="558"/>
    </row>
    <row r="2697" spans="1:10">
      <c r="A2697" s="496" t="s">
        <v>913</v>
      </c>
      <c r="B2697" s="1080" t="s">
        <v>811</v>
      </c>
      <c r="C2697" s="1081"/>
      <c r="D2697" s="1082"/>
      <c r="E2697" s="1081"/>
      <c r="F2697" s="1083"/>
      <c r="G2697" s="1084"/>
      <c r="H2697" s="1083"/>
      <c r="I2697" s="1083"/>
      <c r="J2697" s="558"/>
    </row>
    <row r="2698" spans="1:10">
      <c r="A2698" s="502"/>
      <c r="B2698" s="1085" t="s">
        <v>812</v>
      </c>
      <c r="C2698" s="1081">
        <v>11</v>
      </c>
      <c r="D2698" s="510" t="s">
        <v>15</v>
      </c>
      <c r="E2698" s="489">
        <v>57</v>
      </c>
      <c r="F2698" s="1086">
        <f>E2698*C2698</f>
        <v>627</v>
      </c>
      <c r="G2698" s="1067">
        <v>80</v>
      </c>
      <c r="H2698" s="1086">
        <f>G2698*C2698</f>
        <v>880</v>
      </c>
      <c r="I2698" s="1086">
        <f>F2698+H2698</f>
        <v>1507</v>
      </c>
      <c r="J2698" s="558"/>
    </row>
    <row r="2699" spans="1:10">
      <c r="A2699" s="502"/>
      <c r="B2699" s="1085" t="s">
        <v>815</v>
      </c>
      <c r="C2699" s="1081">
        <v>2</v>
      </c>
      <c r="D2699" s="510" t="s">
        <v>15</v>
      </c>
      <c r="E2699" s="489">
        <v>115</v>
      </c>
      <c r="F2699" s="1086">
        <f>E2699*C2699</f>
        <v>230</v>
      </c>
      <c r="G2699" s="1067">
        <v>90</v>
      </c>
      <c r="H2699" s="1086">
        <f>G2699*C2699</f>
        <v>180</v>
      </c>
      <c r="I2699" s="1086">
        <f>F2699+H2699</f>
        <v>410</v>
      </c>
      <c r="J2699" s="558"/>
    </row>
    <row r="2700" spans="1:10">
      <c r="A2700" s="502"/>
      <c r="B2700" s="1085" t="s">
        <v>816</v>
      </c>
      <c r="C2700" s="1081">
        <v>5</v>
      </c>
      <c r="D2700" s="510" t="s">
        <v>15</v>
      </c>
      <c r="E2700" s="489">
        <v>170</v>
      </c>
      <c r="F2700" s="1086">
        <f>E2700*C2700</f>
        <v>850</v>
      </c>
      <c r="G2700" s="1067">
        <v>90</v>
      </c>
      <c r="H2700" s="1086">
        <f>G2700*C2700</f>
        <v>450</v>
      </c>
      <c r="I2700" s="1086">
        <f>F2700+H2700</f>
        <v>1300</v>
      </c>
      <c r="J2700" s="558"/>
    </row>
    <row r="2701" spans="1:10">
      <c r="A2701" s="502"/>
      <c r="B2701" s="1085" t="s">
        <v>818</v>
      </c>
      <c r="C2701" s="1081">
        <v>5</v>
      </c>
      <c r="D2701" s="510" t="s">
        <v>15</v>
      </c>
      <c r="E2701" s="489">
        <v>2600</v>
      </c>
      <c r="F2701" s="1086">
        <f>E2701*C2701</f>
        <v>13000</v>
      </c>
      <c r="G2701" s="1067">
        <v>240</v>
      </c>
      <c r="H2701" s="1086">
        <f>G2701*C2701</f>
        <v>1200</v>
      </c>
      <c r="I2701" s="1086">
        <f>F2701+H2701</f>
        <v>14200</v>
      </c>
      <c r="J2701" s="558"/>
    </row>
    <row r="2702" spans="1:10">
      <c r="A2702" s="502"/>
      <c r="B2702" s="1085" t="s">
        <v>667</v>
      </c>
      <c r="C2702" s="1081">
        <v>1</v>
      </c>
      <c r="D2702" s="1089" t="s">
        <v>508</v>
      </c>
      <c r="E2702" s="1090">
        <f>I2702*0.8</f>
        <v>720</v>
      </c>
      <c r="F2702" s="1091">
        <f>C2702*E2702</f>
        <v>720</v>
      </c>
      <c r="G2702" s="1091">
        <f>I2702*0.2</f>
        <v>180</v>
      </c>
      <c r="H2702" s="1086">
        <f>C2702*G2702</f>
        <v>180</v>
      </c>
      <c r="I2702" s="1086">
        <f>ROUNDUP(SUM(I2698:I2701)*5%,-2)</f>
        <v>900</v>
      </c>
      <c r="J2702" s="558"/>
    </row>
    <row r="2703" spans="1:10">
      <c r="A2703" s="502"/>
      <c r="B2703" s="1085"/>
      <c r="C2703" s="1081"/>
      <c r="D2703" s="1095"/>
      <c r="E2703" s="1090"/>
      <c r="F2703" s="1091"/>
      <c r="G2703" s="1096"/>
      <c r="H2703" s="1086"/>
      <c r="I2703" s="1086"/>
      <c r="J2703" s="558"/>
    </row>
    <row r="2704" spans="1:10">
      <c r="A2704" s="832"/>
      <c r="B2704" s="838" t="s">
        <v>1268</v>
      </c>
      <c r="C2704" s="834"/>
      <c r="D2704" s="835"/>
      <c r="E2704" s="836"/>
      <c r="F2704" s="839">
        <f>SUM(F2226:F2703)</f>
        <v>29266409</v>
      </c>
      <c r="G2704" s="839"/>
      <c r="H2704" s="839">
        <f>SUM(H2226:H2703)</f>
        <v>4965491</v>
      </c>
      <c r="I2704" s="839">
        <f>SUM(I2226:I2703)</f>
        <v>34231900</v>
      </c>
      <c r="J2704" s="839"/>
    </row>
    <row r="2705" spans="1:10">
      <c r="A2705" s="502"/>
      <c r="B2705" s="1085"/>
      <c r="C2705" s="1081"/>
      <c r="D2705" s="1095"/>
      <c r="E2705" s="1090"/>
      <c r="F2705" s="1091"/>
      <c r="G2705" s="1096"/>
      <c r="H2705" s="1086"/>
      <c r="I2705" s="1086"/>
      <c r="J2705" s="558"/>
    </row>
    <row r="2706" spans="1:10">
      <c r="A2706" s="496">
        <v>5.6</v>
      </c>
      <c r="B2706" s="1097" t="s">
        <v>1169</v>
      </c>
      <c r="C2706" s="1081"/>
      <c r="D2706" s="1092"/>
      <c r="E2706" s="1088"/>
      <c r="F2706" s="1086"/>
      <c r="G2706" s="1093"/>
      <c r="H2706" s="1086"/>
      <c r="I2706" s="1086"/>
      <c r="J2706" s="558"/>
    </row>
    <row r="2707" spans="1:10">
      <c r="A2707" s="496" t="s">
        <v>1251</v>
      </c>
      <c r="B2707" s="1080" t="s">
        <v>728</v>
      </c>
      <c r="C2707" s="1081"/>
      <c r="D2707" s="1082"/>
      <c r="E2707" s="1081"/>
      <c r="F2707" s="1083"/>
      <c r="G2707" s="1084"/>
      <c r="H2707" s="1083"/>
      <c r="I2707" s="1083"/>
      <c r="J2707" s="558"/>
    </row>
    <row r="2708" spans="1:10">
      <c r="A2708" s="502"/>
      <c r="B2708" s="1085" t="s">
        <v>915</v>
      </c>
      <c r="C2708" s="1081">
        <v>1</v>
      </c>
      <c r="D2708" s="510" t="s">
        <v>15</v>
      </c>
      <c r="E2708" s="1088">
        <v>14240</v>
      </c>
      <c r="F2708" s="1086">
        <f>E2708*C2708</f>
        <v>14240</v>
      </c>
      <c r="G2708" s="1087">
        <v>1000</v>
      </c>
      <c r="H2708" s="1086">
        <f>G2708*C2708</f>
        <v>1000</v>
      </c>
      <c r="I2708" s="1086">
        <f>F2708+H2708</f>
        <v>15240</v>
      </c>
      <c r="J2708" s="558"/>
    </row>
    <row r="2709" spans="1:10">
      <c r="A2709" s="502"/>
      <c r="B2709" s="1085" t="s">
        <v>916</v>
      </c>
      <c r="C2709" s="1081">
        <v>1</v>
      </c>
      <c r="D2709" s="510" t="s">
        <v>15</v>
      </c>
      <c r="E2709" s="1088">
        <v>16710</v>
      </c>
      <c r="F2709" s="1086">
        <f>E2709*C2709</f>
        <v>16710</v>
      </c>
      <c r="G2709" s="1087">
        <v>1000</v>
      </c>
      <c r="H2709" s="1086">
        <f>G2709*C2709</f>
        <v>1000</v>
      </c>
      <c r="I2709" s="1086">
        <f>F2709+H2709</f>
        <v>17710</v>
      </c>
      <c r="J2709" s="558"/>
    </row>
    <row r="2710" spans="1:10">
      <c r="A2710" s="502"/>
      <c r="B2710" s="1085" t="s">
        <v>917</v>
      </c>
      <c r="C2710" s="1081">
        <v>1</v>
      </c>
      <c r="D2710" s="510" t="s">
        <v>15</v>
      </c>
      <c r="E2710" s="1088">
        <v>16210</v>
      </c>
      <c r="F2710" s="1086">
        <f>E2710*C2710</f>
        <v>16210</v>
      </c>
      <c r="G2710" s="1087">
        <v>1000</v>
      </c>
      <c r="H2710" s="1086">
        <f>G2710*C2710</f>
        <v>1000</v>
      </c>
      <c r="I2710" s="1086">
        <f>F2710+H2710</f>
        <v>17210</v>
      </c>
      <c r="J2710" s="558"/>
    </row>
    <row r="2711" spans="1:10">
      <c r="A2711" s="502"/>
      <c r="B2711" s="1085" t="s">
        <v>667</v>
      </c>
      <c r="C2711" s="1081">
        <v>1</v>
      </c>
      <c r="D2711" s="1089" t="s">
        <v>508</v>
      </c>
      <c r="E2711" s="1090">
        <f>I2711*0.8</f>
        <v>2080</v>
      </c>
      <c r="F2711" s="1091">
        <f>C2711*E2711</f>
        <v>2080</v>
      </c>
      <c r="G2711" s="1091">
        <f>I2711*0.2</f>
        <v>520</v>
      </c>
      <c r="H2711" s="1086">
        <f>C2711*G2711</f>
        <v>520</v>
      </c>
      <c r="I2711" s="1086">
        <f>ROUNDUP(SUM(I2708:I2710)*5%,-2)</f>
        <v>2600</v>
      </c>
      <c r="J2711" s="558"/>
    </row>
    <row r="2712" spans="1:10">
      <c r="A2712" s="496" t="s">
        <v>1252</v>
      </c>
      <c r="B2712" s="1080" t="s">
        <v>762</v>
      </c>
      <c r="C2712" s="1081"/>
      <c r="D2712" s="1082"/>
      <c r="E2712" s="1081"/>
      <c r="F2712" s="1083"/>
      <c r="G2712" s="1084"/>
      <c r="H2712" s="1083"/>
      <c r="I2712" s="1083"/>
      <c r="J2712" s="558"/>
    </row>
    <row r="2713" spans="1:10">
      <c r="A2713" s="502"/>
      <c r="B2713" s="1085" t="s">
        <v>763</v>
      </c>
      <c r="C2713" s="1081">
        <v>72</v>
      </c>
      <c r="D2713" s="510" t="s">
        <v>15</v>
      </c>
      <c r="E2713" s="1088">
        <v>3500</v>
      </c>
      <c r="F2713" s="1086">
        <f t="shared" ref="F2713:F2718" si="251">E2713*C2713</f>
        <v>252000</v>
      </c>
      <c r="G2713" s="1087">
        <v>200</v>
      </c>
      <c r="H2713" s="1086">
        <f t="shared" ref="H2713:H2718" si="252">G2713*C2713</f>
        <v>14400</v>
      </c>
      <c r="I2713" s="1086">
        <f t="shared" ref="I2713:I2718" si="253">F2713+H2713</f>
        <v>266400</v>
      </c>
      <c r="J2713" s="558"/>
    </row>
    <row r="2714" spans="1:10">
      <c r="A2714" s="502"/>
      <c r="B2714" s="1085" t="s">
        <v>769</v>
      </c>
      <c r="C2714" s="1081">
        <v>12</v>
      </c>
      <c r="D2714" s="510" t="s">
        <v>15</v>
      </c>
      <c r="E2714" s="1088">
        <v>750</v>
      </c>
      <c r="F2714" s="1086">
        <f t="shared" si="251"/>
        <v>9000</v>
      </c>
      <c r="G2714" s="1087">
        <v>115</v>
      </c>
      <c r="H2714" s="1086">
        <f t="shared" si="252"/>
        <v>1380</v>
      </c>
      <c r="I2714" s="1086">
        <f t="shared" si="253"/>
        <v>10380</v>
      </c>
      <c r="J2714" s="558"/>
    </row>
    <row r="2715" spans="1:10">
      <c r="A2715" s="502"/>
      <c r="B2715" s="1085" t="s">
        <v>770</v>
      </c>
      <c r="C2715" s="1081">
        <v>6</v>
      </c>
      <c r="D2715" s="510" t="s">
        <v>15</v>
      </c>
      <c r="E2715" s="1088">
        <v>1700</v>
      </c>
      <c r="F2715" s="1086">
        <f t="shared" si="251"/>
        <v>10200</v>
      </c>
      <c r="G2715" s="1087">
        <v>150</v>
      </c>
      <c r="H2715" s="1086">
        <f t="shared" si="252"/>
        <v>900</v>
      </c>
      <c r="I2715" s="1086">
        <f t="shared" si="253"/>
        <v>11100</v>
      </c>
      <c r="J2715" s="558"/>
    </row>
    <row r="2716" spans="1:10">
      <c r="A2716" s="502"/>
      <c r="B2716" s="1085" t="s">
        <v>1162</v>
      </c>
      <c r="C2716" s="1081">
        <v>76</v>
      </c>
      <c r="D2716" s="510" t="s">
        <v>15</v>
      </c>
      <c r="E2716" s="1088">
        <v>2700</v>
      </c>
      <c r="F2716" s="1086">
        <f t="shared" si="251"/>
        <v>205200</v>
      </c>
      <c r="G2716" s="1087">
        <v>150</v>
      </c>
      <c r="H2716" s="1086">
        <f t="shared" si="252"/>
        <v>11400</v>
      </c>
      <c r="I2716" s="1086">
        <f t="shared" si="253"/>
        <v>216600</v>
      </c>
      <c r="J2716" s="558"/>
    </row>
    <row r="2717" spans="1:10">
      <c r="A2717" s="502"/>
      <c r="B2717" s="1085" t="s">
        <v>771</v>
      </c>
      <c r="C2717" s="1081">
        <v>12</v>
      </c>
      <c r="D2717" s="510" t="s">
        <v>15</v>
      </c>
      <c r="E2717" s="1088">
        <v>2000</v>
      </c>
      <c r="F2717" s="1086">
        <f t="shared" si="251"/>
        <v>24000</v>
      </c>
      <c r="G2717" s="1087">
        <v>115</v>
      </c>
      <c r="H2717" s="1086">
        <f t="shared" si="252"/>
        <v>1380</v>
      </c>
      <c r="I2717" s="1086">
        <f t="shared" si="253"/>
        <v>25380</v>
      </c>
      <c r="J2717" s="558"/>
    </row>
    <row r="2718" spans="1:10">
      <c r="A2718" s="502"/>
      <c r="B2718" s="1085" t="s">
        <v>1165</v>
      </c>
      <c r="C2718" s="1081">
        <v>42</v>
      </c>
      <c r="D2718" s="510" t="s">
        <v>15</v>
      </c>
      <c r="E2718" s="1088">
        <v>13000</v>
      </c>
      <c r="F2718" s="1086">
        <f t="shared" si="251"/>
        <v>546000</v>
      </c>
      <c r="G2718" s="1087">
        <v>650</v>
      </c>
      <c r="H2718" s="1086">
        <f t="shared" si="252"/>
        <v>27300</v>
      </c>
      <c r="I2718" s="1086">
        <f t="shared" si="253"/>
        <v>573300</v>
      </c>
      <c r="J2718" s="558"/>
    </row>
    <row r="2719" spans="1:10">
      <c r="A2719" s="502"/>
      <c r="B2719" s="1085" t="s">
        <v>667</v>
      </c>
      <c r="C2719" s="1081">
        <v>1</v>
      </c>
      <c r="D2719" s="1089" t="s">
        <v>508</v>
      </c>
      <c r="E2719" s="1090">
        <f>I2719*0.8</f>
        <v>44160</v>
      </c>
      <c r="F2719" s="1091">
        <f>C2719*E2719</f>
        <v>44160</v>
      </c>
      <c r="G2719" s="1091">
        <f>I2719*0.2</f>
        <v>11040</v>
      </c>
      <c r="H2719" s="1086">
        <f>C2719*G2719</f>
        <v>11040</v>
      </c>
      <c r="I2719" s="1086">
        <f>ROUNDUP(SUM(I2713:I2718)*5%,-2)</f>
        <v>55200</v>
      </c>
      <c r="J2719" s="558"/>
    </row>
    <row r="2720" spans="1:10">
      <c r="A2720" s="496" t="s">
        <v>1253</v>
      </c>
      <c r="B2720" s="1080" t="s">
        <v>776</v>
      </c>
      <c r="C2720" s="1081"/>
      <c r="D2720" s="1082"/>
      <c r="E2720" s="1081"/>
      <c r="F2720" s="1083"/>
      <c r="G2720" s="1084"/>
      <c r="H2720" s="1083"/>
      <c r="I2720" s="1083"/>
      <c r="J2720" s="558"/>
    </row>
    <row r="2721" spans="1:10">
      <c r="A2721" s="502"/>
      <c r="B2721" s="1085" t="s">
        <v>784</v>
      </c>
      <c r="C2721" s="1081">
        <v>105</v>
      </c>
      <c r="D2721" s="1094" t="s">
        <v>57</v>
      </c>
      <c r="E2721" s="489">
        <v>107</v>
      </c>
      <c r="F2721" s="1086">
        <f>E2721*C2721</f>
        <v>11235</v>
      </c>
      <c r="G2721" s="1067">
        <v>38</v>
      </c>
      <c r="H2721" s="1086">
        <f>G2721*C2721</f>
        <v>3990</v>
      </c>
      <c r="I2721" s="1086">
        <f>F2721+H2721</f>
        <v>15225</v>
      </c>
      <c r="J2721" s="558"/>
    </row>
    <row r="2722" spans="1:10">
      <c r="A2722" s="502"/>
      <c r="B2722" s="1085" t="s">
        <v>786</v>
      </c>
      <c r="C2722" s="1081">
        <v>210</v>
      </c>
      <c r="D2722" s="1094" t="s">
        <v>57</v>
      </c>
      <c r="E2722" s="489">
        <v>53</v>
      </c>
      <c r="F2722" s="1086">
        <f>E2722*C2722</f>
        <v>11130</v>
      </c>
      <c r="G2722" s="1067">
        <v>28</v>
      </c>
      <c r="H2722" s="1086">
        <f>G2722*C2722</f>
        <v>5880</v>
      </c>
      <c r="I2722" s="1086">
        <f>F2722+H2722</f>
        <v>17010</v>
      </c>
      <c r="J2722" s="558"/>
    </row>
    <row r="2723" spans="1:10">
      <c r="A2723" s="502"/>
      <c r="B2723" s="1085" t="s">
        <v>787</v>
      </c>
      <c r="C2723" s="1081">
        <v>30</v>
      </c>
      <c r="D2723" s="1094" t="s">
        <v>57</v>
      </c>
      <c r="E2723" s="489">
        <v>37</v>
      </c>
      <c r="F2723" s="1086">
        <f>E2723*C2723</f>
        <v>1110</v>
      </c>
      <c r="G2723" s="1067">
        <v>24</v>
      </c>
      <c r="H2723" s="1086">
        <f>G2723*C2723</f>
        <v>720</v>
      </c>
      <c r="I2723" s="1086">
        <f>F2723+H2723</f>
        <v>1830</v>
      </c>
      <c r="J2723" s="558"/>
    </row>
    <row r="2724" spans="1:10">
      <c r="A2724" s="502"/>
      <c r="B2724" s="1085" t="s">
        <v>788</v>
      </c>
      <c r="C2724" s="1081">
        <v>2780</v>
      </c>
      <c r="D2724" s="1094" t="s">
        <v>57</v>
      </c>
      <c r="E2724" s="489">
        <v>26</v>
      </c>
      <c r="F2724" s="1086">
        <f>E2724*C2724</f>
        <v>72280</v>
      </c>
      <c r="G2724" s="1067">
        <v>22</v>
      </c>
      <c r="H2724" s="1086">
        <f>G2724*C2724</f>
        <v>61160</v>
      </c>
      <c r="I2724" s="1086">
        <f>F2724+H2724</f>
        <v>133440</v>
      </c>
      <c r="J2724" s="558"/>
    </row>
    <row r="2725" spans="1:10">
      <c r="A2725" s="502"/>
      <c r="B2725" s="1085" t="s">
        <v>791</v>
      </c>
      <c r="C2725" s="1081">
        <v>1</v>
      </c>
      <c r="D2725" s="1089" t="s">
        <v>508</v>
      </c>
      <c r="E2725" s="1090">
        <f>I2725*0.8</f>
        <v>13440</v>
      </c>
      <c r="F2725" s="1091">
        <f>C2725*E2725</f>
        <v>13440</v>
      </c>
      <c r="G2725" s="1091">
        <f>I2725*0.2</f>
        <v>3360</v>
      </c>
      <c r="H2725" s="1086">
        <f>C2725*G2725</f>
        <v>3360</v>
      </c>
      <c r="I2725" s="1086">
        <f>ROUNDUP(SUM(I2721:I2724)*10%,-2)</f>
        <v>16800</v>
      </c>
      <c r="J2725" s="558"/>
    </row>
    <row r="2726" spans="1:10">
      <c r="A2726" s="502"/>
      <c r="B2726" s="1085" t="s">
        <v>667</v>
      </c>
      <c r="C2726" s="1081">
        <v>1</v>
      </c>
      <c r="D2726" s="1089" t="s">
        <v>508</v>
      </c>
      <c r="E2726" s="1090">
        <f>I2726*0.8</f>
        <v>7440</v>
      </c>
      <c r="F2726" s="1091">
        <f>C2726*E2726</f>
        <v>7440</v>
      </c>
      <c r="G2726" s="1091">
        <f>I2726*0.2</f>
        <v>1860</v>
      </c>
      <c r="H2726" s="1086">
        <f>C2726*G2726</f>
        <v>1860</v>
      </c>
      <c r="I2726" s="1086">
        <f>ROUNDUP(SUM(I2721:I2725)*5%,-2)</f>
        <v>9300</v>
      </c>
      <c r="J2726" s="558"/>
    </row>
    <row r="2727" spans="1:10">
      <c r="A2727" s="496" t="s">
        <v>1254</v>
      </c>
      <c r="B2727" s="1080" t="s">
        <v>793</v>
      </c>
      <c r="C2727" s="1081"/>
      <c r="D2727" s="1082"/>
      <c r="E2727" s="1081"/>
      <c r="F2727" s="1083"/>
      <c r="G2727" s="1084"/>
      <c r="H2727" s="1083"/>
      <c r="I2727" s="1083"/>
      <c r="J2727" s="558"/>
    </row>
    <row r="2728" spans="1:10">
      <c r="A2728" s="502"/>
      <c r="B2728" s="1085" t="s">
        <v>802</v>
      </c>
      <c r="C2728" s="1081">
        <v>420</v>
      </c>
      <c r="D2728" s="1094" t="s">
        <v>57</v>
      </c>
      <c r="E2728" s="489">
        <v>86</v>
      </c>
      <c r="F2728" s="1086">
        <f>E2728*C2728</f>
        <v>36120</v>
      </c>
      <c r="G2728" s="1067">
        <v>25</v>
      </c>
      <c r="H2728" s="1086">
        <f>G2728*C2728</f>
        <v>10500</v>
      </c>
      <c r="I2728" s="1086">
        <f>F2728+H2728</f>
        <v>46620</v>
      </c>
      <c r="J2728" s="558"/>
    </row>
    <row r="2729" spans="1:10">
      <c r="A2729" s="502"/>
      <c r="B2729" s="1085" t="s">
        <v>804</v>
      </c>
      <c r="C2729" s="1081">
        <v>840</v>
      </c>
      <c r="D2729" s="1094" t="s">
        <v>57</v>
      </c>
      <c r="E2729" s="489">
        <v>36</v>
      </c>
      <c r="F2729" s="1086">
        <f>E2729*C2729</f>
        <v>30240</v>
      </c>
      <c r="G2729" s="1067">
        <v>16</v>
      </c>
      <c r="H2729" s="1086">
        <f>G2729*C2729</f>
        <v>13440</v>
      </c>
      <c r="I2729" s="1086">
        <f>F2729+H2729</f>
        <v>43680</v>
      </c>
      <c r="J2729" s="558"/>
    </row>
    <row r="2730" spans="1:10">
      <c r="A2730" s="502"/>
      <c r="B2730" s="1085" t="s">
        <v>805</v>
      </c>
      <c r="C2730" s="1081">
        <v>315</v>
      </c>
      <c r="D2730" s="1094" t="s">
        <v>57</v>
      </c>
      <c r="E2730" s="489">
        <v>21</v>
      </c>
      <c r="F2730" s="1086">
        <f>E2730*C2730</f>
        <v>6615</v>
      </c>
      <c r="G2730" s="1067">
        <v>12</v>
      </c>
      <c r="H2730" s="1086">
        <f>G2730*C2730</f>
        <v>3780</v>
      </c>
      <c r="I2730" s="1086">
        <f>F2730+H2730</f>
        <v>10395</v>
      </c>
      <c r="J2730" s="558"/>
    </row>
    <row r="2731" spans="1:10">
      <c r="A2731" s="502"/>
      <c r="B2731" s="1085" t="s">
        <v>806</v>
      </c>
      <c r="C2731" s="1081">
        <v>1300</v>
      </c>
      <c r="D2731" s="1094" t="s">
        <v>57</v>
      </c>
      <c r="E2731" s="489">
        <v>13</v>
      </c>
      <c r="F2731" s="1086">
        <f>E2731*C2731</f>
        <v>16900</v>
      </c>
      <c r="G2731" s="1067">
        <v>10</v>
      </c>
      <c r="H2731" s="1086">
        <f>G2731*C2731</f>
        <v>13000</v>
      </c>
      <c r="I2731" s="1086">
        <f>F2731+H2731</f>
        <v>29900</v>
      </c>
      <c r="J2731" s="558"/>
    </row>
    <row r="2732" spans="1:10">
      <c r="A2732" s="502"/>
      <c r="B2732" s="1085" t="s">
        <v>807</v>
      </c>
      <c r="C2732" s="1081">
        <v>5890</v>
      </c>
      <c r="D2732" s="1094" t="s">
        <v>57</v>
      </c>
      <c r="E2732" s="489">
        <v>9</v>
      </c>
      <c r="F2732" s="1086">
        <f>E2732*C2732</f>
        <v>53010</v>
      </c>
      <c r="G2732" s="1067">
        <v>7</v>
      </c>
      <c r="H2732" s="1086">
        <f>G2732*C2732</f>
        <v>41230</v>
      </c>
      <c r="I2732" s="1086">
        <f>F2732+H2732</f>
        <v>94240</v>
      </c>
      <c r="J2732" s="558"/>
    </row>
    <row r="2733" spans="1:10">
      <c r="A2733" s="502"/>
      <c r="B2733" s="1085" t="s">
        <v>667</v>
      </c>
      <c r="C2733" s="1081">
        <v>1</v>
      </c>
      <c r="D2733" s="1089" t="s">
        <v>508</v>
      </c>
      <c r="E2733" s="1090">
        <f>I2733*0.8</f>
        <v>9040</v>
      </c>
      <c r="F2733" s="1091">
        <f>C2733*E2733</f>
        <v>9040</v>
      </c>
      <c r="G2733" s="1091">
        <f>I2733*0.2</f>
        <v>2260</v>
      </c>
      <c r="H2733" s="1086">
        <f>C2733*G2733</f>
        <v>2260</v>
      </c>
      <c r="I2733" s="1086">
        <f>ROUNDUP(SUM(I2728:I2732)*5%,-2)</f>
        <v>11300</v>
      </c>
      <c r="J2733" s="558"/>
    </row>
    <row r="2734" spans="1:10">
      <c r="A2734" s="496" t="s">
        <v>1255</v>
      </c>
      <c r="B2734" s="1080" t="s">
        <v>811</v>
      </c>
      <c r="C2734" s="1081"/>
      <c r="D2734" s="1082"/>
      <c r="E2734" s="1081"/>
      <c r="F2734" s="1083"/>
      <c r="G2734" s="1084"/>
      <c r="H2734" s="1083"/>
      <c r="I2734" s="1083"/>
      <c r="J2734" s="558"/>
    </row>
    <row r="2735" spans="1:10">
      <c r="A2735" s="502"/>
      <c r="B2735" s="1085" t="s">
        <v>812</v>
      </c>
      <c r="C2735" s="1081">
        <v>58</v>
      </c>
      <c r="D2735" s="510" t="s">
        <v>15</v>
      </c>
      <c r="E2735" s="489">
        <v>57</v>
      </c>
      <c r="F2735" s="1086">
        <f>E2735*C2735</f>
        <v>3306</v>
      </c>
      <c r="G2735" s="1067">
        <v>80</v>
      </c>
      <c r="H2735" s="1086">
        <f>G2735*C2735</f>
        <v>4640</v>
      </c>
      <c r="I2735" s="1086">
        <f>F2735+H2735</f>
        <v>7946</v>
      </c>
      <c r="J2735" s="558"/>
    </row>
    <row r="2736" spans="1:10">
      <c r="A2736" s="502"/>
      <c r="B2736" s="1085" t="s">
        <v>815</v>
      </c>
      <c r="C2736" s="1081">
        <v>10</v>
      </c>
      <c r="D2736" s="510" t="s">
        <v>15</v>
      </c>
      <c r="E2736" s="489">
        <v>115</v>
      </c>
      <c r="F2736" s="1086">
        <f>E2736*C2736</f>
        <v>1150</v>
      </c>
      <c r="G2736" s="1067">
        <v>90</v>
      </c>
      <c r="H2736" s="1086">
        <f>G2736*C2736</f>
        <v>900</v>
      </c>
      <c r="I2736" s="1086">
        <f>F2736+H2736</f>
        <v>2050</v>
      </c>
      <c r="J2736" s="558"/>
    </row>
    <row r="2737" spans="1:10">
      <c r="A2737" s="502"/>
      <c r="B2737" s="1085" t="s">
        <v>816</v>
      </c>
      <c r="C2737" s="1081">
        <v>54</v>
      </c>
      <c r="D2737" s="510" t="s">
        <v>15</v>
      </c>
      <c r="E2737" s="489">
        <v>170</v>
      </c>
      <c r="F2737" s="1086">
        <f>E2737*C2737</f>
        <v>9180</v>
      </c>
      <c r="G2737" s="1067">
        <v>90</v>
      </c>
      <c r="H2737" s="1086">
        <f>G2737*C2737</f>
        <v>4860</v>
      </c>
      <c r="I2737" s="1086">
        <f>F2737+H2737</f>
        <v>14040</v>
      </c>
      <c r="J2737" s="558"/>
    </row>
    <row r="2738" spans="1:10">
      <c r="A2738" s="502"/>
      <c r="B2738" s="1085" t="s">
        <v>818</v>
      </c>
      <c r="C2738" s="1081">
        <v>10</v>
      </c>
      <c r="D2738" s="510" t="s">
        <v>15</v>
      </c>
      <c r="E2738" s="489">
        <v>2600</v>
      </c>
      <c r="F2738" s="1086">
        <f>E2738*C2738</f>
        <v>26000</v>
      </c>
      <c r="G2738" s="1067">
        <v>240</v>
      </c>
      <c r="H2738" s="1086">
        <f>G2738*C2738</f>
        <v>2400</v>
      </c>
      <c r="I2738" s="1086">
        <f>F2738+H2738</f>
        <v>28400</v>
      </c>
      <c r="J2738" s="558"/>
    </row>
    <row r="2739" spans="1:10">
      <c r="A2739" s="502"/>
      <c r="B2739" s="1085" t="s">
        <v>667</v>
      </c>
      <c r="C2739" s="1081">
        <v>1</v>
      </c>
      <c r="D2739" s="1089" t="s">
        <v>508</v>
      </c>
      <c r="E2739" s="1090">
        <f>I2739*0.8</f>
        <v>2160</v>
      </c>
      <c r="F2739" s="1091">
        <f>C2739*E2739</f>
        <v>2160</v>
      </c>
      <c r="G2739" s="1091">
        <f>I2739*0.2</f>
        <v>540</v>
      </c>
      <c r="H2739" s="1086">
        <f>C2739*G2739</f>
        <v>540</v>
      </c>
      <c r="I2739" s="1086">
        <f>ROUNDUP(SUM(I2735:I2738)*5%,-2)</f>
        <v>2700</v>
      </c>
      <c r="J2739" s="558"/>
    </row>
    <row r="2740" spans="1:10">
      <c r="A2740" s="496" t="s">
        <v>1256</v>
      </c>
      <c r="B2740" s="1080" t="s">
        <v>658</v>
      </c>
      <c r="C2740" s="1081"/>
      <c r="D2740" s="1082"/>
      <c r="E2740" s="1081"/>
      <c r="F2740" s="1083"/>
      <c r="G2740" s="1084"/>
      <c r="H2740" s="1083"/>
      <c r="I2740" s="1083"/>
      <c r="J2740" s="558"/>
    </row>
    <row r="2741" spans="1:10">
      <c r="A2741" s="502"/>
      <c r="B2741" s="1085" t="s">
        <v>820</v>
      </c>
      <c r="C2741" s="1081">
        <v>420</v>
      </c>
      <c r="D2741" s="1094" t="s">
        <v>57</v>
      </c>
      <c r="E2741" s="489">
        <v>170</v>
      </c>
      <c r="F2741" s="1086">
        <f>E2741*C2741</f>
        <v>71400</v>
      </c>
      <c r="G2741" s="1067">
        <v>40</v>
      </c>
      <c r="H2741" s="1086">
        <f>G2741*C2741</f>
        <v>16800</v>
      </c>
      <c r="I2741" s="1086">
        <f>F2741+H2741</f>
        <v>88200</v>
      </c>
      <c r="J2741" s="558"/>
    </row>
    <row r="2742" spans="1:10">
      <c r="A2742" s="502"/>
      <c r="B2742" s="1085" t="s">
        <v>821</v>
      </c>
      <c r="C2742" s="1081">
        <v>210</v>
      </c>
      <c r="D2742" s="1094" t="s">
        <v>57</v>
      </c>
      <c r="E2742" s="489">
        <v>29</v>
      </c>
      <c r="F2742" s="1086">
        <f>E2742*C2742</f>
        <v>6090</v>
      </c>
      <c r="G2742" s="1067">
        <v>35</v>
      </c>
      <c r="H2742" s="1086">
        <f>G2742*C2742</f>
        <v>7350</v>
      </c>
      <c r="I2742" s="1086">
        <f>F2742+H2742</f>
        <v>13440</v>
      </c>
      <c r="J2742" s="558"/>
    </row>
    <row r="2743" spans="1:10">
      <c r="A2743" s="502"/>
      <c r="B2743" s="1085" t="s">
        <v>822</v>
      </c>
      <c r="C2743" s="1081">
        <v>17</v>
      </c>
      <c r="D2743" s="510" t="s">
        <v>15</v>
      </c>
      <c r="E2743" s="489">
        <v>1200</v>
      </c>
      <c r="F2743" s="1086">
        <f>E2743*C2743</f>
        <v>20400</v>
      </c>
      <c r="G2743" s="1067">
        <v>200</v>
      </c>
      <c r="H2743" s="1086">
        <f>G2743*C2743</f>
        <v>3400</v>
      </c>
      <c r="I2743" s="1086">
        <f>F2743+H2743</f>
        <v>23800</v>
      </c>
      <c r="J2743" s="558"/>
    </row>
    <row r="2744" spans="1:10">
      <c r="A2744" s="502"/>
      <c r="B2744" s="1085" t="s">
        <v>823</v>
      </c>
      <c r="C2744" s="1081">
        <v>15</v>
      </c>
      <c r="D2744" s="510" t="s">
        <v>15</v>
      </c>
      <c r="E2744" s="489">
        <v>1000</v>
      </c>
      <c r="F2744" s="1086">
        <f>E2744*C2744</f>
        <v>15000</v>
      </c>
      <c r="G2744" s="1067">
        <v>200</v>
      </c>
      <c r="H2744" s="1086">
        <f>G2744*C2744</f>
        <v>3000</v>
      </c>
      <c r="I2744" s="1086">
        <f>F2744+H2744</f>
        <v>18000</v>
      </c>
      <c r="J2744" s="558"/>
    </row>
    <row r="2745" spans="1:10">
      <c r="A2745" s="502"/>
      <c r="B2745" s="1085" t="s">
        <v>824</v>
      </c>
      <c r="C2745" s="1081">
        <v>5</v>
      </c>
      <c r="D2745" s="510" t="s">
        <v>15</v>
      </c>
      <c r="E2745" s="489">
        <v>1500</v>
      </c>
      <c r="F2745" s="1086">
        <f>E2745*C2745</f>
        <v>7500</v>
      </c>
      <c r="G2745" s="1067">
        <v>300</v>
      </c>
      <c r="H2745" s="1086">
        <f>G2745*C2745</f>
        <v>1500</v>
      </c>
      <c r="I2745" s="1086">
        <f>F2745+H2745</f>
        <v>9000</v>
      </c>
      <c r="J2745" s="558"/>
    </row>
    <row r="2746" spans="1:10">
      <c r="A2746" s="502"/>
      <c r="B2746" s="1085" t="s">
        <v>791</v>
      </c>
      <c r="C2746" s="1081">
        <v>1</v>
      </c>
      <c r="D2746" s="1089" t="s">
        <v>508</v>
      </c>
      <c r="E2746" s="1090">
        <f>I2746*0.8</f>
        <v>12240</v>
      </c>
      <c r="F2746" s="1091">
        <f>C2746*E2746</f>
        <v>12240</v>
      </c>
      <c r="G2746" s="1091">
        <f>I2746*0.2</f>
        <v>3060</v>
      </c>
      <c r="H2746" s="1086">
        <f>C2746*G2746</f>
        <v>3060</v>
      </c>
      <c r="I2746" s="1086">
        <f>ROUNDUP(SUM(I2741:I2745)*10%,-2)</f>
        <v>15300</v>
      </c>
      <c r="J2746" s="558"/>
    </row>
    <row r="2747" spans="1:10">
      <c r="A2747" s="496" t="s">
        <v>1257</v>
      </c>
      <c r="B2747" s="572" t="s">
        <v>844</v>
      </c>
      <c r="C2747" s="506"/>
      <c r="D2747" s="506"/>
      <c r="E2747" s="506"/>
      <c r="F2747" s="489"/>
      <c r="G2747" s="550"/>
      <c r="H2747" s="550"/>
      <c r="I2747" s="550"/>
      <c r="J2747" s="558"/>
    </row>
    <row r="2748" spans="1:10">
      <c r="A2748" s="502"/>
      <c r="B2748" s="1061" t="s">
        <v>845</v>
      </c>
      <c r="C2748" s="573"/>
      <c r="D2748" s="577"/>
      <c r="E2748" s="573"/>
      <c r="F2748" s="573"/>
      <c r="G2748" s="573"/>
      <c r="H2748" s="573"/>
      <c r="I2748" s="573"/>
      <c r="J2748" s="558"/>
    </row>
    <row r="2749" spans="1:10">
      <c r="A2749" s="502"/>
      <c r="B2749" s="1061" t="s">
        <v>847</v>
      </c>
      <c r="C2749" s="1098">
        <v>3</v>
      </c>
      <c r="D2749" s="1099" t="s">
        <v>15</v>
      </c>
      <c r="E2749" s="1100">
        <v>14000</v>
      </c>
      <c r="F2749" s="1100">
        <f>SUM(C2749*E2749)</f>
        <v>42000</v>
      </c>
      <c r="G2749" s="1100">
        <v>500</v>
      </c>
      <c r="H2749" s="1100">
        <f>SUM(C2749*G2749)</f>
        <v>1500</v>
      </c>
      <c r="I2749" s="1100">
        <f>SUM(F2749+H2749)</f>
        <v>43500</v>
      </c>
      <c r="J2749" s="558"/>
    </row>
    <row r="2750" spans="1:10">
      <c r="A2750" s="502"/>
      <c r="B2750" s="1061" t="s">
        <v>848</v>
      </c>
      <c r="C2750" s="1098">
        <v>6</v>
      </c>
      <c r="D2750" s="1099" t="s">
        <v>15</v>
      </c>
      <c r="E2750" s="1100">
        <v>250</v>
      </c>
      <c r="F2750" s="1100">
        <f>SUM(C2750*E2750)</f>
        <v>1500</v>
      </c>
      <c r="G2750" s="1100">
        <v>40</v>
      </c>
      <c r="H2750" s="1100">
        <f>SUM(C2750*G2750)</f>
        <v>240</v>
      </c>
      <c r="I2750" s="1100">
        <f>SUM(F2750+H2750)</f>
        <v>1740</v>
      </c>
      <c r="J2750" s="558"/>
    </row>
    <row r="2751" spans="1:10">
      <c r="A2751" s="502"/>
      <c r="B2751" s="1061" t="s">
        <v>849</v>
      </c>
      <c r="C2751" s="1098">
        <v>82</v>
      </c>
      <c r="D2751" s="1094" t="s">
        <v>57</v>
      </c>
      <c r="E2751" s="1100">
        <v>80</v>
      </c>
      <c r="F2751" s="1100">
        <f>SUM(C2751*E2751)</f>
        <v>6560</v>
      </c>
      <c r="G2751" s="1100">
        <v>20</v>
      </c>
      <c r="H2751" s="1100">
        <f>SUM(C2751*G2751)</f>
        <v>1640</v>
      </c>
      <c r="I2751" s="1100">
        <f>SUM(F2751+H2751)</f>
        <v>8200</v>
      </c>
      <c r="J2751" s="558"/>
    </row>
    <row r="2752" spans="1:10">
      <c r="A2752" s="502"/>
      <c r="B2752" s="1061" t="s">
        <v>838</v>
      </c>
      <c r="C2752" s="1098">
        <v>289</v>
      </c>
      <c r="D2752" s="1094" t="s">
        <v>57</v>
      </c>
      <c r="E2752" s="1100">
        <v>18</v>
      </c>
      <c r="F2752" s="1100">
        <f>SUM(C2752*E2752)</f>
        <v>5202</v>
      </c>
      <c r="G2752" s="1100">
        <v>5</v>
      </c>
      <c r="H2752" s="1100">
        <f>SUM(C2752*G2752)</f>
        <v>1445</v>
      </c>
      <c r="I2752" s="1100">
        <f>SUM(F2752+H2752)</f>
        <v>6647</v>
      </c>
      <c r="J2752" s="558"/>
    </row>
    <row r="2753" spans="1:10">
      <c r="A2753" s="502"/>
      <c r="B2753" s="1061" t="s">
        <v>841</v>
      </c>
      <c r="C2753" s="1101"/>
      <c r="D2753" s="1099"/>
      <c r="E2753" s="1100"/>
      <c r="F2753" s="1100"/>
      <c r="G2753" s="1100"/>
      <c r="H2753" s="1100"/>
      <c r="I2753" s="1100"/>
      <c r="J2753" s="558"/>
    </row>
    <row r="2754" spans="1:10">
      <c r="A2754" s="502"/>
      <c r="B2754" s="1061" t="s">
        <v>918</v>
      </c>
      <c r="C2754" s="1098">
        <v>80</v>
      </c>
      <c r="D2754" s="1094" t="s">
        <v>57</v>
      </c>
      <c r="E2754" s="489">
        <v>53</v>
      </c>
      <c r="F2754" s="1086">
        <f>E2754*C2754</f>
        <v>4240</v>
      </c>
      <c r="G2754" s="1067">
        <v>28</v>
      </c>
      <c r="H2754" s="1086">
        <f>G2754*C2754</f>
        <v>2240</v>
      </c>
      <c r="I2754" s="1086">
        <f>F2754+H2754</f>
        <v>6480</v>
      </c>
      <c r="J2754" s="558"/>
    </row>
    <row r="2755" spans="1:10">
      <c r="A2755" s="502"/>
      <c r="B2755" s="1061" t="s">
        <v>842</v>
      </c>
      <c r="C2755" s="1101">
        <v>189</v>
      </c>
      <c r="D2755" s="1094" t="s">
        <v>57</v>
      </c>
      <c r="E2755" s="489">
        <v>37</v>
      </c>
      <c r="F2755" s="1086">
        <f>E2755*C2755</f>
        <v>6993</v>
      </c>
      <c r="G2755" s="1067">
        <v>24</v>
      </c>
      <c r="H2755" s="1086">
        <f>G2755*C2755</f>
        <v>4536</v>
      </c>
      <c r="I2755" s="1086">
        <f>F2755+H2755</f>
        <v>11529</v>
      </c>
      <c r="J2755" s="558"/>
    </row>
    <row r="2756" spans="1:10">
      <c r="A2756" s="502"/>
      <c r="B2756" s="1061" t="s">
        <v>843</v>
      </c>
      <c r="C2756" s="1101">
        <v>160</v>
      </c>
      <c r="D2756" s="1094" t="s">
        <v>57</v>
      </c>
      <c r="E2756" s="489">
        <v>26</v>
      </c>
      <c r="F2756" s="1086">
        <f>E2756*C2756</f>
        <v>4160</v>
      </c>
      <c r="G2756" s="1067">
        <v>22</v>
      </c>
      <c r="H2756" s="1086">
        <f>G2756*C2756</f>
        <v>3520</v>
      </c>
      <c r="I2756" s="1086">
        <f>F2756+H2756</f>
        <v>7680</v>
      </c>
      <c r="J2756" s="558"/>
    </row>
    <row r="2757" spans="1:10">
      <c r="A2757" s="502"/>
      <c r="B2757" s="1102" t="s">
        <v>726</v>
      </c>
      <c r="C2757" s="1101">
        <v>1</v>
      </c>
      <c r="D2757" s="606" t="s">
        <v>508</v>
      </c>
      <c r="E2757" s="1103">
        <f>I2757*0.8</f>
        <v>3440</v>
      </c>
      <c r="F2757" s="1100">
        <f>SUM(C2757*E2757)</f>
        <v>3440</v>
      </c>
      <c r="G2757" s="1100">
        <f>I2757*0.2</f>
        <v>860</v>
      </c>
      <c r="H2757" s="1100">
        <f>SUM(C2757*G2757)</f>
        <v>860</v>
      </c>
      <c r="I2757" s="1100">
        <f>ROUNDUP(SUM(I2749:I2756)*5%,-2)</f>
        <v>4300</v>
      </c>
      <c r="J2757" s="558"/>
    </row>
    <row r="2758" spans="1:10">
      <c r="A2758" s="496" t="s">
        <v>1258</v>
      </c>
      <c r="B2758" s="601" t="s">
        <v>852</v>
      </c>
      <c r="C2758" s="574"/>
      <c r="D2758" s="574"/>
      <c r="E2758" s="575"/>
      <c r="F2758" s="568"/>
      <c r="G2758" s="568"/>
      <c r="H2758" s="568"/>
      <c r="I2758" s="568"/>
      <c r="J2758" s="558"/>
    </row>
    <row r="2759" spans="1:10">
      <c r="A2759" s="502"/>
      <c r="B2759" s="1061" t="s">
        <v>853</v>
      </c>
      <c r="C2759" s="1098">
        <v>1</v>
      </c>
      <c r="D2759" s="1099" t="s">
        <v>15</v>
      </c>
      <c r="E2759" s="1100">
        <v>6000</v>
      </c>
      <c r="F2759" s="1057">
        <f t="shared" ref="F2759:F2766" si="254">SUM(C2759*E2759)</f>
        <v>6000</v>
      </c>
      <c r="G2759" s="1057">
        <v>600</v>
      </c>
      <c r="H2759" s="1057">
        <f t="shared" ref="H2759:H2766" si="255">SUM(C2759*G2759)</f>
        <v>600</v>
      </c>
      <c r="I2759" s="1057">
        <f t="shared" ref="I2759:I2766" si="256">SUM(F2759+H2759)</f>
        <v>6600</v>
      </c>
      <c r="J2759" s="558"/>
    </row>
    <row r="2760" spans="1:10">
      <c r="A2760" s="502"/>
      <c r="B2760" s="1061" t="s">
        <v>855</v>
      </c>
      <c r="C2760" s="1098">
        <v>3</v>
      </c>
      <c r="D2760" s="1099" t="s">
        <v>15</v>
      </c>
      <c r="E2760" s="1100">
        <v>3900</v>
      </c>
      <c r="F2760" s="1057">
        <f t="shared" si="254"/>
        <v>11700</v>
      </c>
      <c r="G2760" s="1057">
        <v>240</v>
      </c>
      <c r="H2760" s="1057">
        <f t="shared" si="255"/>
        <v>720</v>
      </c>
      <c r="I2760" s="1057">
        <f t="shared" si="256"/>
        <v>12420</v>
      </c>
      <c r="J2760" s="558"/>
    </row>
    <row r="2761" spans="1:10">
      <c r="A2761" s="502"/>
      <c r="B2761" s="1061" t="s">
        <v>856</v>
      </c>
      <c r="C2761" s="1098">
        <v>1</v>
      </c>
      <c r="D2761" s="1099" t="s">
        <v>15</v>
      </c>
      <c r="E2761" s="1100">
        <v>4000</v>
      </c>
      <c r="F2761" s="1057">
        <f t="shared" si="254"/>
        <v>4000</v>
      </c>
      <c r="G2761" s="1057">
        <v>240</v>
      </c>
      <c r="H2761" s="1057">
        <f t="shared" si="255"/>
        <v>240</v>
      </c>
      <c r="I2761" s="1057">
        <f t="shared" si="256"/>
        <v>4240</v>
      </c>
      <c r="J2761" s="558"/>
    </row>
    <row r="2762" spans="1:10">
      <c r="A2762" s="502"/>
      <c r="B2762" s="1061" t="s">
        <v>857</v>
      </c>
      <c r="C2762" s="1098">
        <v>2</v>
      </c>
      <c r="D2762" s="1099" t="s">
        <v>15</v>
      </c>
      <c r="E2762" s="1100">
        <v>2100</v>
      </c>
      <c r="F2762" s="1057">
        <f t="shared" si="254"/>
        <v>4200</v>
      </c>
      <c r="G2762" s="1057">
        <v>100</v>
      </c>
      <c r="H2762" s="1057">
        <f t="shared" si="255"/>
        <v>200</v>
      </c>
      <c r="I2762" s="1057">
        <f t="shared" si="256"/>
        <v>4400</v>
      </c>
      <c r="J2762" s="558"/>
    </row>
    <row r="2763" spans="1:10">
      <c r="A2763" s="502"/>
      <c r="B2763" s="1061" t="s">
        <v>858</v>
      </c>
      <c r="C2763" s="1098">
        <v>14</v>
      </c>
      <c r="D2763" s="1099" t="s">
        <v>15</v>
      </c>
      <c r="E2763" s="1100">
        <v>1400</v>
      </c>
      <c r="F2763" s="1057">
        <f t="shared" si="254"/>
        <v>19600</v>
      </c>
      <c r="G2763" s="1057">
        <v>100</v>
      </c>
      <c r="H2763" s="1057">
        <f t="shared" si="255"/>
        <v>1400</v>
      </c>
      <c r="I2763" s="1057">
        <f t="shared" si="256"/>
        <v>21000</v>
      </c>
      <c r="J2763" s="558"/>
    </row>
    <row r="2764" spans="1:10">
      <c r="A2764" s="502"/>
      <c r="B2764" s="1061" t="s">
        <v>859</v>
      </c>
      <c r="C2764" s="1098">
        <v>23</v>
      </c>
      <c r="D2764" s="1099" t="s">
        <v>15</v>
      </c>
      <c r="E2764" s="1100">
        <v>750</v>
      </c>
      <c r="F2764" s="1057">
        <f t="shared" si="254"/>
        <v>17250</v>
      </c>
      <c r="G2764" s="1057">
        <v>100</v>
      </c>
      <c r="H2764" s="1057">
        <f t="shared" si="255"/>
        <v>2300</v>
      </c>
      <c r="I2764" s="1057">
        <f t="shared" si="256"/>
        <v>19550</v>
      </c>
      <c r="J2764" s="558"/>
    </row>
    <row r="2765" spans="1:10">
      <c r="A2765" s="1104"/>
      <c r="B2765" s="1061" t="s">
        <v>897</v>
      </c>
      <c r="C2765" s="1098">
        <v>2</v>
      </c>
      <c r="D2765" s="1099" t="s">
        <v>15</v>
      </c>
      <c r="E2765" s="1100">
        <v>600</v>
      </c>
      <c r="F2765" s="1057">
        <f t="shared" si="254"/>
        <v>1200</v>
      </c>
      <c r="G2765" s="1057">
        <v>100</v>
      </c>
      <c r="H2765" s="1057">
        <f t="shared" si="255"/>
        <v>200</v>
      </c>
      <c r="I2765" s="1057">
        <f t="shared" si="256"/>
        <v>1400</v>
      </c>
      <c r="J2765" s="1083"/>
    </row>
    <row r="2766" spans="1:10">
      <c r="A2766" s="502"/>
      <c r="B2766" s="1061" t="s">
        <v>860</v>
      </c>
      <c r="C2766" s="1098">
        <v>2</v>
      </c>
      <c r="D2766" s="1099" t="s">
        <v>15</v>
      </c>
      <c r="E2766" s="1100">
        <v>4700</v>
      </c>
      <c r="F2766" s="1057">
        <f t="shared" si="254"/>
        <v>9400</v>
      </c>
      <c r="G2766" s="1057">
        <v>200</v>
      </c>
      <c r="H2766" s="1057">
        <f t="shared" si="255"/>
        <v>400</v>
      </c>
      <c r="I2766" s="1057">
        <f t="shared" si="256"/>
        <v>9800</v>
      </c>
      <c r="J2766" s="558"/>
    </row>
    <row r="2767" spans="1:10">
      <c r="A2767" s="502"/>
      <c r="B2767" s="1061" t="s">
        <v>861</v>
      </c>
      <c r="C2767" s="1098"/>
      <c r="D2767" s="1105"/>
      <c r="E2767" s="1100"/>
      <c r="F2767" s="1100"/>
      <c r="G2767" s="1100"/>
      <c r="H2767" s="1100"/>
      <c r="I2767" s="1100"/>
      <c r="J2767" s="558"/>
    </row>
    <row r="2768" spans="1:10">
      <c r="A2768" s="502"/>
      <c r="B2768" s="1061" t="s">
        <v>862</v>
      </c>
      <c r="C2768" s="1098">
        <v>170</v>
      </c>
      <c r="D2768" s="1094" t="s">
        <v>57</v>
      </c>
      <c r="E2768" s="1100">
        <v>60</v>
      </c>
      <c r="F2768" s="1057">
        <f>SUM(C2768*E2768)</f>
        <v>10200</v>
      </c>
      <c r="G2768" s="1057">
        <v>5</v>
      </c>
      <c r="H2768" s="1057">
        <f>SUM(C2768*G2768)</f>
        <v>850</v>
      </c>
      <c r="I2768" s="1057">
        <f>SUM(F2768+H2768)</f>
        <v>11050</v>
      </c>
      <c r="J2768" s="558"/>
    </row>
    <row r="2769" spans="1:10">
      <c r="A2769" s="502"/>
      <c r="B2769" s="1061" t="s">
        <v>863</v>
      </c>
      <c r="C2769" s="1098">
        <v>280</v>
      </c>
      <c r="D2769" s="1094" t="s">
        <v>57</v>
      </c>
      <c r="E2769" s="1100">
        <v>30</v>
      </c>
      <c r="F2769" s="1057">
        <f>SUM(C2769*E2769)</f>
        <v>8400</v>
      </c>
      <c r="G2769" s="1057">
        <v>12</v>
      </c>
      <c r="H2769" s="1057">
        <f>SUM(C2769*G2769)</f>
        <v>3360</v>
      </c>
      <c r="I2769" s="1057">
        <f>SUM(F2769+H2769)</f>
        <v>11760</v>
      </c>
      <c r="J2769" s="558"/>
    </row>
    <row r="2770" spans="1:10">
      <c r="A2770" s="502"/>
      <c r="B2770" s="1061" t="s">
        <v>864</v>
      </c>
      <c r="C2770" s="1098">
        <v>685</v>
      </c>
      <c r="D2770" s="1094" t="s">
        <v>57</v>
      </c>
      <c r="E2770" s="1100">
        <v>6</v>
      </c>
      <c r="F2770" s="1057">
        <f>SUM(C2770*E2770)</f>
        <v>4110</v>
      </c>
      <c r="G2770" s="1057">
        <v>5</v>
      </c>
      <c r="H2770" s="1057">
        <f>SUM(C2770*G2770)</f>
        <v>3425</v>
      </c>
      <c r="I2770" s="1057">
        <f>SUM(F2770+H2770)</f>
        <v>7535</v>
      </c>
      <c r="J2770" s="558"/>
    </row>
    <row r="2771" spans="1:10">
      <c r="A2771" s="502"/>
      <c r="B2771" s="1061" t="s">
        <v>865</v>
      </c>
      <c r="C2771" s="1098">
        <v>165</v>
      </c>
      <c r="D2771" s="1094" t="s">
        <v>57</v>
      </c>
      <c r="E2771" s="1100">
        <v>8</v>
      </c>
      <c r="F2771" s="1057">
        <f>SUM(C2771*E2771)</f>
        <v>1320</v>
      </c>
      <c r="G2771" s="1057">
        <v>3</v>
      </c>
      <c r="H2771" s="1057">
        <f>SUM(C2771*G2771)</f>
        <v>495</v>
      </c>
      <c r="I2771" s="1057">
        <f>SUM(F2771+H2771)</f>
        <v>1815</v>
      </c>
      <c r="J2771" s="558"/>
    </row>
    <row r="2772" spans="1:10">
      <c r="A2772" s="502"/>
      <c r="B2772" s="1061" t="s">
        <v>841</v>
      </c>
      <c r="C2772" s="1098"/>
      <c r="D2772" s="1105"/>
      <c r="E2772" s="1100"/>
      <c r="F2772" s="1100"/>
      <c r="G2772" s="1100"/>
      <c r="H2772" s="1100"/>
      <c r="I2772" s="1100"/>
      <c r="J2772" s="558"/>
    </row>
    <row r="2773" spans="1:10">
      <c r="A2773" s="502"/>
      <c r="B2773" s="1061" t="s">
        <v>866</v>
      </c>
      <c r="C2773" s="1098">
        <v>185</v>
      </c>
      <c r="D2773" s="1094" t="s">
        <v>57</v>
      </c>
      <c r="E2773" s="489">
        <v>37</v>
      </c>
      <c r="F2773" s="1086">
        <f>E2773*C2773</f>
        <v>6845</v>
      </c>
      <c r="G2773" s="1067">
        <v>24</v>
      </c>
      <c r="H2773" s="1086">
        <f>G2773*C2773</f>
        <v>4440</v>
      </c>
      <c r="I2773" s="1086">
        <f>F2773+H2773</f>
        <v>11285</v>
      </c>
      <c r="J2773" s="558"/>
    </row>
    <row r="2774" spans="1:10">
      <c r="A2774" s="502"/>
      <c r="B2774" s="1061" t="s">
        <v>867</v>
      </c>
      <c r="C2774" s="1098">
        <v>580</v>
      </c>
      <c r="D2774" s="1094" t="s">
        <v>57</v>
      </c>
      <c r="E2774" s="489">
        <v>26</v>
      </c>
      <c r="F2774" s="1086">
        <f>E2774*C2774</f>
        <v>15080</v>
      </c>
      <c r="G2774" s="1067">
        <v>22</v>
      </c>
      <c r="H2774" s="1086">
        <f>G2774*C2774</f>
        <v>12760</v>
      </c>
      <c r="I2774" s="1086">
        <f>F2774+H2774</f>
        <v>27840</v>
      </c>
      <c r="J2774" s="558"/>
    </row>
    <row r="2775" spans="1:10">
      <c r="A2775" s="502"/>
      <c r="B2775" s="1106" t="s">
        <v>726</v>
      </c>
      <c r="C2775" s="1107">
        <v>1</v>
      </c>
      <c r="D2775" s="1108" t="s">
        <v>508</v>
      </c>
      <c r="E2775" s="1109">
        <f>I2775*0.8</f>
        <v>6080</v>
      </c>
      <c r="F2775" s="1110">
        <f>SUM(C2775*E2775)</f>
        <v>6080</v>
      </c>
      <c r="G2775" s="1110">
        <f>I2775*0.2</f>
        <v>1520</v>
      </c>
      <c r="H2775" s="1110">
        <f>SUM(C2775*G2775)</f>
        <v>1520</v>
      </c>
      <c r="I2775" s="1110">
        <f>ROUNDUP(SUM(I2759:I2774)*5%,-2)</f>
        <v>7600</v>
      </c>
      <c r="J2775" s="558"/>
    </row>
    <row r="2776" spans="1:10">
      <c r="A2776" s="496" t="s">
        <v>1259</v>
      </c>
      <c r="B2776" s="1111" t="s">
        <v>870</v>
      </c>
      <c r="C2776" s="865"/>
      <c r="D2776" s="603"/>
      <c r="E2776" s="604"/>
      <c r="F2776" s="571"/>
      <c r="G2776" s="534"/>
      <c r="H2776" s="571"/>
      <c r="I2776" s="571"/>
      <c r="J2776" s="558"/>
    </row>
    <row r="2777" spans="1:10">
      <c r="A2777" s="502"/>
      <c r="B2777" s="1061" t="s">
        <v>871</v>
      </c>
      <c r="C2777" s="865"/>
      <c r="D2777" s="603"/>
      <c r="E2777" s="604"/>
      <c r="F2777" s="571"/>
      <c r="G2777" s="534"/>
      <c r="H2777" s="571"/>
      <c r="I2777" s="571"/>
      <c r="J2777" s="558"/>
    </row>
    <row r="2778" spans="1:10">
      <c r="A2778" s="502"/>
      <c r="B2778" s="1061" t="s">
        <v>872</v>
      </c>
      <c r="C2778" s="1098">
        <v>1</v>
      </c>
      <c r="D2778" s="1099" t="s">
        <v>15</v>
      </c>
      <c r="E2778" s="1100">
        <v>14000</v>
      </c>
      <c r="F2778" s="1100">
        <f>SUM(C2778*E2778)</f>
        <v>14000</v>
      </c>
      <c r="G2778" s="1100">
        <v>500</v>
      </c>
      <c r="H2778" s="1100">
        <f>SUM(C2778*G2778)</f>
        <v>500</v>
      </c>
      <c r="I2778" s="1100">
        <f>SUM(F2778+H2778)</f>
        <v>14500</v>
      </c>
      <c r="J2778" s="558"/>
    </row>
    <row r="2779" spans="1:10">
      <c r="A2779" s="502"/>
      <c r="B2779" s="1061" t="s">
        <v>873</v>
      </c>
      <c r="C2779" s="1098">
        <v>80</v>
      </c>
      <c r="D2779" s="1094" t="s">
        <v>57</v>
      </c>
      <c r="E2779" s="1100">
        <v>80</v>
      </c>
      <c r="F2779" s="1072">
        <f>SUM(C2779*E2779)</f>
        <v>6400</v>
      </c>
      <c r="G2779" s="1072">
        <v>20</v>
      </c>
      <c r="H2779" s="1072">
        <f>SUM(C2779*G2779)</f>
        <v>1600</v>
      </c>
      <c r="I2779" s="1072">
        <f>SUM(F2779+H2779)</f>
        <v>8000</v>
      </c>
      <c r="J2779" s="558"/>
    </row>
    <row r="2780" spans="1:10">
      <c r="A2780" s="502"/>
      <c r="B2780" s="1061" t="s">
        <v>874</v>
      </c>
      <c r="C2780" s="1098">
        <v>144</v>
      </c>
      <c r="D2780" s="1094" t="s">
        <v>57</v>
      </c>
      <c r="E2780" s="1100">
        <v>18</v>
      </c>
      <c r="F2780" s="1072">
        <f>SUM(C2780*E2780)</f>
        <v>2592</v>
      </c>
      <c r="G2780" s="1072">
        <v>5</v>
      </c>
      <c r="H2780" s="1072">
        <f>SUM(C2780*G2780)</f>
        <v>720</v>
      </c>
      <c r="I2780" s="1072">
        <f>SUM(F2780+H2780)</f>
        <v>3312</v>
      </c>
      <c r="J2780" s="558"/>
    </row>
    <row r="2781" spans="1:10">
      <c r="A2781" s="502"/>
      <c r="B2781" s="1061" t="s">
        <v>841</v>
      </c>
      <c r="C2781" s="1098"/>
      <c r="D2781" s="1105"/>
      <c r="E2781" s="1100"/>
      <c r="F2781" s="1100"/>
      <c r="G2781" s="1100"/>
      <c r="H2781" s="1100"/>
      <c r="I2781" s="1100"/>
      <c r="J2781" s="558"/>
    </row>
    <row r="2782" spans="1:10">
      <c r="A2782" s="502"/>
      <c r="B2782" s="1061" t="s">
        <v>875</v>
      </c>
      <c r="C2782" s="1098">
        <v>80</v>
      </c>
      <c r="D2782" s="1094" t="s">
        <v>57</v>
      </c>
      <c r="E2782" s="489">
        <v>53</v>
      </c>
      <c r="F2782" s="1086">
        <f>E2782*C2782</f>
        <v>4240</v>
      </c>
      <c r="G2782" s="1067">
        <v>28</v>
      </c>
      <c r="H2782" s="1086">
        <f>G2782*C2782</f>
        <v>2240</v>
      </c>
      <c r="I2782" s="1086">
        <f>F2782+H2782</f>
        <v>6480</v>
      </c>
      <c r="J2782" s="558"/>
    </row>
    <row r="2783" spans="1:10">
      <c r="A2783" s="502"/>
      <c r="B2783" s="1061" t="s">
        <v>866</v>
      </c>
      <c r="C2783" s="1098">
        <v>70</v>
      </c>
      <c r="D2783" s="1094" t="s">
        <v>57</v>
      </c>
      <c r="E2783" s="489">
        <v>37</v>
      </c>
      <c r="F2783" s="1086">
        <f>E2783*C2783</f>
        <v>2590</v>
      </c>
      <c r="G2783" s="1067">
        <v>24</v>
      </c>
      <c r="H2783" s="1086">
        <f>G2783*C2783</f>
        <v>1680</v>
      </c>
      <c r="I2783" s="1086">
        <f>F2783+H2783</f>
        <v>4270</v>
      </c>
      <c r="J2783" s="558"/>
    </row>
    <row r="2784" spans="1:10">
      <c r="A2784" s="502"/>
      <c r="B2784" s="1061" t="s">
        <v>867</v>
      </c>
      <c r="C2784" s="1098">
        <v>10</v>
      </c>
      <c r="D2784" s="1094" t="s">
        <v>57</v>
      </c>
      <c r="E2784" s="489">
        <v>26</v>
      </c>
      <c r="F2784" s="1086">
        <f>E2784*C2784</f>
        <v>260</v>
      </c>
      <c r="G2784" s="1067">
        <v>22</v>
      </c>
      <c r="H2784" s="1086">
        <f>G2784*C2784</f>
        <v>220</v>
      </c>
      <c r="I2784" s="1086">
        <f>F2784+H2784</f>
        <v>480</v>
      </c>
      <c r="J2784" s="558"/>
    </row>
    <row r="2785" spans="1:10">
      <c r="A2785" s="502"/>
      <c r="B2785" s="1069" t="s">
        <v>726</v>
      </c>
      <c r="C2785" s="1098">
        <v>1</v>
      </c>
      <c r="D2785" s="1055" t="s">
        <v>508</v>
      </c>
      <c r="E2785" s="1071">
        <f>I2785*0.8</f>
        <v>1520</v>
      </c>
      <c r="F2785" s="1072">
        <f>SUM(C2785*E2785)</f>
        <v>1520</v>
      </c>
      <c r="G2785" s="1072">
        <f>I2785*0.2</f>
        <v>380</v>
      </c>
      <c r="H2785" s="1072">
        <f>SUM(C2785*G2785)</f>
        <v>380</v>
      </c>
      <c r="I2785" s="1072">
        <f>ROUNDUP(SUM(I2776:I2784)*5%,-2)</f>
        <v>1900</v>
      </c>
      <c r="J2785" s="558"/>
    </row>
    <row r="2786" spans="1:10">
      <c r="A2786" s="502"/>
      <c r="B2786" s="649"/>
      <c r="C2786" s="1098"/>
      <c r="D2786" s="597"/>
      <c r="E2786" s="1112"/>
      <c r="F2786" s="1072"/>
      <c r="G2786" s="1072"/>
      <c r="H2786" s="1072"/>
      <c r="I2786" s="1072"/>
      <c r="J2786" s="558"/>
    </row>
    <row r="2787" spans="1:10">
      <c r="A2787" s="832"/>
      <c r="B2787" s="838" t="s">
        <v>1269</v>
      </c>
      <c r="C2787" s="834"/>
      <c r="D2787" s="835"/>
      <c r="E2787" s="836"/>
      <c r="F2787" s="839">
        <f>SUM(F2707:F2786)</f>
        <v>1813868</v>
      </c>
      <c r="G2787" s="839"/>
      <c r="H2787" s="839">
        <f>SUM(H2707:H2786)</f>
        <v>337181</v>
      </c>
      <c r="I2787" s="839">
        <f>SUM(I2707:I2786)</f>
        <v>2151049</v>
      </c>
      <c r="J2787" s="839"/>
    </row>
    <row r="2788" spans="1:10">
      <c r="A2788" s="502"/>
      <c r="B2788" s="649"/>
      <c r="C2788" s="1098"/>
      <c r="D2788" s="597"/>
      <c r="E2788" s="1112"/>
      <c r="F2788" s="1072"/>
      <c r="G2788" s="1072"/>
      <c r="H2788" s="1072"/>
      <c r="I2788" s="1072"/>
      <c r="J2788" s="558"/>
    </row>
    <row r="2789" spans="1:10">
      <c r="A2789" s="496">
        <v>5.7</v>
      </c>
      <c r="B2789" s="1097" t="s">
        <v>1170</v>
      </c>
      <c r="C2789" s="1113"/>
      <c r="D2789" s="1092"/>
      <c r="E2789" s="1114"/>
      <c r="F2789" s="1115"/>
      <c r="G2789" s="1093"/>
      <c r="H2789" s="1115"/>
      <c r="I2789" s="1115"/>
      <c r="J2789" s="558"/>
    </row>
    <row r="2790" spans="1:10">
      <c r="A2790" s="496" t="s">
        <v>1260</v>
      </c>
      <c r="B2790" s="1080" t="s">
        <v>728</v>
      </c>
      <c r="C2790" s="1113"/>
      <c r="D2790" s="1116"/>
      <c r="E2790" s="1113"/>
      <c r="F2790" s="1117"/>
      <c r="G2790" s="1118"/>
      <c r="H2790" s="1117"/>
      <c r="I2790" s="1117"/>
      <c r="J2790" s="558"/>
    </row>
    <row r="2791" spans="1:10">
      <c r="A2791" s="502"/>
      <c r="B2791" s="1085" t="s">
        <v>1171</v>
      </c>
      <c r="C2791" s="1113">
        <v>1</v>
      </c>
      <c r="D2791" s="510" t="s">
        <v>15</v>
      </c>
      <c r="E2791" s="1114">
        <v>12140</v>
      </c>
      <c r="F2791" s="1115">
        <f>E2791*C2791</f>
        <v>12140</v>
      </c>
      <c r="G2791" s="1087">
        <v>1000</v>
      </c>
      <c r="H2791" s="1086">
        <f>G2791*C2791</f>
        <v>1000</v>
      </c>
      <c r="I2791" s="1086">
        <f>F2791+H2791</f>
        <v>13140</v>
      </c>
      <c r="J2791" s="558"/>
    </row>
    <row r="2792" spans="1:10">
      <c r="A2792" s="502"/>
      <c r="B2792" s="1085" t="s">
        <v>667</v>
      </c>
      <c r="C2792" s="1081">
        <v>1</v>
      </c>
      <c r="D2792" s="1089" t="s">
        <v>508</v>
      </c>
      <c r="E2792" s="1090">
        <f>I2792*0.8</f>
        <v>560</v>
      </c>
      <c r="F2792" s="1091">
        <f>C2792*E2792</f>
        <v>560</v>
      </c>
      <c r="G2792" s="1091">
        <f>I2792*0.2</f>
        <v>140</v>
      </c>
      <c r="H2792" s="1086">
        <f>C2792*G2792</f>
        <v>140</v>
      </c>
      <c r="I2792" s="1086">
        <f>ROUNDUP(SUM(I2791:I2791)*5%,-2)</f>
        <v>700</v>
      </c>
      <c r="J2792" s="558"/>
    </row>
    <row r="2793" spans="1:10">
      <c r="A2793" s="496" t="s">
        <v>1261</v>
      </c>
      <c r="B2793" s="1080" t="s">
        <v>762</v>
      </c>
      <c r="C2793" s="1081"/>
      <c r="D2793" s="1082"/>
      <c r="E2793" s="1081"/>
      <c r="F2793" s="1083"/>
      <c r="G2793" s="1084"/>
      <c r="H2793" s="1083"/>
      <c r="I2793" s="1083"/>
      <c r="J2793" s="558"/>
    </row>
    <row r="2794" spans="1:10">
      <c r="A2794" s="496"/>
      <c r="B2794" s="1085" t="s">
        <v>768</v>
      </c>
      <c r="C2794" s="1081">
        <v>48</v>
      </c>
      <c r="D2794" s="510" t="s">
        <v>15</v>
      </c>
      <c r="E2794" s="1088">
        <v>950</v>
      </c>
      <c r="F2794" s="1086">
        <f>E2794*C2794</f>
        <v>45600</v>
      </c>
      <c r="G2794" s="1087">
        <v>150</v>
      </c>
      <c r="H2794" s="1086">
        <f>G2794*C2794</f>
        <v>7200</v>
      </c>
      <c r="I2794" s="1086">
        <f>F2794+H2794</f>
        <v>52800</v>
      </c>
      <c r="J2794" s="558"/>
    </row>
    <row r="2795" spans="1:10">
      <c r="A2795" s="496"/>
      <c r="B2795" s="1085" t="s">
        <v>768</v>
      </c>
      <c r="C2795" s="1081">
        <v>2</v>
      </c>
      <c r="D2795" s="510" t="s">
        <v>15</v>
      </c>
      <c r="E2795" s="1088">
        <v>3000</v>
      </c>
      <c r="F2795" s="1086">
        <f>E2795*C2795</f>
        <v>6000</v>
      </c>
      <c r="G2795" s="1087">
        <v>165</v>
      </c>
      <c r="H2795" s="1086">
        <f>G2795*C2795</f>
        <v>330</v>
      </c>
      <c r="I2795" s="1086">
        <f>F2795+H2795</f>
        <v>6330</v>
      </c>
      <c r="J2795" s="558"/>
    </row>
    <row r="2796" spans="1:10">
      <c r="A2796" s="496"/>
      <c r="B2796" s="1085" t="s">
        <v>667</v>
      </c>
      <c r="C2796" s="1081">
        <v>1</v>
      </c>
      <c r="D2796" s="1089" t="s">
        <v>508</v>
      </c>
      <c r="E2796" s="1090">
        <f>I2796*0.8</f>
        <v>2400</v>
      </c>
      <c r="F2796" s="1091">
        <f>C2796*E2796</f>
        <v>2400</v>
      </c>
      <c r="G2796" s="1091">
        <f>I2796*0.2</f>
        <v>600</v>
      </c>
      <c r="H2796" s="1086">
        <f>C2796*G2796</f>
        <v>600</v>
      </c>
      <c r="I2796" s="1086">
        <f>ROUNDUP(SUM(I2794:I2795)*5%,-2)</f>
        <v>3000</v>
      </c>
      <c r="J2796" s="558"/>
    </row>
    <row r="2797" spans="1:10">
      <c r="A2797" s="496" t="s">
        <v>1262</v>
      </c>
      <c r="B2797" s="1080" t="s">
        <v>776</v>
      </c>
      <c r="C2797" s="1081"/>
      <c r="D2797" s="1082"/>
      <c r="E2797" s="1081"/>
      <c r="F2797" s="1083"/>
      <c r="G2797" s="1084"/>
      <c r="H2797" s="1083"/>
      <c r="I2797" s="1083"/>
      <c r="J2797" s="558"/>
    </row>
    <row r="2798" spans="1:10">
      <c r="A2798" s="502"/>
      <c r="B2798" s="1085" t="s">
        <v>781</v>
      </c>
      <c r="C2798" s="1081">
        <v>85</v>
      </c>
      <c r="D2798" s="1094" t="s">
        <v>57</v>
      </c>
      <c r="E2798" s="489">
        <v>97</v>
      </c>
      <c r="F2798" s="1086">
        <f>E2798*C2798</f>
        <v>8245</v>
      </c>
      <c r="G2798" s="1067">
        <v>32</v>
      </c>
      <c r="H2798" s="1086">
        <f>G2798*C2798</f>
        <v>2720</v>
      </c>
      <c r="I2798" s="1086">
        <f>F2798+H2798</f>
        <v>10965</v>
      </c>
      <c r="J2798" s="558"/>
    </row>
    <row r="2799" spans="1:10">
      <c r="A2799" s="502"/>
      <c r="B2799" s="1085" t="s">
        <v>788</v>
      </c>
      <c r="C2799" s="1081">
        <v>390</v>
      </c>
      <c r="D2799" s="1094" t="s">
        <v>57</v>
      </c>
      <c r="E2799" s="489">
        <v>26</v>
      </c>
      <c r="F2799" s="1086">
        <f>E2799*C2799</f>
        <v>10140</v>
      </c>
      <c r="G2799" s="1067">
        <v>22</v>
      </c>
      <c r="H2799" s="1086">
        <f>G2799*C2799</f>
        <v>8580</v>
      </c>
      <c r="I2799" s="1086">
        <f>F2799+H2799</f>
        <v>18720</v>
      </c>
      <c r="J2799" s="558"/>
    </row>
    <row r="2800" spans="1:10">
      <c r="A2800" s="502"/>
      <c r="B2800" s="1085" t="s">
        <v>791</v>
      </c>
      <c r="C2800" s="1081">
        <v>1</v>
      </c>
      <c r="D2800" s="1089" t="s">
        <v>508</v>
      </c>
      <c r="E2800" s="1090">
        <f>I2800*0.8</f>
        <v>2400</v>
      </c>
      <c r="F2800" s="1091">
        <f>C2800*E2800</f>
        <v>2400</v>
      </c>
      <c r="G2800" s="1091">
        <f>I2800*0.2</f>
        <v>600</v>
      </c>
      <c r="H2800" s="1086">
        <f>C2800*G2800</f>
        <v>600</v>
      </c>
      <c r="I2800" s="1086">
        <f>ROUNDUP(SUM(I2798:I2799)*10%,-2)</f>
        <v>3000</v>
      </c>
      <c r="J2800" s="558"/>
    </row>
    <row r="2801" spans="1:10">
      <c r="A2801" s="502"/>
      <c r="B2801" s="1085" t="s">
        <v>667</v>
      </c>
      <c r="C2801" s="1081">
        <v>1</v>
      </c>
      <c r="D2801" s="1089" t="s">
        <v>508</v>
      </c>
      <c r="E2801" s="1090">
        <f>I2801*0.8</f>
        <v>1360</v>
      </c>
      <c r="F2801" s="1091">
        <f>C2801*E2801</f>
        <v>1360</v>
      </c>
      <c r="G2801" s="1091">
        <f>I2801*0.2</f>
        <v>340</v>
      </c>
      <c r="H2801" s="1086">
        <f>C2801*G2801</f>
        <v>340</v>
      </c>
      <c r="I2801" s="1086">
        <f>ROUNDUP(SUM(I2798:I2800)*5%,-2)</f>
        <v>1700</v>
      </c>
      <c r="J2801" s="558"/>
    </row>
    <row r="2802" spans="1:10">
      <c r="A2802" s="496" t="s">
        <v>1263</v>
      </c>
      <c r="B2802" s="1080" t="s">
        <v>793</v>
      </c>
      <c r="C2802" s="1081"/>
      <c r="D2802" s="1082"/>
      <c r="E2802" s="1081"/>
      <c r="F2802" s="1083"/>
      <c r="G2802" s="1084"/>
      <c r="H2802" s="1083"/>
      <c r="I2802" s="1083"/>
      <c r="J2802" s="558"/>
    </row>
    <row r="2803" spans="1:10">
      <c r="A2803" s="502"/>
      <c r="B2803" s="1085" t="s">
        <v>804</v>
      </c>
      <c r="C2803" s="1081">
        <v>340</v>
      </c>
      <c r="D2803" s="1094" t="s">
        <v>57</v>
      </c>
      <c r="E2803" s="489">
        <v>36</v>
      </c>
      <c r="F2803" s="1086">
        <f>E2803*C2803</f>
        <v>12240</v>
      </c>
      <c r="G2803" s="1067">
        <v>16</v>
      </c>
      <c r="H2803" s="1086">
        <f>G2803*C2803</f>
        <v>5440</v>
      </c>
      <c r="I2803" s="1086">
        <f>F2803+H2803</f>
        <v>17680</v>
      </c>
      <c r="J2803" s="558"/>
    </row>
    <row r="2804" spans="1:10">
      <c r="A2804" s="502"/>
      <c r="B2804" s="1085" t="s">
        <v>805</v>
      </c>
      <c r="C2804" s="1081">
        <v>85</v>
      </c>
      <c r="D2804" s="1094" t="s">
        <v>57</v>
      </c>
      <c r="E2804" s="489">
        <v>21</v>
      </c>
      <c r="F2804" s="1086">
        <f>E2804*C2804</f>
        <v>1785</v>
      </c>
      <c r="G2804" s="1067">
        <v>12</v>
      </c>
      <c r="H2804" s="1086">
        <f>G2804*C2804</f>
        <v>1020</v>
      </c>
      <c r="I2804" s="1086">
        <f>F2804+H2804</f>
        <v>2805</v>
      </c>
      <c r="J2804" s="558"/>
    </row>
    <row r="2805" spans="1:10">
      <c r="A2805" s="502"/>
      <c r="B2805" s="1085" t="s">
        <v>806</v>
      </c>
      <c r="C2805" s="1081">
        <v>400</v>
      </c>
      <c r="D2805" s="1094" t="s">
        <v>57</v>
      </c>
      <c r="E2805" s="489">
        <v>13</v>
      </c>
      <c r="F2805" s="1086">
        <f>E2805*C2805</f>
        <v>5200</v>
      </c>
      <c r="G2805" s="1067">
        <v>10</v>
      </c>
      <c r="H2805" s="1086">
        <f>G2805*C2805</f>
        <v>4000</v>
      </c>
      <c r="I2805" s="1086">
        <f>F2805+H2805</f>
        <v>9200</v>
      </c>
      <c r="J2805" s="558"/>
    </row>
    <row r="2806" spans="1:10">
      <c r="A2806" s="502"/>
      <c r="B2806" s="1085" t="s">
        <v>807</v>
      </c>
      <c r="C2806" s="1081">
        <v>840</v>
      </c>
      <c r="D2806" s="1094" t="s">
        <v>57</v>
      </c>
      <c r="E2806" s="489">
        <v>9</v>
      </c>
      <c r="F2806" s="1086">
        <f>E2806*C2806</f>
        <v>7560</v>
      </c>
      <c r="G2806" s="1067">
        <v>7</v>
      </c>
      <c r="H2806" s="1086">
        <f>G2806*C2806</f>
        <v>5880</v>
      </c>
      <c r="I2806" s="1086">
        <f>F2806+H2806</f>
        <v>13440</v>
      </c>
      <c r="J2806" s="558"/>
    </row>
    <row r="2807" spans="1:10">
      <c r="A2807" s="502"/>
      <c r="B2807" s="1085" t="s">
        <v>667</v>
      </c>
      <c r="C2807" s="1081">
        <v>1</v>
      </c>
      <c r="D2807" s="1089" t="s">
        <v>508</v>
      </c>
      <c r="E2807" s="1090">
        <f>I2807*0.8</f>
        <v>1760</v>
      </c>
      <c r="F2807" s="1091">
        <f>C2807*E2807</f>
        <v>1760</v>
      </c>
      <c r="G2807" s="1091">
        <f>I2807*0.2</f>
        <v>440</v>
      </c>
      <c r="H2807" s="1086">
        <f>C2807*G2807</f>
        <v>440</v>
      </c>
      <c r="I2807" s="1086">
        <f>ROUNDUP(SUM(I2803:I2806)*5%,-2)</f>
        <v>2200</v>
      </c>
      <c r="J2807" s="558"/>
    </row>
    <row r="2808" spans="1:10">
      <c r="A2808" s="496" t="s">
        <v>1264</v>
      </c>
      <c r="B2808" s="1080" t="s">
        <v>811</v>
      </c>
      <c r="C2808" s="1081"/>
      <c r="D2808" s="1082"/>
      <c r="E2808" s="1081"/>
      <c r="F2808" s="1083"/>
      <c r="G2808" s="1084"/>
      <c r="H2808" s="1083"/>
      <c r="I2808" s="1083"/>
      <c r="J2808" s="558"/>
    </row>
    <row r="2809" spans="1:10">
      <c r="A2809" s="502"/>
      <c r="B2809" s="1085" t="s">
        <v>812</v>
      </c>
      <c r="C2809" s="1081">
        <v>14</v>
      </c>
      <c r="D2809" s="510" t="s">
        <v>15</v>
      </c>
      <c r="E2809" s="489">
        <v>57</v>
      </c>
      <c r="F2809" s="1086">
        <f>E2809*C2809</f>
        <v>798</v>
      </c>
      <c r="G2809" s="1067">
        <v>80</v>
      </c>
      <c r="H2809" s="1086">
        <f>G2809*C2809</f>
        <v>1120</v>
      </c>
      <c r="I2809" s="1086">
        <f>F2809+H2809</f>
        <v>1918</v>
      </c>
      <c r="J2809" s="558"/>
    </row>
    <row r="2810" spans="1:10">
      <c r="A2810" s="502"/>
      <c r="B2810" s="1085" t="s">
        <v>816</v>
      </c>
      <c r="C2810" s="1081">
        <v>18</v>
      </c>
      <c r="D2810" s="510" t="s">
        <v>15</v>
      </c>
      <c r="E2810" s="489">
        <v>170</v>
      </c>
      <c r="F2810" s="1086">
        <f>E2810*C2810</f>
        <v>3060</v>
      </c>
      <c r="G2810" s="1067">
        <v>90</v>
      </c>
      <c r="H2810" s="1086">
        <f>G2810*C2810</f>
        <v>1620</v>
      </c>
      <c r="I2810" s="1086">
        <f>F2810+H2810</f>
        <v>4680</v>
      </c>
      <c r="J2810" s="558"/>
    </row>
    <row r="2811" spans="1:10">
      <c r="A2811" s="502"/>
      <c r="B2811" s="1085" t="s">
        <v>667</v>
      </c>
      <c r="C2811" s="1081">
        <v>1</v>
      </c>
      <c r="D2811" s="1089" t="s">
        <v>508</v>
      </c>
      <c r="E2811" s="1090">
        <f>I2811*0.8</f>
        <v>320</v>
      </c>
      <c r="F2811" s="1091">
        <f>C2811*E2811</f>
        <v>320</v>
      </c>
      <c r="G2811" s="1091">
        <f>I2811*0.2</f>
        <v>80</v>
      </c>
      <c r="H2811" s="1086">
        <f>C2811*G2811</f>
        <v>80</v>
      </c>
      <c r="I2811" s="1086">
        <f>ROUNDUP(SUM(I2809:I2810)*5%,-2)</f>
        <v>400</v>
      </c>
      <c r="J2811" s="558"/>
    </row>
    <row r="2812" spans="1:10">
      <c r="A2812" s="496" t="s">
        <v>1265</v>
      </c>
      <c r="B2812" s="572" t="s">
        <v>844</v>
      </c>
      <c r="C2812" s="506"/>
      <c r="D2812" s="506"/>
      <c r="E2812" s="506"/>
      <c r="F2812" s="489"/>
      <c r="G2812" s="550"/>
      <c r="H2812" s="550"/>
      <c r="I2812" s="550"/>
      <c r="J2812" s="558"/>
    </row>
    <row r="2813" spans="1:10">
      <c r="A2813" s="502"/>
      <c r="B2813" s="1061" t="s">
        <v>848</v>
      </c>
      <c r="C2813" s="1172">
        <v>4</v>
      </c>
      <c r="D2813" s="1099" t="s">
        <v>15</v>
      </c>
      <c r="E2813" s="1100">
        <v>250</v>
      </c>
      <c r="F2813" s="1100">
        <f>SUM(C2813*E2813)</f>
        <v>1000</v>
      </c>
      <c r="G2813" s="1100">
        <v>40</v>
      </c>
      <c r="H2813" s="1100">
        <f>SUM(C2813*G2813)</f>
        <v>160</v>
      </c>
      <c r="I2813" s="1100">
        <f>SUM(F2813+H2813)</f>
        <v>1160</v>
      </c>
      <c r="J2813" s="558"/>
    </row>
    <row r="2814" spans="1:10">
      <c r="A2814" s="502"/>
      <c r="B2814" s="1061" t="s">
        <v>838</v>
      </c>
      <c r="C2814" s="1172">
        <v>260</v>
      </c>
      <c r="D2814" s="1094" t="s">
        <v>57</v>
      </c>
      <c r="E2814" s="1100">
        <v>18</v>
      </c>
      <c r="F2814" s="1100">
        <f>SUM(C2814*E2814)</f>
        <v>4680</v>
      </c>
      <c r="G2814" s="1100">
        <v>5</v>
      </c>
      <c r="H2814" s="1100">
        <f>SUM(C2814*G2814)</f>
        <v>1300</v>
      </c>
      <c r="I2814" s="1100">
        <f>SUM(F2814+H2814)</f>
        <v>5980</v>
      </c>
      <c r="J2814" s="558"/>
    </row>
    <row r="2815" spans="1:10">
      <c r="A2815" s="502"/>
      <c r="B2815" s="1061" t="s">
        <v>841</v>
      </c>
      <c r="C2815" s="1173"/>
      <c r="D2815" s="1099"/>
      <c r="E2815" s="1100"/>
      <c r="F2815" s="1100"/>
      <c r="G2815" s="1100"/>
      <c r="H2815" s="1100"/>
      <c r="I2815" s="1100"/>
      <c r="J2815" s="558"/>
    </row>
    <row r="2816" spans="1:10">
      <c r="A2816" s="502"/>
      <c r="B2816" s="1061" t="s">
        <v>842</v>
      </c>
      <c r="C2816" s="1173">
        <v>120</v>
      </c>
      <c r="D2816" s="1094" t="s">
        <v>57</v>
      </c>
      <c r="E2816" s="489">
        <v>37</v>
      </c>
      <c r="F2816" s="1086">
        <f>E2816*C2816</f>
        <v>4440</v>
      </c>
      <c r="G2816" s="1067">
        <v>24</v>
      </c>
      <c r="H2816" s="1086">
        <f>G2816*C2816</f>
        <v>2880</v>
      </c>
      <c r="I2816" s="1086">
        <f>F2816+H2816</f>
        <v>7320</v>
      </c>
      <c r="J2816" s="558"/>
    </row>
    <row r="2817" spans="1:10">
      <c r="A2817" s="502"/>
      <c r="B2817" s="1061" t="s">
        <v>843</v>
      </c>
      <c r="C2817" s="1173">
        <v>12</v>
      </c>
      <c r="D2817" s="1094" t="s">
        <v>57</v>
      </c>
      <c r="E2817" s="489">
        <v>26</v>
      </c>
      <c r="F2817" s="1086">
        <f>E2817*C2817</f>
        <v>312</v>
      </c>
      <c r="G2817" s="1067">
        <v>22</v>
      </c>
      <c r="H2817" s="1086">
        <f>G2817*C2817</f>
        <v>264</v>
      </c>
      <c r="I2817" s="1086">
        <f>F2817+H2817</f>
        <v>576</v>
      </c>
      <c r="J2817" s="558"/>
    </row>
    <row r="2818" spans="1:10">
      <c r="A2818" s="502"/>
      <c r="B2818" s="1102" t="s">
        <v>726</v>
      </c>
      <c r="C2818" s="1173">
        <v>1</v>
      </c>
      <c r="D2818" s="1055" t="s">
        <v>508</v>
      </c>
      <c r="E2818" s="1103">
        <f>I2818*0.8</f>
        <v>640</v>
      </c>
      <c r="F2818" s="1100">
        <f>SUM(C2818*E2818)</f>
        <v>640</v>
      </c>
      <c r="G2818" s="1100">
        <f>I2818*0.2</f>
        <v>160</v>
      </c>
      <c r="H2818" s="1100">
        <f>SUM(C2818*G2818)</f>
        <v>160</v>
      </c>
      <c r="I2818" s="1100">
        <f>ROUNDUP(SUM(I2813:I2817)*5%,-2)</f>
        <v>800</v>
      </c>
      <c r="J2818" s="558"/>
    </row>
    <row r="2819" spans="1:10">
      <c r="A2819" s="496" t="s">
        <v>1266</v>
      </c>
      <c r="B2819" s="601" t="s">
        <v>852</v>
      </c>
      <c r="C2819" s="1162"/>
      <c r="D2819" s="574"/>
      <c r="E2819" s="575"/>
      <c r="F2819" s="568"/>
      <c r="G2819" s="568"/>
      <c r="H2819" s="568"/>
      <c r="I2819" s="568"/>
      <c r="J2819" s="558"/>
    </row>
    <row r="2820" spans="1:10">
      <c r="A2820" s="502"/>
      <c r="B2820" s="1061" t="s">
        <v>857</v>
      </c>
      <c r="C2820" s="1172">
        <v>1</v>
      </c>
      <c r="D2820" s="1099" t="s">
        <v>15</v>
      </c>
      <c r="E2820" s="1100">
        <v>2100</v>
      </c>
      <c r="F2820" s="1072">
        <f>SUM(C2820*E2820)</f>
        <v>2100</v>
      </c>
      <c r="G2820" s="1072">
        <v>100</v>
      </c>
      <c r="H2820" s="1072">
        <f>SUM(C2820*G2820)</f>
        <v>100</v>
      </c>
      <c r="I2820" s="1072">
        <f>SUM(F2820+H2820)</f>
        <v>2200</v>
      </c>
      <c r="J2820" s="558"/>
    </row>
    <row r="2821" spans="1:10">
      <c r="A2821" s="502"/>
      <c r="B2821" s="1061" t="s">
        <v>858</v>
      </c>
      <c r="C2821" s="1172">
        <v>6</v>
      </c>
      <c r="D2821" s="1099" t="s">
        <v>15</v>
      </c>
      <c r="E2821" s="1100">
        <v>1400</v>
      </c>
      <c r="F2821" s="1072">
        <f>SUM(C2821*E2821)</f>
        <v>8400</v>
      </c>
      <c r="G2821" s="1072">
        <v>100</v>
      </c>
      <c r="H2821" s="1072">
        <f>SUM(C2821*G2821)</f>
        <v>600</v>
      </c>
      <c r="I2821" s="1072">
        <f>SUM(F2821+H2821)</f>
        <v>9000</v>
      </c>
      <c r="J2821" s="558"/>
    </row>
    <row r="2822" spans="1:10">
      <c r="A2822" s="502"/>
      <c r="B2822" s="1061" t="s">
        <v>859</v>
      </c>
      <c r="C2822" s="1172">
        <v>4</v>
      </c>
      <c r="D2822" s="1099" t="s">
        <v>15</v>
      </c>
      <c r="E2822" s="1100">
        <v>750</v>
      </c>
      <c r="F2822" s="1072">
        <f>SUM(C2822*E2822)</f>
        <v>3000</v>
      </c>
      <c r="G2822" s="1072">
        <v>100</v>
      </c>
      <c r="H2822" s="1072">
        <f>SUM(C2822*G2822)</f>
        <v>400</v>
      </c>
      <c r="I2822" s="1072">
        <f>SUM(F2822+H2822)</f>
        <v>3400</v>
      </c>
      <c r="J2822" s="558"/>
    </row>
    <row r="2823" spans="1:10">
      <c r="A2823" s="1104"/>
      <c r="B2823" s="1061" t="s">
        <v>897</v>
      </c>
      <c r="C2823" s="1172">
        <v>1</v>
      </c>
      <c r="D2823" s="1099" t="s">
        <v>15</v>
      </c>
      <c r="E2823" s="1100">
        <v>600</v>
      </c>
      <c r="F2823" s="1072">
        <f>SUM(C2823*E2823)</f>
        <v>600</v>
      </c>
      <c r="G2823" s="1072">
        <v>100</v>
      </c>
      <c r="H2823" s="1072">
        <f>SUM(C2823*G2823)</f>
        <v>100</v>
      </c>
      <c r="I2823" s="1072">
        <f>SUM(F2823+H2823)</f>
        <v>700</v>
      </c>
      <c r="J2823" s="1083"/>
    </row>
    <row r="2824" spans="1:10">
      <c r="A2824" s="502"/>
      <c r="B2824" s="1061" t="s">
        <v>860</v>
      </c>
      <c r="C2824" s="1172">
        <v>1</v>
      </c>
      <c r="D2824" s="1099" t="s">
        <v>15</v>
      </c>
      <c r="E2824" s="1100">
        <v>4700</v>
      </c>
      <c r="F2824" s="1072">
        <f>SUM(C2824*E2824)</f>
        <v>4700</v>
      </c>
      <c r="G2824" s="1072">
        <v>200</v>
      </c>
      <c r="H2824" s="1072">
        <f>SUM(C2824*G2824)</f>
        <v>200</v>
      </c>
      <c r="I2824" s="1072">
        <f>SUM(F2824+H2824)</f>
        <v>4900</v>
      </c>
      <c r="J2824" s="558"/>
    </row>
    <row r="2825" spans="1:10">
      <c r="A2825" s="502"/>
      <c r="B2825" s="1061" t="s">
        <v>861</v>
      </c>
      <c r="C2825" s="1172"/>
      <c r="D2825" s="1105"/>
      <c r="E2825" s="1100"/>
      <c r="F2825" s="1100"/>
      <c r="G2825" s="1100"/>
      <c r="H2825" s="1100"/>
      <c r="I2825" s="1100"/>
      <c r="J2825" s="558"/>
    </row>
    <row r="2826" spans="1:10">
      <c r="A2826" s="502"/>
      <c r="B2826" s="1061" t="s">
        <v>863</v>
      </c>
      <c r="C2826" s="1172">
        <v>130</v>
      </c>
      <c r="D2826" s="1094" t="s">
        <v>57</v>
      </c>
      <c r="E2826" s="1100">
        <v>30</v>
      </c>
      <c r="F2826" s="1072">
        <f>SUM(C2826*E2826)</f>
        <v>3900</v>
      </c>
      <c r="G2826" s="1072">
        <v>12</v>
      </c>
      <c r="H2826" s="1072">
        <f>SUM(C2826*G2826)</f>
        <v>1560</v>
      </c>
      <c r="I2826" s="1072">
        <f>SUM(F2826+H2826)</f>
        <v>5460</v>
      </c>
      <c r="J2826" s="558"/>
    </row>
    <row r="2827" spans="1:10">
      <c r="A2827" s="502"/>
      <c r="B2827" s="1061" t="s">
        <v>864</v>
      </c>
      <c r="C2827" s="1172">
        <v>400</v>
      </c>
      <c r="D2827" s="1094" t="s">
        <v>57</v>
      </c>
      <c r="E2827" s="1100">
        <v>6</v>
      </c>
      <c r="F2827" s="1072">
        <f>SUM(C2827*E2827)</f>
        <v>2400</v>
      </c>
      <c r="G2827" s="1072">
        <v>5</v>
      </c>
      <c r="H2827" s="1072">
        <f>SUM(C2827*G2827)</f>
        <v>2000</v>
      </c>
      <c r="I2827" s="1072">
        <f>SUM(F2827+H2827)</f>
        <v>4400</v>
      </c>
      <c r="J2827" s="558"/>
    </row>
    <row r="2828" spans="1:10">
      <c r="A2828" s="502"/>
      <c r="B2828" s="1061" t="s">
        <v>865</v>
      </c>
      <c r="C2828" s="1172">
        <v>65</v>
      </c>
      <c r="D2828" s="1094" t="s">
        <v>57</v>
      </c>
      <c r="E2828" s="1100">
        <v>8</v>
      </c>
      <c r="F2828" s="1072">
        <f>SUM(C2828*E2828)</f>
        <v>520</v>
      </c>
      <c r="G2828" s="1072">
        <v>3</v>
      </c>
      <c r="H2828" s="1072">
        <f>SUM(C2828*G2828)</f>
        <v>195</v>
      </c>
      <c r="I2828" s="1072">
        <f>SUM(F2828+H2828)</f>
        <v>715</v>
      </c>
      <c r="J2828" s="558"/>
    </row>
    <row r="2829" spans="1:10">
      <c r="A2829" s="502"/>
      <c r="B2829" s="1061" t="s">
        <v>841</v>
      </c>
      <c r="C2829" s="1172"/>
      <c r="D2829" s="1105"/>
      <c r="E2829" s="1100"/>
      <c r="F2829" s="1100"/>
      <c r="G2829" s="1100"/>
      <c r="H2829" s="1100"/>
      <c r="I2829" s="1100"/>
      <c r="J2829" s="558"/>
    </row>
    <row r="2830" spans="1:10">
      <c r="A2830" s="502"/>
      <c r="B2830" s="1061" t="s">
        <v>866</v>
      </c>
      <c r="C2830" s="1172">
        <v>63</v>
      </c>
      <c r="D2830" s="1094" t="s">
        <v>57</v>
      </c>
      <c r="E2830" s="489">
        <v>37</v>
      </c>
      <c r="F2830" s="1086">
        <f>E2830*C2830</f>
        <v>2331</v>
      </c>
      <c r="G2830" s="1067">
        <v>24</v>
      </c>
      <c r="H2830" s="1086">
        <f>G2830*C2830</f>
        <v>1512</v>
      </c>
      <c r="I2830" s="1086">
        <f>F2830+H2830</f>
        <v>3843</v>
      </c>
      <c r="J2830" s="558"/>
    </row>
    <row r="2831" spans="1:10">
      <c r="A2831" s="502"/>
      <c r="B2831" s="1061" t="s">
        <v>867</v>
      </c>
      <c r="C2831" s="1172">
        <v>150</v>
      </c>
      <c r="D2831" s="1094" t="s">
        <v>57</v>
      </c>
      <c r="E2831" s="489">
        <v>26</v>
      </c>
      <c r="F2831" s="1086">
        <f>E2831*C2831</f>
        <v>3900</v>
      </c>
      <c r="G2831" s="1067">
        <v>22</v>
      </c>
      <c r="H2831" s="1086">
        <f>G2831*C2831</f>
        <v>3300</v>
      </c>
      <c r="I2831" s="1086">
        <f>F2831+H2831</f>
        <v>7200</v>
      </c>
      <c r="J2831" s="558"/>
    </row>
    <row r="2832" spans="1:10">
      <c r="A2832" s="502"/>
      <c r="B2832" s="1106" t="s">
        <v>726</v>
      </c>
      <c r="C2832" s="1174">
        <v>1</v>
      </c>
      <c r="D2832" s="606" t="s">
        <v>508</v>
      </c>
      <c r="E2832" s="1071">
        <f>I2832*0.8</f>
        <v>1680</v>
      </c>
      <c r="F2832" s="1072">
        <f>SUM(C2832*E2832)</f>
        <v>1680</v>
      </c>
      <c r="G2832" s="1072">
        <f>I2832*0.2</f>
        <v>420</v>
      </c>
      <c r="H2832" s="1072">
        <f>SUM(C2832*G2832)</f>
        <v>420</v>
      </c>
      <c r="I2832" s="1072">
        <f>ROUNDUP(SUM(I2820:I2831)*5%,-2)</f>
        <v>2100</v>
      </c>
      <c r="J2832" s="558"/>
    </row>
    <row r="2833" spans="1:10">
      <c r="A2833" s="496" t="s">
        <v>1267</v>
      </c>
      <c r="B2833" s="601" t="s">
        <v>870</v>
      </c>
      <c r="C2833" s="1163"/>
      <c r="D2833" s="603"/>
      <c r="E2833" s="604"/>
      <c r="F2833" s="571"/>
      <c r="G2833" s="534"/>
      <c r="H2833" s="571"/>
      <c r="I2833" s="571"/>
      <c r="J2833" s="558"/>
    </row>
    <row r="2834" spans="1:10">
      <c r="A2834" s="502"/>
      <c r="B2834" s="1061" t="s">
        <v>871</v>
      </c>
      <c r="C2834" s="1163"/>
      <c r="D2834" s="603"/>
      <c r="E2834" s="604"/>
      <c r="F2834" s="571"/>
      <c r="G2834" s="534"/>
      <c r="H2834" s="571"/>
      <c r="I2834" s="571"/>
      <c r="J2834" s="558"/>
    </row>
    <row r="2835" spans="1:10">
      <c r="A2835" s="502"/>
      <c r="B2835" s="1061" t="s">
        <v>874</v>
      </c>
      <c r="C2835" s="1172">
        <v>63</v>
      </c>
      <c r="D2835" s="1094" t="s">
        <v>57</v>
      </c>
      <c r="E2835" s="1100">
        <v>18</v>
      </c>
      <c r="F2835" s="1072">
        <f>SUM(C2835*E2835)</f>
        <v>1134</v>
      </c>
      <c r="G2835" s="1072">
        <v>5</v>
      </c>
      <c r="H2835" s="1072">
        <f>SUM(C2835*G2835)</f>
        <v>315</v>
      </c>
      <c r="I2835" s="1072">
        <f>SUM(F2835+H2835)</f>
        <v>1449</v>
      </c>
      <c r="J2835" s="558"/>
    </row>
    <row r="2836" spans="1:10">
      <c r="A2836" s="502"/>
      <c r="B2836" s="1061" t="s">
        <v>841</v>
      </c>
      <c r="C2836" s="1172"/>
      <c r="D2836" s="1105"/>
      <c r="E2836" s="1100"/>
      <c r="F2836" s="1100"/>
      <c r="G2836" s="1100"/>
      <c r="H2836" s="1100"/>
      <c r="I2836" s="1100"/>
      <c r="J2836" s="558"/>
    </row>
    <row r="2837" spans="1:10">
      <c r="A2837" s="502"/>
      <c r="B2837" s="1061" t="s">
        <v>867</v>
      </c>
      <c r="C2837" s="1172">
        <v>60</v>
      </c>
      <c r="D2837" s="1094" t="s">
        <v>57</v>
      </c>
      <c r="E2837" s="489">
        <v>26</v>
      </c>
      <c r="F2837" s="1086">
        <f>E2837*C2837</f>
        <v>1560</v>
      </c>
      <c r="G2837" s="1067">
        <v>22</v>
      </c>
      <c r="H2837" s="1086">
        <f>G2837*C2837</f>
        <v>1320</v>
      </c>
      <c r="I2837" s="1086">
        <f>F2837+H2837</f>
        <v>2880</v>
      </c>
      <c r="J2837" s="558"/>
    </row>
    <row r="2838" spans="1:10">
      <c r="A2838" s="502"/>
      <c r="B2838" s="1069" t="s">
        <v>726</v>
      </c>
      <c r="C2838" s="1172">
        <v>1</v>
      </c>
      <c r="D2838" s="1055" t="s">
        <v>508</v>
      </c>
      <c r="E2838" s="1071">
        <f>I2838*0.8</f>
        <v>240</v>
      </c>
      <c r="F2838" s="1072">
        <f>SUM(C2838*E2838)</f>
        <v>240</v>
      </c>
      <c r="G2838" s="1072">
        <f>I2838*0.2</f>
        <v>60</v>
      </c>
      <c r="H2838" s="1072">
        <f>SUM(C2838*G2838)</f>
        <v>60</v>
      </c>
      <c r="I2838" s="1072">
        <f>ROUNDUP(SUM(I2833:I2837)*5%,-2)</f>
        <v>300</v>
      </c>
      <c r="J2838" s="558"/>
    </row>
    <row r="2839" spans="1:10">
      <c r="A2839" s="518"/>
      <c r="B2839" s="596"/>
      <c r="C2839" s="650"/>
      <c r="D2839" s="597"/>
      <c r="E2839" s="651"/>
      <c r="F2839" s="1072"/>
      <c r="G2839" s="1072"/>
      <c r="H2839" s="1072"/>
      <c r="I2839" s="1072"/>
      <c r="J2839" s="558"/>
    </row>
    <row r="2840" spans="1:10">
      <c r="A2840" s="832"/>
      <c r="B2840" s="838" t="s">
        <v>1270</v>
      </c>
      <c r="C2840" s="834"/>
      <c r="D2840" s="835"/>
      <c r="E2840" s="836"/>
      <c r="F2840" s="839">
        <f>SUM(F2790:F2839)</f>
        <v>169105</v>
      </c>
      <c r="G2840" s="839"/>
      <c r="H2840" s="839">
        <f>SUM(H2790:H2839)</f>
        <v>57956</v>
      </c>
      <c r="I2840" s="839">
        <f>SUM(I2790:I2839)</f>
        <v>227061</v>
      </c>
      <c r="J2840" s="839"/>
    </row>
    <row r="2841" spans="1:10">
      <c r="A2841" s="1119"/>
      <c r="B2841" s="578"/>
      <c r="C2841" s="1120"/>
      <c r="D2841" s="579"/>
      <c r="E2841" s="1121"/>
      <c r="F2841" s="1122"/>
      <c r="G2841" s="580"/>
      <c r="H2841" s="1122"/>
      <c r="I2841" s="1122"/>
      <c r="J2841" s="581"/>
    </row>
    <row r="2842" spans="1:10">
      <c r="A2842" s="832"/>
      <c r="B2842" s="838" t="s">
        <v>1271</v>
      </c>
      <c r="C2842" s="834"/>
      <c r="D2842" s="835"/>
      <c r="E2842" s="836"/>
      <c r="F2842" s="839">
        <f>SUM(F2704+F2787+F2840)</f>
        <v>31249382</v>
      </c>
      <c r="G2842" s="839"/>
      <c r="H2842" s="839">
        <f>SUM(H2704+H2787+H2840)</f>
        <v>5360628</v>
      </c>
      <c r="I2842" s="839">
        <f>SUM(I2704+I2787+I2840)</f>
        <v>36610010</v>
      </c>
      <c r="J2842" s="839"/>
    </row>
    <row r="2843" spans="1:10">
      <c r="A2843" s="1180"/>
      <c r="B2843" s="596"/>
      <c r="C2843" s="1181"/>
      <c r="D2843" s="597"/>
      <c r="E2843" s="1182"/>
      <c r="F2843" s="1179"/>
      <c r="G2843" s="1179"/>
      <c r="H2843" s="1179"/>
      <c r="I2843" s="1179"/>
      <c r="J2843" s="558"/>
    </row>
    <row r="2844" spans="1:10">
      <c r="A2844" s="661">
        <v>6</v>
      </c>
      <c r="B2844" s="918" t="s">
        <v>642</v>
      </c>
      <c r="C2844" s="682"/>
      <c r="D2844" s="874"/>
      <c r="E2844" s="660"/>
      <c r="F2844" s="660"/>
      <c r="G2844" s="672"/>
      <c r="H2844" s="1125"/>
      <c r="I2844" s="660"/>
      <c r="J2844" s="508"/>
    </row>
    <row r="2845" spans="1:10">
      <c r="A2845" s="496">
        <v>6.1</v>
      </c>
      <c r="B2845" s="616" t="s">
        <v>1140</v>
      </c>
      <c r="C2845" s="570"/>
      <c r="D2845" s="617"/>
      <c r="E2845" s="517"/>
      <c r="F2845" s="517"/>
      <c r="G2845" s="618"/>
      <c r="H2845" s="516"/>
      <c r="I2845" s="517"/>
      <c r="J2845" s="619"/>
    </row>
    <row r="2846" spans="1:10">
      <c r="A2846" s="1123" t="s">
        <v>919</v>
      </c>
      <c r="B2846" s="919" t="s">
        <v>825</v>
      </c>
      <c r="C2846" s="1118"/>
      <c r="D2846" s="874"/>
      <c r="E2846" s="1124"/>
      <c r="F2846" s="1124"/>
      <c r="G2846" s="672"/>
      <c r="H2846" s="1125"/>
      <c r="I2846" s="1124"/>
      <c r="J2846" s="1126"/>
    </row>
    <row r="2847" spans="1:10">
      <c r="A2847" s="496" t="s">
        <v>1805</v>
      </c>
      <c r="B2847" s="1175" t="s">
        <v>60</v>
      </c>
      <c r="C2847" s="1113"/>
      <c r="D2847" s="951"/>
      <c r="E2847" s="556"/>
      <c r="F2847" s="1117"/>
      <c r="G2847" s="557"/>
      <c r="H2847" s="1117"/>
      <c r="I2847" s="1117"/>
      <c r="J2847" s="558"/>
    </row>
    <row r="2848" spans="1:10">
      <c r="A2848" s="496"/>
      <c r="B2848" s="1176" t="s">
        <v>920</v>
      </c>
      <c r="C2848" s="1113"/>
      <c r="D2848" s="1127"/>
      <c r="E2848" s="582"/>
      <c r="F2848" s="1117"/>
      <c r="G2848" s="557"/>
      <c r="H2848" s="1117"/>
      <c r="I2848" s="1117"/>
      <c r="J2848" s="558"/>
    </row>
    <row r="2849" spans="1:10">
      <c r="A2849" s="496"/>
      <c r="B2849" s="583" t="s">
        <v>1191</v>
      </c>
      <c r="C2849" s="1113"/>
      <c r="D2849" s="1127"/>
      <c r="E2849" s="582"/>
      <c r="F2849" s="1117"/>
      <c r="G2849" s="557"/>
      <c r="H2849" s="1117"/>
      <c r="I2849" s="1117"/>
      <c r="J2849" s="558"/>
    </row>
    <row r="2850" spans="1:10">
      <c r="A2850" s="504"/>
      <c r="B2850" s="583" t="s">
        <v>1189</v>
      </c>
      <c r="C2850" s="1113"/>
      <c r="D2850" s="1127"/>
      <c r="E2850" s="624"/>
      <c r="F2850" s="623"/>
      <c r="G2850" s="557"/>
      <c r="H2850" s="1117"/>
      <c r="I2850" s="1115"/>
      <c r="J2850" s="558"/>
    </row>
    <row r="2851" spans="1:10">
      <c r="A2851" s="496"/>
      <c r="B2851" s="583" t="s">
        <v>934</v>
      </c>
      <c r="C2851" s="1113">
        <v>1</v>
      </c>
      <c r="D2851" s="1127" t="s">
        <v>508</v>
      </c>
      <c r="E2851" s="1128">
        <v>73300</v>
      </c>
      <c r="F2851" s="1115">
        <f>E2851*C2851</f>
        <v>73300</v>
      </c>
      <c r="G2851" s="557">
        <v>14660</v>
      </c>
      <c r="H2851" s="1115">
        <f>G2851*C2851</f>
        <v>14660</v>
      </c>
      <c r="I2851" s="1115">
        <f>F2851+H2851</f>
        <v>87960</v>
      </c>
      <c r="J2851" s="558"/>
    </row>
    <row r="2852" spans="1:10">
      <c r="A2852" s="496" t="s">
        <v>1806</v>
      </c>
      <c r="B2852" s="1177" t="s">
        <v>935</v>
      </c>
      <c r="C2852" s="1113"/>
      <c r="D2852" s="1127"/>
      <c r="E2852" s="582"/>
      <c r="F2852" s="1115"/>
      <c r="G2852" s="557"/>
      <c r="H2852" s="1115"/>
      <c r="I2852" s="1115"/>
      <c r="J2852" s="558"/>
    </row>
    <row r="2853" spans="1:10">
      <c r="A2853" s="496"/>
      <c r="B2853" s="583" t="s">
        <v>936</v>
      </c>
      <c r="C2853" s="1113"/>
      <c r="D2853" s="1127"/>
      <c r="E2853" s="582"/>
      <c r="F2853" s="1115"/>
      <c r="G2853" s="557"/>
      <c r="H2853" s="1115"/>
      <c r="I2853" s="1115"/>
      <c r="J2853" s="558"/>
    </row>
    <row r="2854" spans="1:10">
      <c r="A2854" s="496"/>
      <c r="B2854" s="583" t="s">
        <v>937</v>
      </c>
      <c r="C2854" s="1113">
        <v>707.5</v>
      </c>
      <c r="D2854" s="1127" t="s">
        <v>57</v>
      </c>
      <c r="E2854" s="582">
        <v>120</v>
      </c>
      <c r="F2854" s="1115">
        <f t="shared" ref="F2854:F2884" si="257">E2854*C2854</f>
        <v>84900</v>
      </c>
      <c r="G2854" s="557">
        <v>38</v>
      </c>
      <c r="H2854" s="1115">
        <f t="shared" ref="H2854:H2884" si="258">G2854*C2854</f>
        <v>26885</v>
      </c>
      <c r="I2854" s="1115">
        <f t="shared" ref="I2854:I2884" si="259">F2854+H2854</f>
        <v>111785</v>
      </c>
      <c r="J2854" s="558"/>
    </row>
    <row r="2855" spans="1:10">
      <c r="A2855" s="496"/>
      <c r="B2855" s="583" t="s">
        <v>938</v>
      </c>
      <c r="C2855" s="1113">
        <v>707.5</v>
      </c>
      <c r="D2855" s="1127" t="s">
        <v>57</v>
      </c>
      <c r="E2855" s="582">
        <v>280</v>
      </c>
      <c r="F2855" s="1115">
        <f t="shared" si="257"/>
        <v>198100</v>
      </c>
      <c r="G2855" s="557">
        <v>87</v>
      </c>
      <c r="H2855" s="1115">
        <f t="shared" si="258"/>
        <v>61552.5</v>
      </c>
      <c r="I2855" s="1115">
        <f>F2855+H2855</f>
        <v>259652.5</v>
      </c>
      <c r="J2855" s="558"/>
    </row>
    <row r="2856" spans="1:10">
      <c r="A2856" s="496"/>
      <c r="B2856" s="583" t="s">
        <v>939</v>
      </c>
      <c r="C2856" s="1113">
        <v>1</v>
      </c>
      <c r="D2856" s="1127" t="s">
        <v>508</v>
      </c>
      <c r="E2856" s="1128">
        <v>70800</v>
      </c>
      <c r="F2856" s="1115">
        <f t="shared" si="257"/>
        <v>70800</v>
      </c>
      <c r="G2856" s="557">
        <v>14160</v>
      </c>
      <c r="H2856" s="1115">
        <f t="shared" si="258"/>
        <v>14160</v>
      </c>
      <c r="I2856" s="1115">
        <f t="shared" si="259"/>
        <v>84960</v>
      </c>
      <c r="J2856" s="558"/>
    </row>
    <row r="2857" spans="1:10">
      <c r="A2857" s="496"/>
      <c r="B2857" s="583" t="s">
        <v>940</v>
      </c>
      <c r="C2857" s="1113"/>
      <c r="D2857" s="1127"/>
      <c r="E2857" s="582"/>
      <c r="F2857" s="1115"/>
      <c r="G2857" s="557"/>
      <c r="H2857" s="1115"/>
      <c r="I2857" s="1115"/>
      <c r="J2857" s="558"/>
    </row>
    <row r="2858" spans="1:10">
      <c r="A2858" s="496"/>
      <c r="B2858" s="583" t="s">
        <v>941</v>
      </c>
      <c r="C2858" s="1113">
        <v>707.5</v>
      </c>
      <c r="D2858" s="1127" t="s">
        <v>57</v>
      </c>
      <c r="E2858" s="582">
        <v>89</v>
      </c>
      <c r="F2858" s="1115">
        <f t="shared" si="257"/>
        <v>62967.5</v>
      </c>
      <c r="G2858" s="557">
        <v>18</v>
      </c>
      <c r="H2858" s="1115">
        <f t="shared" si="258"/>
        <v>12735</v>
      </c>
      <c r="I2858" s="1115">
        <f t="shared" si="259"/>
        <v>75702.5</v>
      </c>
      <c r="J2858" s="558"/>
    </row>
    <row r="2859" spans="1:10">
      <c r="A2859" s="496"/>
      <c r="B2859" s="555" t="s">
        <v>942</v>
      </c>
      <c r="C2859" s="1113">
        <v>1</v>
      </c>
      <c r="D2859" s="951" t="s">
        <v>508</v>
      </c>
      <c r="E2859" s="1128">
        <v>6300</v>
      </c>
      <c r="F2859" s="1115">
        <f t="shared" si="257"/>
        <v>6300</v>
      </c>
      <c r="G2859" s="557">
        <v>1260</v>
      </c>
      <c r="H2859" s="1115">
        <f t="shared" si="258"/>
        <v>1260</v>
      </c>
      <c r="I2859" s="1115">
        <f t="shared" si="259"/>
        <v>7560</v>
      </c>
      <c r="J2859" s="558"/>
    </row>
    <row r="2860" spans="1:10">
      <c r="A2860" s="496" t="s">
        <v>1807</v>
      </c>
      <c r="B2860" s="563" t="s">
        <v>943</v>
      </c>
      <c r="C2860" s="1113"/>
      <c r="D2860" s="951"/>
      <c r="E2860" s="556"/>
      <c r="F2860" s="1115"/>
      <c r="G2860" s="557"/>
      <c r="H2860" s="1115"/>
      <c r="I2860" s="1115"/>
      <c r="J2860" s="558"/>
    </row>
    <row r="2861" spans="1:10">
      <c r="A2861" s="496"/>
      <c r="B2861" s="555" t="s">
        <v>944</v>
      </c>
      <c r="C2861" s="1113"/>
      <c r="D2861" s="951"/>
      <c r="E2861" s="556"/>
      <c r="F2861" s="1115"/>
      <c r="G2861" s="557"/>
      <c r="H2861" s="1115"/>
      <c r="I2861" s="1115"/>
      <c r="J2861" s="558"/>
    </row>
    <row r="2862" spans="1:10">
      <c r="A2862" s="496"/>
      <c r="B2862" s="555" t="s">
        <v>945</v>
      </c>
      <c r="C2862" s="1113">
        <v>443.75</v>
      </c>
      <c r="D2862" s="951" t="s">
        <v>57</v>
      </c>
      <c r="E2862" s="556">
        <v>16.5</v>
      </c>
      <c r="F2862" s="1115">
        <f t="shared" si="257"/>
        <v>7321.875</v>
      </c>
      <c r="G2862" s="557">
        <v>20</v>
      </c>
      <c r="H2862" s="1115">
        <f t="shared" si="258"/>
        <v>8875</v>
      </c>
      <c r="I2862" s="1115">
        <f t="shared" si="259"/>
        <v>16196.875</v>
      </c>
      <c r="J2862" s="558"/>
    </row>
    <row r="2863" spans="1:10">
      <c r="A2863" s="496"/>
      <c r="B2863" s="555" t="s">
        <v>939</v>
      </c>
      <c r="C2863" s="1113">
        <v>1</v>
      </c>
      <c r="D2863" s="951" t="s">
        <v>508</v>
      </c>
      <c r="E2863" s="1128">
        <v>2200</v>
      </c>
      <c r="F2863" s="1115">
        <f t="shared" si="257"/>
        <v>2200</v>
      </c>
      <c r="G2863" s="557">
        <v>440</v>
      </c>
      <c r="H2863" s="1115">
        <f t="shared" si="258"/>
        <v>440</v>
      </c>
      <c r="I2863" s="1115">
        <f t="shared" si="259"/>
        <v>2640</v>
      </c>
      <c r="J2863" s="558"/>
    </row>
    <row r="2864" spans="1:10">
      <c r="A2864" s="496"/>
      <c r="B2864" s="555" t="s">
        <v>946</v>
      </c>
      <c r="C2864" s="1113"/>
      <c r="D2864" s="951"/>
      <c r="E2864" s="556"/>
      <c r="F2864" s="1115"/>
      <c r="G2864" s="557"/>
      <c r="H2864" s="1115"/>
      <c r="I2864" s="1115"/>
      <c r="J2864" s="558"/>
    </row>
    <row r="2865" spans="1:10">
      <c r="A2865" s="496"/>
      <c r="B2865" s="555" t="s">
        <v>947</v>
      </c>
      <c r="C2865" s="1113">
        <v>443.75</v>
      </c>
      <c r="D2865" s="951" t="s">
        <v>57</v>
      </c>
      <c r="E2865" s="556">
        <v>53</v>
      </c>
      <c r="F2865" s="1115">
        <f t="shared" si="257"/>
        <v>23518.75</v>
      </c>
      <c r="G2865" s="557">
        <v>19</v>
      </c>
      <c r="H2865" s="1115">
        <f t="shared" si="258"/>
        <v>8431.25</v>
      </c>
      <c r="I2865" s="1115">
        <f t="shared" si="259"/>
        <v>31950</v>
      </c>
      <c r="J2865" s="558"/>
    </row>
    <row r="2866" spans="1:10">
      <c r="A2866" s="496"/>
      <c r="B2866" s="555" t="s">
        <v>942</v>
      </c>
      <c r="C2866" s="1113">
        <v>1</v>
      </c>
      <c r="D2866" s="951" t="s">
        <v>508</v>
      </c>
      <c r="E2866" s="1129">
        <v>4800</v>
      </c>
      <c r="F2866" s="1115">
        <f t="shared" si="257"/>
        <v>4800</v>
      </c>
      <c r="G2866" s="557">
        <v>960</v>
      </c>
      <c r="H2866" s="1115">
        <f t="shared" si="258"/>
        <v>960</v>
      </c>
      <c r="I2866" s="1115">
        <f t="shared" si="259"/>
        <v>5760</v>
      </c>
      <c r="J2866" s="558"/>
    </row>
    <row r="2867" spans="1:10">
      <c r="A2867" s="496" t="s">
        <v>1808</v>
      </c>
      <c r="B2867" s="563" t="s">
        <v>948</v>
      </c>
      <c r="C2867" s="1113"/>
      <c r="D2867" s="951"/>
      <c r="E2867" s="612"/>
      <c r="F2867" s="1115"/>
      <c r="G2867" s="557"/>
      <c r="H2867" s="1115"/>
      <c r="I2867" s="1115"/>
      <c r="J2867" s="558"/>
    </row>
    <row r="2868" spans="1:10">
      <c r="A2868" s="496"/>
      <c r="B2868" s="555" t="s">
        <v>949</v>
      </c>
      <c r="C2868" s="1113"/>
      <c r="D2868" s="951"/>
      <c r="E2868" s="556"/>
      <c r="F2868" s="1115"/>
      <c r="G2868" s="557"/>
      <c r="H2868" s="1115"/>
      <c r="I2868" s="1115"/>
      <c r="J2868" s="558"/>
    </row>
    <row r="2869" spans="1:10">
      <c r="A2869" s="496"/>
      <c r="B2869" s="555" t="s">
        <v>950</v>
      </c>
      <c r="C2869" s="1113">
        <v>2528</v>
      </c>
      <c r="D2869" s="951" t="s">
        <v>951</v>
      </c>
      <c r="E2869" s="556">
        <v>18</v>
      </c>
      <c r="F2869" s="1115">
        <f t="shared" si="257"/>
        <v>45504</v>
      </c>
      <c r="G2869" s="557">
        <v>18</v>
      </c>
      <c r="H2869" s="1115">
        <f t="shared" si="258"/>
        <v>45504</v>
      </c>
      <c r="I2869" s="1115">
        <f t="shared" si="259"/>
        <v>91008</v>
      </c>
      <c r="J2869" s="558"/>
    </row>
    <row r="2870" spans="1:10">
      <c r="A2870" s="496"/>
      <c r="B2870" s="555" t="s">
        <v>939</v>
      </c>
      <c r="C2870" s="1113">
        <v>1</v>
      </c>
      <c r="D2870" s="951" t="s">
        <v>508</v>
      </c>
      <c r="E2870" s="1128">
        <v>9200</v>
      </c>
      <c r="F2870" s="1115">
        <f t="shared" si="257"/>
        <v>9200</v>
      </c>
      <c r="G2870" s="1130">
        <v>1840</v>
      </c>
      <c r="H2870" s="1115">
        <f t="shared" si="258"/>
        <v>1840</v>
      </c>
      <c r="I2870" s="1115">
        <f t="shared" si="259"/>
        <v>11040</v>
      </c>
      <c r="J2870" s="558"/>
    </row>
    <row r="2871" spans="1:10">
      <c r="A2871" s="496"/>
      <c r="B2871" s="555" t="s">
        <v>952</v>
      </c>
      <c r="C2871" s="1113">
        <v>1</v>
      </c>
      <c r="D2871" s="951" t="s">
        <v>508</v>
      </c>
      <c r="E2871" s="556">
        <v>42000</v>
      </c>
      <c r="F2871" s="1115">
        <f t="shared" si="257"/>
        <v>42000</v>
      </c>
      <c r="G2871" s="557">
        <v>16800</v>
      </c>
      <c r="H2871" s="1115">
        <f t="shared" si="258"/>
        <v>16800</v>
      </c>
      <c r="I2871" s="1115">
        <f t="shared" si="259"/>
        <v>58800</v>
      </c>
      <c r="J2871" s="558"/>
    </row>
    <row r="2872" spans="1:10">
      <c r="A2872" s="496" t="s">
        <v>1809</v>
      </c>
      <c r="B2872" s="563" t="s">
        <v>652</v>
      </c>
      <c r="C2872" s="1113"/>
      <c r="D2872" s="951"/>
      <c r="E2872" s="556"/>
      <c r="F2872" s="1115"/>
      <c r="G2872" s="557"/>
      <c r="H2872" s="1115"/>
      <c r="I2872" s="1115"/>
      <c r="J2872" s="558"/>
    </row>
    <row r="2873" spans="1:10">
      <c r="A2873" s="496"/>
      <c r="B2873" s="555" t="s">
        <v>953</v>
      </c>
      <c r="C2873" s="1113">
        <v>1</v>
      </c>
      <c r="D2873" s="951" t="s">
        <v>508</v>
      </c>
      <c r="E2873" s="556">
        <v>177500</v>
      </c>
      <c r="F2873" s="1115">
        <f t="shared" si="257"/>
        <v>177500</v>
      </c>
      <c r="G2873" s="557">
        <v>35500</v>
      </c>
      <c r="H2873" s="1115">
        <f t="shared" si="258"/>
        <v>35500</v>
      </c>
      <c r="I2873" s="1115">
        <f t="shared" si="259"/>
        <v>213000</v>
      </c>
      <c r="J2873" s="558"/>
    </row>
    <row r="2874" spans="1:10">
      <c r="A2874" s="496"/>
      <c r="B2874" s="555" t="s">
        <v>954</v>
      </c>
      <c r="C2874" s="1113">
        <v>1</v>
      </c>
      <c r="D2874" s="951" t="s">
        <v>508</v>
      </c>
      <c r="E2874" s="556">
        <v>106500</v>
      </c>
      <c r="F2874" s="1115">
        <f t="shared" si="257"/>
        <v>106500</v>
      </c>
      <c r="G2874" s="557">
        <v>21300</v>
      </c>
      <c r="H2874" s="1115">
        <f t="shared" si="258"/>
        <v>21300</v>
      </c>
      <c r="I2874" s="1115">
        <f t="shared" si="259"/>
        <v>127800</v>
      </c>
      <c r="J2874" s="558"/>
    </row>
    <row r="2875" spans="1:10">
      <c r="A2875" s="496"/>
      <c r="B2875" s="555" t="s">
        <v>955</v>
      </c>
      <c r="C2875" s="1113">
        <v>71</v>
      </c>
      <c r="D2875" s="951" t="s">
        <v>15</v>
      </c>
      <c r="E2875" s="556">
        <v>2000</v>
      </c>
      <c r="F2875" s="1115">
        <f t="shared" si="257"/>
        <v>142000</v>
      </c>
      <c r="G2875" s="557">
        <v>100</v>
      </c>
      <c r="H2875" s="1115">
        <f t="shared" si="258"/>
        <v>7100</v>
      </c>
      <c r="I2875" s="1115">
        <f t="shared" si="259"/>
        <v>149100</v>
      </c>
      <c r="J2875" s="558"/>
    </row>
    <row r="2876" spans="1:10">
      <c r="A2876" s="496"/>
      <c r="B2876" s="555" t="s">
        <v>956</v>
      </c>
      <c r="C2876" s="1113">
        <v>76</v>
      </c>
      <c r="D2876" s="951" t="s">
        <v>15</v>
      </c>
      <c r="E2876" s="556">
        <v>350</v>
      </c>
      <c r="F2876" s="1115">
        <f t="shared" si="257"/>
        <v>26600</v>
      </c>
      <c r="G2876" s="557">
        <v>100</v>
      </c>
      <c r="H2876" s="1115">
        <f t="shared" si="258"/>
        <v>7600</v>
      </c>
      <c r="I2876" s="1115">
        <f t="shared" si="259"/>
        <v>34200</v>
      </c>
      <c r="J2876" s="558"/>
    </row>
    <row r="2877" spans="1:10">
      <c r="A2877" s="496"/>
      <c r="B2877" s="555" t="s">
        <v>957</v>
      </c>
      <c r="C2877" s="1113">
        <v>1</v>
      </c>
      <c r="D2877" s="951" t="s">
        <v>508</v>
      </c>
      <c r="E2877" s="613">
        <v>45300</v>
      </c>
      <c r="F2877" s="1115">
        <f t="shared" si="257"/>
        <v>45300</v>
      </c>
      <c r="G2877" s="557">
        <v>9060</v>
      </c>
      <c r="H2877" s="1115">
        <f t="shared" si="258"/>
        <v>9060</v>
      </c>
      <c r="I2877" s="1115">
        <f t="shared" si="259"/>
        <v>54360</v>
      </c>
      <c r="J2877" s="558"/>
    </row>
    <row r="2878" spans="1:10">
      <c r="A2878" s="496" t="s">
        <v>1810</v>
      </c>
      <c r="B2878" s="563" t="s">
        <v>958</v>
      </c>
      <c r="C2878" s="1113"/>
      <c r="D2878" s="951"/>
      <c r="E2878" s="1131"/>
      <c r="F2878" s="1115"/>
      <c r="G2878" s="557"/>
      <c r="H2878" s="1115"/>
      <c r="I2878" s="1115"/>
      <c r="J2878" s="558"/>
    </row>
    <row r="2879" spans="1:10">
      <c r="A2879" s="496"/>
      <c r="B2879" s="583" t="s">
        <v>1191</v>
      </c>
      <c r="C2879" s="1113"/>
      <c r="D2879" s="1127"/>
      <c r="E2879" s="582"/>
      <c r="F2879" s="1115"/>
      <c r="G2879" s="557"/>
      <c r="H2879" s="1115"/>
      <c r="I2879" s="1115"/>
      <c r="J2879" s="558"/>
    </row>
    <row r="2880" spans="1:10">
      <c r="A2880" s="496"/>
      <c r="B2880" s="583" t="s">
        <v>1169</v>
      </c>
      <c r="C2880" s="1113"/>
      <c r="D2880" s="1127"/>
      <c r="E2880" s="557"/>
      <c r="F2880" s="1115"/>
      <c r="G2880" s="557"/>
      <c r="H2880" s="1115"/>
      <c r="I2880" s="1115"/>
      <c r="J2880" s="558"/>
    </row>
    <row r="2881" spans="1:10">
      <c r="A2881" s="496"/>
      <c r="B2881" s="583" t="s">
        <v>1190</v>
      </c>
      <c r="C2881" s="1113"/>
      <c r="D2881" s="1127"/>
      <c r="E2881" s="557"/>
      <c r="F2881" s="1115"/>
      <c r="G2881" s="557"/>
      <c r="H2881" s="1115"/>
      <c r="I2881" s="1115"/>
      <c r="J2881" s="558"/>
    </row>
    <row r="2882" spans="1:10">
      <c r="A2882" s="496"/>
      <c r="B2882" s="583" t="s">
        <v>1189</v>
      </c>
      <c r="C2882" s="1113"/>
      <c r="D2882" s="1127"/>
      <c r="E2882" s="557"/>
      <c r="F2882" s="1115"/>
      <c r="G2882" s="557"/>
      <c r="H2882" s="1115"/>
      <c r="I2882" s="1115"/>
      <c r="J2882" s="558"/>
    </row>
    <row r="2883" spans="1:10">
      <c r="A2883" s="496"/>
      <c r="B2883" s="583" t="s">
        <v>1170</v>
      </c>
      <c r="C2883" s="1113"/>
      <c r="D2883" s="1127"/>
      <c r="E2883" s="557"/>
      <c r="F2883" s="1117"/>
      <c r="G2883" s="557"/>
      <c r="H2883" s="1117"/>
      <c r="I2883" s="1117"/>
      <c r="J2883" s="558"/>
    </row>
    <row r="2884" spans="1:10">
      <c r="A2884" s="496"/>
      <c r="B2884" s="583" t="s">
        <v>990</v>
      </c>
      <c r="C2884" s="1113">
        <v>1</v>
      </c>
      <c r="D2884" s="1127" t="s">
        <v>508</v>
      </c>
      <c r="E2884" s="1128">
        <v>33500</v>
      </c>
      <c r="F2884" s="1115">
        <f t="shared" si="257"/>
        <v>33500</v>
      </c>
      <c r="G2884" s="557">
        <v>6700</v>
      </c>
      <c r="H2884" s="1115">
        <f t="shared" si="258"/>
        <v>6700</v>
      </c>
      <c r="I2884" s="1115">
        <f t="shared" si="259"/>
        <v>40200</v>
      </c>
      <c r="J2884" s="558"/>
    </row>
    <row r="2885" spans="1:10">
      <c r="A2885" s="614"/>
      <c r="B2885" s="1132"/>
      <c r="C2885" s="865"/>
      <c r="D2885" s="648"/>
      <c r="E2885" s="582"/>
      <c r="F2885" s="571"/>
      <c r="G2885" s="584"/>
      <c r="H2885" s="571"/>
      <c r="I2885" s="571"/>
      <c r="J2885" s="1133"/>
    </row>
    <row r="2886" spans="1:10">
      <c r="A2886" s="1123">
        <v>6.2</v>
      </c>
      <c r="B2886" s="919" t="s">
        <v>879</v>
      </c>
      <c r="C2886" s="1118"/>
      <c r="D2886" s="874"/>
      <c r="E2886" s="1124"/>
      <c r="F2886" s="1124"/>
      <c r="G2886" s="672"/>
      <c r="H2886" s="1125"/>
      <c r="I2886" s="1124"/>
      <c r="J2886" s="1126"/>
    </row>
    <row r="2887" spans="1:10">
      <c r="A2887" s="496" t="s">
        <v>1811</v>
      </c>
      <c r="B2887" s="1175" t="s">
        <v>60</v>
      </c>
      <c r="C2887" s="1113"/>
      <c r="D2887" s="951"/>
      <c r="E2887" s="556"/>
      <c r="F2887" s="1117"/>
      <c r="G2887" s="557"/>
      <c r="H2887" s="1117"/>
      <c r="I2887" s="1117"/>
      <c r="J2887" s="558"/>
    </row>
    <row r="2888" spans="1:10">
      <c r="A2888" s="496" t="s">
        <v>1812</v>
      </c>
      <c r="B2888" s="1175" t="s">
        <v>920</v>
      </c>
      <c r="C2888" s="1113"/>
      <c r="D2888" s="951"/>
      <c r="E2888" s="556"/>
      <c r="F2888" s="1117"/>
      <c r="G2888" s="557"/>
      <c r="H2888" s="1117"/>
      <c r="I2888" s="1117"/>
      <c r="J2888" s="558"/>
    </row>
    <row r="2889" spans="1:10">
      <c r="A2889" s="496"/>
      <c r="B2889" s="583" t="s">
        <v>1191</v>
      </c>
      <c r="C2889" s="1113"/>
      <c r="D2889" s="1127"/>
      <c r="E2889" s="582"/>
      <c r="F2889" s="1117"/>
      <c r="G2889" s="557"/>
      <c r="H2889" s="1117"/>
      <c r="I2889" s="1117"/>
      <c r="J2889" s="558"/>
    </row>
    <row r="2890" spans="1:10">
      <c r="A2890" s="496"/>
      <c r="B2890" s="583" t="s">
        <v>1190</v>
      </c>
      <c r="C2890" s="1113"/>
      <c r="D2890" s="1127"/>
      <c r="E2890" s="582"/>
      <c r="F2890" s="1117"/>
      <c r="G2890" s="557"/>
      <c r="H2890" s="1117"/>
      <c r="I2890" s="1117"/>
      <c r="J2890" s="558"/>
    </row>
    <row r="2891" spans="1:10">
      <c r="A2891" s="496"/>
      <c r="B2891" s="583" t="s">
        <v>1189</v>
      </c>
      <c r="C2891" s="1113"/>
      <c r="D2891" s="1127"/>
      <c r="E2891" s="582"/>
      <c r="F2891" s="1117"/>
      <c r="G2891" s="557"/>
      <c r="H2891" s="1117"/>
      <c r="I2891" s="1117"/>
      <c r="J2891" s="558"/>
    </row>
    <row r="2892" spans="1:10">
      <c r="A2892" s="496"/>
      <c r="B2892" s="583" t="s">
        <v>934</v>
      </c>
      <c r="C2892" s="1113">
        <v>1</v>
      </c>
      <c r="D2892" s="1127" t="s">
        <v>508</v>
      </c>
      <c r="E2892" s="1128">
        <v>45100</v>
      </c>
      <c r="F2892" s="1115">
        <f>E2892*C2892</f>
        <v>45100</v>
      </c>
      <c r="G2892" s="557">
        <v>9020</v>
      </c>
      <c r="H2892" s="1117">
        <f>G2892*C2892</f>
        <v>9020</v>
      </c>
      <c r="I2892" s="1117">
        <f>F2892+H2892</f>
        <v>54120</v>
      </c>
      <c r="J2892" s="558"/>
    </row>
    <row r="2893" spans="1:10">
      <c r="A2893" s="496" t="s">
        <v>1813</v>
      </c>
      <c r="B2893" s="563" t="s">
        <v>935</v>
      </c>
      <c r="C2893" s="1113"/>
      <c r="D2893" s="951"/>
      <c r="E2893" s="556"/>
      <c r="F2893" s="1115"/>
      <c r="G2893" s="557"/>
      <c r="H2893" s="1115"/>
      <c r="I2893" s="1115"/>
      <c r="J2893" s="558"/>
    </row>
    <row r="2894" spans="1:10">
      <c r="A2894" s="496"/>
      <c r="B2894" s="555" t="s">
        <v>936</v>
      </c>
      <c r="C2894" s="1113"/>
      <c r="D2894" s="951"/>
      <c r="E2894" s="556"/>
      <c r="F2894" s="1115"/>
      <c r="G2894" s="557"/>
      <c r="H2894" s="1115"/>
      <c r="I2894" s="1115"/>
      <c r="J2894" s="558"/>
    </row>
    <row r="2895" spans="1:10">
      <c r="A2895" s="496"/>
      <c r="B2895" s="555" t="s">
        <v>937</v>
      </c>
      <c r="C2895" s="1113">
        <v>622.5</v>
      </c>
      <c r="D2895" s="951" t="s">
        <v>57</v>
      </c>
      <c r="E2895" s="556">
        <v>120</v>
      </c>
      <c r="F2895" s="1115">
        <f t="shared" ref="F2895:F2923" si="260">E2895*C2895</f>
        <v>74700</v>
      </c>
      <c r="G2895" s="557">
        <v>38</v>
      </c>
      <c r="H2895" s="1115">
        <f t="shared" ref="H2895:H2923" si="261">G2895*C2895</f>
        <v>23655</v>
      </c>
      <c r="I2895" s="1115">
        <f t="shared" ref="I2895:I2923" si="262">F2895+H2895</f>
        <v>98355</v>
      </c>
      <c r="J2895" s="558"/>
    </row>
    <row r="2896" spans="1:10">
      <c r="A2896" s="496"/>
      <c r="B2896" s="555" t="s">
        <v>938</v>
      </c>
      <c r="C2896" s="1113">
        <v>622.5</v>
      </c>
      <c r="D2896" s="951" t="s">
        <v>57</v>
      </c>
      <c r="E2896" s="556">
        <v>280</v>
      </c>
      <c r="F2896" s="1115">
        <f t="shared" si="260"/>
        <v>174300</v>
      </c>
      <c r="G2896" s="557">
        <v>87</v>
      </c>
      <c r="H2896" s="1115">
        <f t="shared" si="261"/>
        <v>54157.5</v>
      </c>
      <c r="I2896" s="1115">
        <f t="shared" si="262"/>
        <v>228457.5</v>
      </c>
      <c r="J2896" s="558"/>
    </row>
    <row r="2897" spans="1:10">
      <c r="A2897" s="496"/>
      <c r="B2897" s="555" t="s">
        <v>939</v>
      </c>
      <c r="C2897" s="1113">
        <v>1</v>
      </c>
      <c r="D2897" s="951" t="s">
        <v>508</v>
      </c>
      <c r="E2897" s="1128">
        <v>62300</v>
      </c>
      <c r="F2897" s="1115">
        <f t="shared" si="260"/>
        <v>62300</v>
      </c>
      <c r="G2897" s="557">
        <v>12460</v>
      </c>
      <c r="H2897" s="1115">
        <f t="shared" si="261"/>
        <v>12460</v>
      </c>
      <c r="I2897" s="1115">
        <f t="shared" si="262"/>
        <v>74760</v>
      </c>
      <c r="J2897" s="558"/>
    </row>
    <row r="2898" spans="1:10">
      <c r="A2898" s="496"/>
      <c r="B2898" s="555" t="s">
        <v>940</v>
      </c>
      <c r="C2898" s="1113"/>
      <c r="D2898" s="951"/>
      <c r="E2898" s="556"/>
      <c r="F2898" s="1115"/>
      <c r="G2898" s="557"/>
      <c r="H2898" s="1115"/>
      <c r="I2898" s="1115"/>
      <c r="J2898" s="558"/>
    </row>
    <row r="2899" spans="1:10">
      <c r="A2899" s="496"/>
      <c r="B2899" s="555" t="s">
        <v>941</v>
      </c>
      <c r="C2899" s="1113">
        <v>622.5</v>
      </c>
      <c r="D2899" s="951" t="s">
        <v>57</v>
      </c>
      <c r="E2899" s="556">
        <v>89</v>
      </c>
      <c r="F2899" s="1115">
        <f t="shared" si="260"/>
        <v>55402.5</v>
      </c>
      <c r="G2899" s="557">
        <v>18</v>
      </c>
      <c r="H2899" s="1115">
        <f t="shared" si="261"/>
        <v>11205</v>
      </c>
      <c r="I2899" s="1115">
        <f t="shared" si="262"/>
        <v>66607.5</v>
      </c>
      <c r="J2899" s="558"/>
    </row>
    <row r="2900" spans="1:10">
      <c r="A2900" s="496"/>
      <c r="B2900" s="555" t="s">
        <v>942</v>
      </c>
      <c r="C2900" s="1113">
        <v>1</v>
      </c>
      <c r="D2900" s="951" t="s">
        <v>508</v>
      </c>
      <c r="E2900" s="1128">
        <v>5600</v>
      </c>
      <c r="F2900" s="1115">
        <f t="shared" si="260"/>
        <v>5600</v>
      </c>
      <c r="G2900" s="557">
        <v>1120</v>
      </c>
      <c r="H2900" s="1115">
        <f t="shared" si="261"/>
        <v>1120</v>
      </c>
      <c r="I2900" s="1115">
        <f t="shared" si="262"/>
        <v>6720</v>
      </c>
      <c r="J2900" s="558"/>
    </row>
    <row r="2901" spans="1:10">
      <c r="A2901" s="496" t="s">
        <v>1814</v>
      </c>
      <c r="B2901" s="563" t="s">
        <v>943</v>
      </c>
      <c r="C2901" s="1113"/>
      <c r="D2901" s="951"/>
      <c r="E2901" s="556"/>
      <c r="F2901" s="1115"/>
      <c r="G2901" s="557"/>
      <c r="H2901" s="1115"/>
      <c r="I2901" s="1115"/>
      <c r="J2901" s="558"/>
    </row>
    <row r="2902" spans="1:10">
      <c r="A2902" s="496"/>
      <c r="B2902" s="555" t="s">
        <v>944</v>
      </c>
      <c r="C2902" s="1113"/>
      <c r="D2902" s="951"/>
      <c r="E2902" s="556"/>
      <c r="F2902" s="1115"/>
      <c r="G2902" s="557"/>
      <c r="H2902" s="1115"/>
      <c r="I2902" s="1115"/>
      <c r="J2902" s="558"/>
    </row>
    <row r="2903" spans="1:10">
      <c r="A2903" s="496"/>
      <c r="B2903" s="555" t="s">
        <v>945</v>
      </c>
      <c r="C2903" s="1113">
        <v>375</v>
      </c>
      <c r="D2903" s="951" t="s">
        <v>57</v>
      </c>
      <c r="E2903" s="556">
        <v>16.5</v>
      </c>
      <c r="F2903" s="1115">
        <f t="shared" si="260"/>
        <v>6187.5</v>
      </c>
      <c r="G2903" s="557">
        <v>20</v>
      </c>
      <c r="H2903" s="1115">
        <f t="shared" si="261"/>
        <v>7500</v>
      </c>
      <c r="I2903" s="1115">
        <f t="shared" si="262"/>
        <v>13687.5</v>
      </c>
      <c r="J2903" s="558"/>
    </row>
    <row r="2904" spans="1:10">
      <c r="A2904" s="496"/>
      <c r="B2904" s="555" t="s">
        <v>939</v>
      </c>
      <c r="C2904" s="1113">
        <v>1</v>
      </c>
      <c r="D2904" s="951" t="s">
        <v>508</v>
      </c>
      <c r="E2904" s="1128">
        <v>1900</v>
      </c>
      <c r="F2904" s="1115">
        <f t="shared" si="260"/>
        <v>1900</v>
      </c>
      <c r="G2904" s="557">
        <v>380</v>
      </c>
      <c r="H2904" s="1115">
        <f t="shared" si="261"/>
        <v>380</v>
      </c>
      <c r="I2904" s="1115">
        <f t="shared" si="262"/>
        <v>2280</v>
      </c>
      <c r="J2904" s="558"/>
    </row>
    <row r="2905" spans="1:10">
      <c r="A2905" s="496"/>
      <c r="B2905" s="555" t="s">
        <v>946</v>
      </c>
      <c r="C2905" s="1113"/>
      <c r="D2905" s="951"/>
      <c r="E2905" s="556"/>
      <c r="F2905" s="1115"/>
      <c r="G2905" s="557"/>
      <c r="H2905" s="1115"/>
      <c r="I2905" s="1115"/>
      <c r="J2905" s="558"/>
    </row>
    <row r="2906" spans="1:10">
      <c r="A2906" s="496"/>
      <c r="B2906" s="555" t="s">
        <v>947</v>
      </c>
      <c r="C2906" s="1113">
        <v>375</v>
      </c>
      <c r="D2906" s="951" t="s">
        <v>57</v>
      </c>
      <c r="E2906" s="556">
        <v>53</v>
      </c>
      <c r="F2906" s="1115">
        <f t="shared" si="260"/>
        <v>19875</v>
      </c>
      <c r="G2906" s="557">
        <v>19</v>
      </c>
      <c r="H2906" s="1115">
        <f t="shared" si="261"/>
        <v>7125</v>
      </c>
      <c r="I2906" s="1115">
        <f t="shared" si="262"/>
        <v>27000</v>
      </c>
      <c r="J2906" s="558"/>
    </row>
    <row r="2907" spans="1:10">
      <c r="A2907" s="496"/>
      <c r="B2907" s="555" t="s">
        <v>942</v>
      </c>
      <c r="C2907" s="1113">
        <v>1</v>
      </c>
      <c r="D2907" s="951" t="s">
        <v>508</v>
      </c>
      <c r="E2907" s="1129">
        <v>4000</v>
      </c>
      <c r="F2907" s="1115">
        <f t="shared" si="260"/>
        <v>4000</v>
      </c>
      <c r="G2907" s="557">
        <v>800</v>
      </c>
      <c r="H2907" s="1115">
        <f t="shared" si="261"/>
        <v>800</v>
      </c>
      <c r="I2907" s="1115">
        <f t="shared" si="262"/>
        <v>4800</v>
      </c>
      <c r="J2907" s="558"/>
    </row>
    <row r="2908" spans="1:10">
      <c r="A2908" s="496" t="s">
        <v>1815</v>
      </c>
      <c r="B2908" s="563" t="s">
        <v>948</v>
      </c>
      <c r="C2908" s="1113"/>
      <c r="D2908" s="951"/>
      <c r="E2908" s="612"/>
      <c r="F2908" s="1115"/>
      <c r="G2908" s="557"/>
      <c r="H2908" s="1115"/>
      <c r="I2908" s="1115"/>
      <c r="J2908" s="558"/>
    </row>
    <row r="2909" spans="1:10">
      <c r="A2909" s="496"/>
      <c r="B2909" s="555" t="s">
        <v>949</v>
      </c>
      <c r="C2909" s="1113"/>
      <c r="D2909" s="951"/>
      <c r="E2909" s="556"/>
      <c r="F2909" s="1115"/>
      <c r="G2909" s="557"/>
      <c r="H2909" s="1115"/>
      <c r="I2909" s="1115"/>
      <c r="J2909" s="558"/>
    </row>
    <row r="2910" spans="1:10">
      <c r="A2910" s="496"/>
      <c r="B2910" s="555" t="s">
        <v>950</v>
      </c>
      <c r="C2910" s="1113">
        <v>2016</v>
      </c>
      <c r="D2910" s="951" t="s">
        <v>951</v>
      </c>
      <c r="E2910" s="556">
        <v>18</v>
      </c>
      <c r="F2910" s="1115">
        <f t="shared" si="260"/>
        <v>36288</v>
      </c>
      <c r="G2910" s="557">
        <v>18</v>
      </c>
      <c r="H2910" s="1115">
        <f t="shared" si="261"/>
        <v>36288</v>
      </c>
      <c r="I2910" s="1115">
        <f t="shared" si="262"/>
        <v>72576</v>
      </c>
      <c r="J2910" s="558"/>
    </row>
    <row r="2911" spans="1:10">
      <c r="A2911" s="496"/>
      <c r="B2911" s="555" t="s">
        <v>939</v>
      </c>
      <c r="C2911" s="1113">
        <v>1</v>
      </c>
      <c r="D2911" s="951" t="s">
        <v>508</v>
      </c>
      <c r="E2911" s="1128">
        <v>7300</v>
      </c>
      <c r="F2911" s="1115">
        <f t="shared" si="260"/>
        <v>7300</v>
      </c>
      <c r="G2911" s="1130">
        <v>1460</v>
      </c>
      <c r="H2911" s="1115">
        <f t="shared" si="261"/>
        <v>1460</v>
      </c>
      <c r="I2911" s="1115">
        <f t="shared" si="262"/>
        <v>8760</v>
      </c>
      <c r="J2911" s="558"/>
    </row>
    <row r="2912" spans="1:10">
      <c r="A2912" s="496"/>
      <c r="B2912" s="555" t="s">
        <v>952</v>
      </c>
      <c r="C2912" s="1113">
        <v>1</v>
      </c>
      <c r="D2912" s="951" t="s">
        <v>508</v>
      </c>
      <c r="E2912" s="556">
        <v>31000</v>
      </c>
      <c r="F2912" s="1115">
        <f t="shared" si="260"/>
        <v>31000</v>
      </c>
      <c r="G2912" s="557">
        <v>12400</v>
      </c>
      <c r="H2912" s="1115">
        <f t="shared" si="261"/>
        <v>12400</v>
      </c>
      <c r="I2912" s="1115">
        <f t="shared" si="262"/>
        <v>43400</v>
      </c>
      <c r="J2912" s="558"/>
    </row>
    <row r="2913" spans="1:10">
      <c r="A2913" s="496" t="s">
        <v>1816</v>
      </c>
      <c r="B2913" s="563" t="s">
        <v>652</v>
      </c>
      <c r="C2913" s="1113"/>
      <c r="D2913" s="951"/>
      <c r="E2913" s="556"/>
      <c r="F2913" s="1115"/>
      <c r="G2913" s="557"/>
      <c r="H2913" s="1115"/>
      <c r="I2913" s="1115"/>
      <c r="J2913" s="558"/>
    </row>
    <row r="2914" spans="1:10">
      <c r="A2914" s="496"/>
      <c r="B2914" s="555" t="s">
        <v>953</v>
      </c>
      <c r="C2914" s="1113">
        <v>1</v>
      </c>
      <c r="D2914" s="951" t="s">
        <v>508</v>
      </c>
      <c r="E2914" s="556">
        <v>150000</v>
      </c>
      <c r="F2914" s="1115">
        <f t="shared" si="260"/>
        <v>150000</v>
      </c>
      <c r="G2914" s="557">
        <v>30000</v>
      </c>
      <c r="H2914" s="1115">
        <f t="shared" si="261"/>
        <v>30000</v>
      </c>
      <c r="I2914" s="1115">
        <f t="shared" si="262"/>
        <v>180000</v>
      </c>
      <c r="J2914" s="558"/>
    </row>
    <row r="2915" spans="1:10">
      <c r="A2915" s="496"/>
      <c r="B2915" s="555" t="s">
        <v>954</v>
      </c>
      <c r="C2915" s="1113">
        <v>1</v>
      </c>
      <c r="D2915" s="951" t="s">
        <v>508</v>
      </c>
      <c r="E2915" s="556">
        <v>90000</v>
      </c>
      <c r="F2915" s="1115">
        <f t="shared" si="260"/>
        <v>90000</v>
      </c>
      <c r="G2915" s="557">
        <v>18000</v>
      </c>
      <c r="H2915" s="1115">
        <f t="shared" si="261"/>
        <v>18000</v>
      </c>
      <c r="I2915" s="1115">
        <f t="shared" si="262"/>
        <v>108000</v>
      </c>
      <c r="J2915" s="558"/>
    </row>
    <row r="2916" spans="1:10">
      <c r="A2916" s="496"/>
      <c r="B2916" s="555" t="s">
        <v>955</v>
      </c>
      <c r="C2916" s="1113">
        <v>60</v>
      </c>
      <c r="D2916" s="951" t="s">
        <v>15</v>
      </c>
      <c r="E2916" s="556">
        <v>2000</v>
      </c>
      <c r="F2916" s="1115">
        <f t="shared" si="260"/>
        <v>120000</v>
      </c>
      <c r="G2916" s="557">
        <v>100</v>
      </c>
      <c r="H2916" s="1115">
        <f t="shared" si="261"/>
        <v>6000</v>
      </c>
      <c r="I2916" s="1115">
        <f t="shared" si="262"/>
        <v>126000</v>
      </c>
      <c r="J2916" s="558"/>
    </row>
    <row r="2917" spans="1:10">
      <c r="A2917" s="496"/>
      <c r="B2917" s="555" t="s">
        <v>956</v>
      </c>
      <c r="C2917" s="1113">
        <v>46</v>
      </c>
      <c r="D2917" s="951" t="s">
        <v>15</v>
      </c>
      <c r="E2917" s="556">
        <v>350</v>
      </c>
      <c r="F2917" s="1115">
        <f t="shared" si="260"/>
        <v>16100</v>
      </c>
      <c r="G2917" s="557">
        <v>100</v>
      </c>
      <c r="H2917" s="1115">
        <f t="shared" si="261"/>
        <v>4600</v>
      </c>
      <c r="I2917" s="1115">
        <f t="shared" si="262"/>
        <v>20700</v>
      </c>
      <c r="J2917" s="558"/>
    </row>
    <row r="2918" spans="1:10">
      <c r="A2918" s="496"/>
      <c r="B2918" s="555" t="s">
        <v>957</v>
      </c>
      <c r="C2918" s="1113">
        <v>1</v>
      </c>
      <c r="D2918" s="951" t="s">
        <v>508</v>
      </c>
      <c r="E2918" s="613">
        <v>37700</v>
      </c>
      <c r="F2918" s="1115">
        <f t="shared" si="260"/>
        <v>37700</v>
      </c>
      <c r="G2918" s="557">
        <v>7540</v>
      </c>
      <c r="H2918" s="1115">
        <f t="shared" si="261"/>
        <v>7540</v>
      </c>
      <c r="I2918" s="1115">
        <f t="shared" si="262"/>
        <v>45240</v>
      </c>
      <c r="J2918" s="558"/>
    </row>
    <row r="2919" spans="1:10">
      <c r="A2919" s="496" t="s">
        <v>1817</v>
      </c>
      <c r="B2919" s="563" t="s">
        <v>958</v>
      </c>
      <c r="C2919" s="1113"/>
      <c r="D2919" s="951"/>
      <c r="E2919" s="1131"/>
      <c r="F2919" s="1115"/>
      <c r="G2919" s="557"/>
      <c r="H2919" s="1115"/>
      <c r="I2919" s="1115"/>
      <c r="J2919" s="558"/>
    </row>
    <row r="2920" spans="1:10">
      <c r="A2920" s="496"/>
      <c r="B2920" s="555" t="s">
        <v>1191</v>
      </c>
      <c r="C2920" s="1113"/>
      <c r="D2920" s="951"/>
      <c r="E2920" s="556"/>
      <c r="F2920" s="1115"/>
      <c r="G2920" s="557"/>
      <c r="H2920" s="1115"/>
      <c r="I2920" s="1115"/>
      <c r="J2920" s="558"/>
    </row>
    <row r="2921" spans="1:10">
      <c r="A2921" s="496"/>
      <c r="B2921" s="583" t="s">
        <v>1190</v>
      </c>
      <c r="C2921" s="1113"/>
      <c r="D2921" s="1127"/>
      <c r="E2921" s="582"/>
      <c r="F2921" s="1115"/>
      <c r="G2921" s="557"/>
      <c r="H2921" s="1115"/>
      <c r="I2921" s="1115"/>
      <c r="J2921" s="558"/>
    </row>
    <row r="2922" spans="1:10">
      <c r="A2922" s="496"/>
      <c r="B2922" s="583" t="s">
        <v>1189</v>
      </c>
      <c r="C2922" s="1113"/>
      <c r="D2922" s="1127"/>
      <c r="E2922" s="582"/>
      <c r="F2922" s="1115"/>
      <c r="G2922" s="557"/>
      <c r="H2922" s="1115"/>
      <c r="I2922" s="1115"/>
      <c r="J2922" s="558"/>
    </row>
    <row r="2923" spans="1:10">
      <c r="A2923" s="496"/>
      <c r="B2923" s="555" t="s">
        <v>990</v>
      </c>
      <c r="C2923" s="1113">
        <v>1</v>
      </c>
      <c r="D2923" s="951" t="s">
        <v>508</v>
      </c>
      <c r="E2923" s="1128">
        <v>19200</v>
      </c>
      <c r="F2923" s="1115">
        <f t="shared" si="260"/>
        <v>19200</v>
      </c>
      <c r="G2923" s="557">
        <v>3840</v>
      </c>
      <c r="H2923" s="1115">
        <f t="shared" si="261"/>
        <v>3840</v>
      </c>
      <c r="I2923" s="1115">
        <f t="shared" si="262"/>
        <v>23040</v>
      </c>
      <c r="J2923" s="558"/>
    </row>
    <row r="2924" spans="1:10">
      <c r="A2924" s="614"/>
      <c r="B2924" s="1134"/>
      <c r="C2924" s="865"/>
      <c r="D2924" s="615"/>
      <c r="E2924" s="556"/>
      <c r="F2924" s="571"/>
      <c r="G2924" s="584"/>
      <c r="H2924" s="571"/>
      <c r="I2924" s="571"/>
      <c r="J2924" s="1133"/>
    </row>
    <row r="2925" spans="1:10">
      <c r="A2925" s="1123">
        <v>6.3</v>
      </c>
      <c r="B2925" s="919" t="s">
        <v>898</v>
      </c>
      <c r="C2925" s="1118"/>
      <c r="D2925" s="874"/>
      <c r="E2925" s="1124"/>
      <c r="F2925" s="1124"/>
      <c r="G2925" s="672"/>
      <c r="H2925" s="1125"/>
      <c r="I2925" s="1124"/>
      <c r="J2925" s="1126"/>
    </row>
    <row r="2926" spans="1:10">
      <c r="A2926" s="496" t="s">
        <v>1818</v>
      </c>
      <c r="B2926" s="1175" t="s">
        <v>60</v>
      </c>
      <c r="C2926" s="1113"/>
      <c r="D2926" s="951"/>
      <c r="E2926" s="556"/>
      <c r="F2926" s="1117"/>
      <c r="G2926" s="557"/>
      <c r="H2926" s="1117"/>
      <c r="I2926" s="1117"/>
      <c r="J2926" s="558"/>
    </row>
    <row r="2927" spans="1:10">
      <c r="A2927" s="496" t="s">
        <v>1819</v>
      </c>
      <c r="B2927" s="1175" t="s">
        <v>920</v>
      </c>
      <c r="C2927" s="1113"/>
      <c r="D2927" s="951"/>
      <c r="E2927" s="556"/>
      <c r="F2927" s="1117"/>
      <c r="G2927" s="557"/>
      <c r="H2927" s="1117"/>
      <c r="I2927" s="1117"/>
      <c r="J2927" s="558"/>
    </row>
    <row r="2928" spans="1:10">
      <c r="A2928" s="496"/>
      <c r="B2928" s="555" t="s">
        <v>1191</v>
      </c>
      <c r="C2928" s="1113"/>
      <c r="D2928" s="951"/>
      <c r="E2928" s="556"/>
      <c r="F2928" s="1117"/>
      <c r="G2928" s="557"/>
      <c r="H2928" s="1117"/>
      <c r="I2928" s="1117"/>
      <c r="J2928" s="558"/>
    </row>
    <row r="2929" spans="1:10">
      <c r="A2929" s="496"/>
      <c r="B2929" s="583" t="s">
        <v>1189</v>
      </c>
      <c r="C2929" s="1113"/>
      <c r="D2929" s="1127"/>
      <c r="E2929" s="582"/>
      <c r="F2929" s="1117"/>
      <c r="G2929" s="557"/>
      <c r="H2929" s="1117"/>
      <c r="I2929" s="1117"/>
      <c r="J2929" s="558"/>
    </row>
    <row r="2930" spans="1:10">
      <c r="A2930" s="496"/>
      <c r="B2930" s="555" t="s">
        <v>934</v>
      </c>
      <c r="C2930" s="1113">
        <v>1</v>
      </c>
      <c r="D2930" s="951" t="s">
        <v>508</v>
      </c>
      <c r="E2930" s="1128">
        <v>42600</v>
      </c>
      <c r="F2930" s="1115">
        <f>E2930*C2930</f>
        <v>42600</v>
      </c>
      <c r="G2930" s="557">
        <v>8520</v>
      </c>
      <c r="H2930" s="1115">
        <f>G2930*C2930</f>
        <v>8520</v>
      </c>
      <c r="I2930" s="1115">
        <f>F2930+H2930</f>
        <v>51120</v>
      </c>
      <c r="J2930" s="558"/>
    </row>
    <row r="2931" spans="1:10">
      <c r="A2931" s="496" t="s">
        <v>1820</v>
      </c>
      <c r="B2931" s="563" t="s">
        <v>935</v>
      </c>
      <c r="C2931" s="1113"/>
      <c r="D2931" s="951"/>
      <c r="E2931" s="556"/>
      <c r="F2931" s="1115"/>
      <c r="G2931" s="557"/>
      <c r="H2931" s="1115"/>
      <c r="I2931" s="1115"/>
      <c r="J2931" s="558"/>
    </row>
    <row r="2932" spans="1:10">
      <c r="A2932" s="496"/>
      <c r="B2932" s="555" t="s">
        <v>936</v>
      </c>
      <c r="C2932" s="1113"/>
      <c r="D2932" s="951"/>
      <c r="E2932" s="556"/>
      <c r="F2932" s="1115"/>
      <c r="G2932" s="557"/>
      <c r="H2932" s="1115"/>
      <c r="I2932" s="1115"/>
      <c r="J2932" s="558"/>
    </row>
    <row r="2933" spans="1:10">
      <c r="A2933" s="496"/>
      <c r="B2933" s="555" t="s">
        <v>1028</v>
      </c>
      <c r="C2933" s="1113">
        <v>253.75</v>
      </c>
      <c r="D2933" s="951" t="s">
        <v>57</v>
      </c>
      <c r="E2933" s="556">
        <v>76</v>
      </c>
      <c r="F2933" s="1115">
        <f t="shared" ref="F2933:F2966" si="263">E2933*C2933</f>
        <v>19285</v>
      </c>
      <c r="G2933" s="557">
        <v>38</v>
      </c>
      <c r="H2933" s="1115">
        <f t="shared" ref="H2933:H2961" si="264">G2933*C2933</f>
        <v>9642.5</v>
      </c>
      <c r="I2933" s="1115">
        <f t="shared" ref="I2933:I2966" si="265">F2933+H2933</f>
        <v>28927.5</v>
      </c>
      <c r="J2933" s="558"/>
    </row>
    <row r="2934" spans="1:10">
      <c r="A2934" s="496"/>
      <c r="B2934" s="555" t="s">
        <v>937</v>
      </c>
      <c r="C2934" s="1113">
        <v>227.5</v>
      </c>
      <c r="D2934" s="951" t="s">
        <v>57</v>
      </c>
      <c r="E2934" s="556">
        <v>120</v>
      </c>
      <c r="F2934" s="1115">
        <f t="shared" si="263"/>
        <v>27300</v>
      </c>
      <c r="G2934" s="557">
        <v>38</v>
      </c>
      <c r="H2934" s="1115">
        <f t="shared" si="264"/>
        <v>8645</v>
      </c>
      <c r="I2934" s="1115">
        <f t="shared" si="265"/>
        <v>35945</v>
      </c>
      <c r="J2934" s="558"/>
    </row>
    <row r="2935" spans="1:10">
      <c r="A2935" s="496"/>
      <c r="B2935" s="555" t="s">
        <v>1029</v>
      </c>
      <c r="C2935" s="1113">
        <v>253.75</v>
      </c>
      <c r="D2935" s="951" t="s">
        <v>57</v>
      </c>
      <c r="E2935" s="556">
        <v>214</v>
      </c>
      <c r="F2935" s="1115">
        <f t="shared" si="263"/>
        <v>54302.5</v>
      </c>
      <c r="G2935" s="557">
        <v>66</v>
      </c>
      <c r="H2935" s="1115">
        <f t="shared" si="264"/>
        <v>16747.5</v>
      </c>
      <c r="I2935" s="1115">
        <f t="shared" si="265"/>
        <v>71050</v>
      </c>
      <c r="J2935" s="558"/>
    </row>
    <row r="2936" spans="1:10">
      <c r="A2936" s="496"/>
      <c r="B2936" s="555" t="s">
        <v>938</v>
      </c>
      <c r="C2936" s="1113">
        <v>227.5</v>
      </c>
      <c r="D2936" s="951" t="s">
        <v>57</v>
      </c>
      <c r="E2936" s="556">
        <v>280</v>
      </c>
      <c r="F2936" s="1115">
        <f t="shared" si="263"/>
        <v>63700</v>
      </c>
      <c r="G2936" s="557">
        <v>87</v>
      </c>
      <c r="H2936" s="1115">
        <f t="shared" si="264"/>
        <v>19792.5</v>
      </c>
      <c r="I2936" s="1115">
        <f t="shared" si="265"/>
        <v>83492.5</v>
      </c>
      <c r="J2936" s="558"/>
    </row>
    <row r="2937" spans="1:10">
      <c r="A2937" s="496"/>
      <c r="B2937" s="555" t="s">
        <v>939</v>
      </c>
      <c r="C2937" s="1113">
        <v>1</v>
      </c>
      <c r="D2937" s="951" t="s">
        <v>508</v>
      </c>
      <c r="E2937" s="1128">
        <v>41200</v>
      </c>
      <c r="F2937" s="1115">
        <f t="shared" si="263"/>
        <v>41200</v>
      </c>
      <c r="G2937" s="557">
        <v>8240</v>
      </c>
      <c r="H2937" s="1115">
        <f t="shared" si="264"/>
        <v>8240</v>
      </c>
      <c r="I2937" s="1115">
        <f t="shared" si="265"/>
        <v>49440</v>
      </c>
      <c r="J2937" s="558"/>
    </row>
    <row r="2938" spans="1:10">
      <c r="A2938" s="496"/>
      <c r="B2938" s="555" t="s">
        <v>940</v>
      </c>
      <c r="C2938" s="1113"/>
      <c r="D2938" s="951"/>
      <c r="E2938" s="556"/>
      <c r="F2938" s="1115"/>
      <c r="G2938" s="557"/>
      <c r="H2938" s="1115"/>
      <c r="I2938" s="1115"/>
      <c r="J2938" s="558"/>
    </row>
    <row r="2939" spans="1:10">
      <c r="A2939" s="496"/>
      <c r="B2939" s="555" t="s">
        <v>1030</v>
      </c>
      <c r="C2939" s="1113">
        <v>253.75</v>
      </c>
      <c r="D2939" s="951" t="s">
        <v>57</v>
      </c>
      <c r="E2939" s="556">
        <v>84</v>
      </c>
      <c r="F2939" s="1115">
        <f t="shared" si="263"/>
        <v>21315</v>
      </c>
      <c r="G2939" s="557">
        <v>17</v>
      </c>
      <c r="H2939" s="1115">
        <f t="shared" si="264"/>
        <v>4313.75</v>
      </c>
      <c r="I2939" s="1115">
        <f t="shared" si="265"/>
        <v>25628.75</v>
      </c>
      <c r="J2939" s="558"/>
    </row>
    <row r="2940" spans="1:10">
      <c r="A2940" s="496"/>
      <c r="B2940" s="555" t="s">
        <v>941</v>
      </c>
      <c r="C2940" s="1113">
        <v>227.5</v>
      </c>
      <c r="D2940" s="951" t="s">
        <v>57</v>
      </c>
      <c r="E2940" s="556">
        <v>89</v>
      </c>
      <c r="F2940" s="1115">
        <f t="shared" si="263"/>
        <v>20247.5</v>
      </c>
      <c r="G2940" s="557">
        <v>18</v>
      </c>
      <c r="H2940" s="1115">
        <f t="shared" si="264"/>
        <v>4095</v>
      </c>
      <c r="I2940" s="1115">
        <f t="shared" si="265"/>
        <v>24342.5</v>
      </c>
      <c r="J2940" s="558"/>
    </row>
    <row r="2941" spans="1:10">
      <c r="A2941" s="496"/>
      <c r="B2941" s="555" t="s">
        <v>942</v>
      </c>
      <c r="C2941" s="1113">
        <v>1</v>
      </c>
      <c r="D2941" s="951" t="s">
        <v>508</v>
      </c>
      <c r="E2941" s="1128">
        <v>4200</v>
      </c>
      <c r="F2941" s="1115">
        <f t="shared" si="263"/>
        <v>4200</v>
      </c>
      <c r="G2941" s="557">
        <v>840</v>
      </c>
      <c r="H2941" s="1115">
        <f t="shared" si="264"/>
        <v>840</v>
      </c>
      <c r="I2941" s="1115">
        <f t="shared" si="265"/>
        <v>5040</v>
      </c>
      <c r="J2941" s="558"/>
    </row>
    <row r="2942" spans="1:10">
      <c r="A2942" s="496" t="s">
        <v>1821</v>
      </c>
      <c r="B2942" s="563" t="s">
        <v>943</v>
      </c>
      <c r="C2942" s="1113"/>
      <c r="D2942" s="951"/>
      <c r="E2942" s="556"/>
      <c r="F2942" s="1115"/>
      <c r="G2942" s="557"/>
      <c r="H2942" s="1115"/>
      <c r="I2942" s="1115"/>
      <c r="J2942" s="558"/>
    </row>
    <row r="2943" spans="1:10">
      <c r="A2943" s="496"/>
      <c r="B2943" s="555" t="s">
        <v>944</v>
      </c>
      <c r="C2943" s="1113"/>
      <c r="D2943" s="951"/>
      <c r="E2943" s="556"/>
      <c r="F2943" s="1115"/>
      <c r="G2943" s="557"/>
      <c r="H2943" s="1115"/>
      <c r="I2943" s="1115"/>
      <c r="J2943" s="558"/>
    </row>
    <row r="2944" spans="1:10">
      <c r="A2944" s="496"/>
      <c r="B2944" s="555" t="s">
        <v>1031</v>
      </c>
      <c r="C2944" s="1113">
        <v>181.25</v>
      </c>
      <c r="D2944" s="951" t="s">
        <v>57</v>
      </c>
      <c r="E2944" s="556">
        <v>12.5</v>
      </c>
      <c r="F2944" s="1115">
        <f t="shared" si="263"/>
        <v>2265.625</v>
      </c>
      <c r="G2944" s="557">
        <v>20</v>
      </c>
      <c r="H2944" s="1115">
        <f t="shared" si="264"/>
        <v>3625</v>
      </c>
      <c r="I2944" s="1115">
        <f t="shared" si="265"/>
        <v>5890.625</v>
      </c>
      <c r="J2944" s="558"/>
    </row>
    <row r="2945" spans="1:10">
      <c r="A2945" s="496"/>
      <c r="B2945" s="555" t="s">
        <v>945</v>
      </c>
      <c r="C2945" s="1113">
        <v>162.5</v>
      </c>
      <c r="D2945" s="951" t="s">
        <v>57</v>
      </c>
      <c r="E2945" s="556">
        <v>16.5</v>
      </c>
      <c r="F2945" s="1115">
        <f t="shared" si="263"/>
        <v>2681.25</v>
      </c>
      <c r="G2945" s="557">
        <v>20</v>
      </c>
      <c r="H2945" s="1115">
        <f t="shared" si="264"/>
        <v>3250</v>
      </c>
      <c r="I2945" s="1115">
        <f t="shared" si="265"/>
        <v>5931.25</v>
      </c>
      <c r="J2945" s="558"/>
    </row>
    <row r="2946" spans="1:10">
      <c r="A2946" s="496"/>
      <c r="B2946" s="555" t="s">
        <v>939</v>
      </c>
      <c r="C2946" s="1113">
        <v>1</v>
      </c>
      <c r="D2946" s="951" t="s">
        <v>508</v>
      </c>
      <c r="E2946" s="1128">
        <v>1500</v>
      </c>
      <c r="F2946" s="1115">
        <f t="shared" si="263"/>
        <v>1500</v>
      </c>
      <c r="G2946" s="557">
        <v>300</v>
      </c>
      <c r="H2946" s="1115">
        <f t="shared" si="264"/>
        <v>300</v>
      </c>
      <c r="I2946" s="1115">
        <f t="shared" si="265"/>
        <v>1800</v>
      </c>
      <c r="J2946" s="558"/>
    </row>
    <row r="2947" spans="1:10">
      <c r="A2947" s="496"/>
      <c r="B2947" s="555" t="s">
        <v>946</v>
      </c>
      <c r="C2947" s="1113"/>
      <c r="D2947" s="951"/>
      <c r="E2947" s="556"/>
      <c r="F2947" s="1115"/>
      <c r="G2947" s="557"/>
      <c r="H2947" s="1115"/>
      <c r="I2947" s="1115"/>
      <c r="J2947" s="558"/>
    </row>
    <row r="2948" spans="1:10">
      <c r="A2948" s="496"/>
      <c r="B2948" s="555" t="s">
        <v>1032</v>
      </c>
      <c r="C2948" s="1113">
        <v>181.25</v>
      </c>
      <c r="D2948" s="951" t="s">
        <v>57</v>
      </c>
      <c r="E2948" s="556">
        <v>48</v>
      </c>
      <c r="F2948" s="1115">
        <f t="shared" si="263"/>
        <v>8700</v>
      </c>
      <c r="G2948" s="557">
        <v>17</v>
      </c>
      <c r="H2948" s="1115">
        <f t="shared" si="264"/>
        <v>3081.25</v>
      </c>
      <c r="I2948" s="1115">
        <f t="shared" si="265"/>
        <v>11781.25</v>
      </c>
      <c r="J2948" s="558"/>
    </row>
    <row r="2949" spans="1:10">
      <c r="A2949" s="496"/>
      <c r="B2949" s="555" t="s">
        <v>947</v>
      </c>
      <c r="C2949" s="1113">
        <v>162.5</v>
      </c>
      <c r="D2949" s="951" t="s">
        <v>57</v>
      </c>
      <c r="E2949" s="556">
        <v>53</v>
      </c>
      <c r="F2949" s="1115">
        <f t="shared" si="263"/>
        <v>8612.5</v>
      </c>
      <c r="G2949" s="557">
        <v>19</v>
      </c>
      <c r="H2949" s="1115">
        <f t="shared" si="264"/>
        <v>3087.5</v>
      </c>
      <c r="I2949" s="1115">
        <f t="shared" si="265"/>
        <v>11700</v>
      </c>
      <c r="J2949" s="558"/>
    </row>
    <row r="2950" spans="1:10">
      <c r="A2950" s="496"/>
      <c r="B2950" s="555" t="s">
        <v>942</v>
      </c>
      <c r="C2950" s="1113">
        <v>1</v>
      </c>
      <c r="D2950" s="951" t="s">
        <v>508</v>
      </c>
      <c r="E2950" s="1129">
        <v>3500</v>
      </c>
      <c r="F2950" s="1115">
        <f t="shared" si="263"/>
        <v>3500</v>
      </c>
      <c r="G2950" s="557">
        <v>700</v>
      </c>
      <c r="H2950" s="1115">
        <f t="shared" si="264"/>
        <v>700</v>
      </c>
      <c r="I2950" s="1115">
        <f t="shared" si="265"/>
        <v>4200</v>
      </c>
      <c r="J2950" s="558"/>
    </row>
    <row r="2951" spans="1:10">
      <c r="A2951" s="496" t="s">
        <v>1822</v>
      </c>
      <c r="B2951" s="563" t="s">
        <v>948</v>
      </c>
      <c r="C2951" s="1113"/>
      <c r="D2951" s="951"/>
      <c r="E2951" s="612"/>
      <c r="F2951" s="1115"/>
      <c r="G2951" s="557"/>
      <c r="H2951" s="1115"/>
      <c r="I2951" s="1115"/>
      <c r="J2951" s="558"/>
    </row>
    <row r="2952" spans="1:10">
      <c r="A2952" s="496"/>
      <c r="B2952" s="555" t="s">
        <v>949</v>
      </c>
      <c r="C2952" s="1113"/>
      <c r="D2952" s="951"/>
      <c r="E2952" s="556"/>
      <c r="F2952" s="1115"/>
      <c r="G2952" s="557"/>
      <c r="H2952" s="1115"/>
      <c r="I2952" s="1115"/>
      <c r="J2952" s="558"/>
    </row>
    <row r="2953" spans="1:10">
      <c r="A2953" s="496"/>
      <c r="B2953" s="555" t="s">
        <v>950</v>
      </c>
      <c r="C2953" s="1113">
        <v>1568</v>
      </c>
      <c r="D2953" s="951" t="s">
        <v>951</v>
      </c>
      <c r="E2953" s="556">
        <v>18</v>
      </c>
      <c r="F2953" s="1115">
        <f t="shared" si="263"/>
        <v>28224</v>
      </c>
      <c r="G2953" s="557">
        <v>18</v>
      </c>
      <c r="H2953" s="1115">
        <f t="shared" si="264"/>
        <v>28224</v>
      </c>
      <c r="I2953" s="1115">
        <f t="shared" si="265"/>
        <v>56448</v>
      </c>
      <c r="J2953" s="558"/>
    </row>
    <row r="2954" spans="1:10">
      <c r="A2954" s="496"/>
      <c r="B2954" s="555" t="s">
        <v>939</v>
      </c>
      <c r="C2954" s="1113">
        <v>1</v>
      </c>
      <c r="D2954" s="951" t="s">
        <v>508</v>
      </c>
      <c r="E2954" s="1128">
        <v>5700</v>
      </c>
      <c r="F2954" s="1115">
        <f t="shared" si="263"/>
        <v>5700</v>
      </c>
      <c r="G2954" s="1130">
        <v>1140</v>
      </c>
      <c r="H2954" s="1115">
        <f t="shared" si="264"/>
        <v>1140</v>
      </c>
      <c r="I2954" s="1115">
        <f t="shared" si="265"/>
        <v>6840</v>
      </c>
      <c r="J2954" s="558"/>
    </row>
    <row r="2955" spans="1:10">
      <c r="A2955" s="496"/>
      <c r="B2955" s="555" t="s">
        <v>952</v>
      </c>
      <c r="C2955" s="1113">
        <v>1</v>
      </c>
      <c r="D2955" s="951" t="s">
        <v>508</v>
      </c>
      <c r="E2955" s="556">
        <v>41000</v>
      </c>
      <c r="F2955" s="1115">
        <f t="shared" si="263"/>
        <v>41000</v>
      </c>
      <c r="G2955" s="557">
        <v>16400</v>
      </c>
      <c r="H2955" s="1115">
        <f t="shared" si="264"/>
        <v>16400</v>
      </c>
      <c r="I2955" s="1115">
        <f t="shared" si="265"/>
        <v>57400</v>
      </c>
      <c r="J2955" s="558"/>
    </row>
    <row r="2956" spans="1:10">
      <c r="A2956" s="496" t="s">
        <v>1823</v>
      </c>
      <c r="B2956" s="563" t="s">
        <v>652</v>
      </c>
      <c r="C2956" s="1113"/>
      <c r="D2956" s="951"/>
      <c r="E2956" s="556"/>
      <c r="F2956" s="1115"/>
      <c r="G2956" s="557"/>
      <c r="H2956" s="1115"/>
      <c r="I2956" s="1115"/>
      <c r="J2956" s="558"/>
    </row>
    <row r="2957" spans="1:10">
      <c r="A2957" s="496"/>
      <c r="B2957" s="555" t="s">
        <v>953</v>
      </c>
      <c r="C2957" s="1113">
        <v>1</v>
      </c>
      <c r="D2957" s="951" t="s">
        <v>508</v>
      </c>
      <c r="E2957" s="556">
        <v>137500</v>
      </c>
      <c r="F2957" s="1115">
        <f t="shared" si="263"/>
        <v>137500</v>
      </c>
      <c r="G2957" s="557">
        <v>27500</v>
      </c>
      <c r="H2957" s="1115">
        <f t="shared" si="264"/>
        <v>27500</v>
      </c>
      <c r="I2957" s="1115">
        <f t="shared" si="265"/>
        <v>165000</v>
      </c>
      <c r="J2957" s="558"/>
    </row>
    <row r="2958" spans="1:10">
      <c r="A2958" s="496"/>
      <c r="B2958" s="555" t="s">
        <v>954</v>
      </c>
      <c r="C2958" s="1113">
        <v>1</v>
      </c>
      <c r="D2958" s="951" t="s">
        <v>508</v>
      </c>
      <c r="E2958" s="556">
        <v>82500</v>
      </c>
      <c r="F2958" s="1115">
        <f t="shared" si="263"/>
        <v>82500</v>
      </c>
      <c r="G2958" s="557">
        <v>16500</v>
      </c>
      <c r="H2958" s="1115">
        <f t="shared" si="264"/>
        <v>16500</v>
      </c>
      <c r="I2958" s="1115">
        <f t="shared" si="265"/>
        <v>99000</v>
      </c>
      <c r="J2958" s="558"/>
    </row>
    <row r="2959" spans="1:10">
      <c r="A2959" s="496"/>
      <c r="B2959" s="555" t="s">
        <v>955</v>
      </c>
      <c r="C2959" s="1113">
        <v>55</v>
      </c>
      <c r="D2959" s="951" t="s">
        <v>15</v>
      </c>
      <c r="E2959" s="556">
        <v>2000</v>
      </c>
      <c r="F2959" s="1115">
        <f t="shared" si="263"/>
        <v>110000</v>
      </c>
      <c r="G2959" s="557">
        <v>100</v>
      </c>
      <c r="H2959" s="1115">
        <f t="shared" si="264"/>
        <v>5500</v>
      </c>
      <c r="I2959" s="1115">
        <f t="shared" si="265"/>
        <v>115500</v>
      </c>
      <c r="J2959" s="558"/>
    </row>
    <row r="2960" spans="1:10">
      <c r="A2960" s="496"/>
      <c r="B2960" s="555" t="s">
        <v>956</v>
      </c>
      <c r="C2960" s="1113">
        <v>67</v>
      </c>
      <c r="D2960" s="951" t="s">
        <v>15</v>
      </c>
      <c r="E2960" s="556">
        <v>350</v>
      </c>
      <c r="F2960" s="1115">
        <f t="shared" si="263"/>
        <v>23450</v>
      </c>
      <c r="G2960" s="557">
        <v>100</v>
      </c>
      <c r="H2960" s="1115">
        <f t="shared" si="264"/>
        <v>6700</v>
      </c>
      <c r="I2960" s="1115">
        <f t="shared" si="265"/>
        <v>30150</v>
      </c>
      <c r="J2960" s="558"/>
    </row>
    <row r="2961" spans="1:10">
      <c r="A2961" s="496"/>
      <c r="B2961" s="555" t="s">
        <v>957</v>
      </c>
      <c r="C2961" s="1113">
        <v>1</v>
      </c>
      <c r="D2961" s="951" t="s">
        <v>508</v>
      </c>
      <c r="E2961" s="613">
        <v>35400</v>
      </c>
      <c r="F2961" s="1115">
        <f t="shared" si="263"/>
        <v>35400</v>
      </c>
      <c r="G2961" s="557">
        <v>7080</v>
      </c>
      <c r="H2961" s="1115">
        <f t="shared" si="264"/>
        <v>7080</v>
      </c>
      <c r="I2961" s="1115">
        <f t="shared" si="265"/>
        <v>42480</v>
      </c>
      <c r="J2961" s="558"/>
    </row>
    <row r="2962" spans="1:10">
      <c r="A2962" s="496" t="s">
        <v>1824</v>
      </c>
      <c r="B2962" s="563" t="s">
        <v>958</v>
      </c>
      <c r="C2962" s="1113"/>
      <c r="D2962" s="951"/>
      <c r="E2962" s="1131"/>
      <c r="F2962" s="1115"/>
      <c r="G2962" s="557"/>
      <c r="H2962" s="1117"/>
      <c r="I2962" s="1115"/>
      <c r="J2962" s="558"/>
    </row>
    <row r="2963" spans="1:10">
      <c r="A2963" s="496"/>
      <c r="B2963" s="583" t="s">
        <v>1191</v>
      </c>
      <c r="C2963" s="1113"/>
      <c r="D2963" s="1127"/>
      <c r="E2963" s="582"/>
      <c r="F2963" s="1115"/>
      <c r="G2963" s="557"/>
      <c r="H2963" s="1117"/>
      <c r="I2963" s="1115"/>
      <c r="J2963" s="558"/>
    </row>
    <row r="2964" spans="1:10">
      <c r="A2964" s="496"/>
      <c r="B2964" s="583" t="s">
        <v>1190</v>
      </c>
      <c r="C2964" s="1113"/>
      <c r="D2964" s="1127"/>
      <c r="E2964" s="582"/>
      <c r="F2964" s="1115"/>
      <c r="G2964" s="557"/>
      <c r="H2964" s="1117"/>
      <c r="I2964" s="1115"/>
      <c r="J2964" s="558"/>
    </row>
    <row r="2965" spans="1:10">
      <c r="A2965" s="496"/>
      <c r="B2965" s="583" t="s">
        <v>1189</v>
      </c>
      <c r="C2965" s="1113"/>
      <c r="D2965" s="1127"/>
      <c r="E2965" s="582"/>
      <c r="F2965" s="1115"/>
      <c r="G2965" s="557"/>
      <c r="H2965" s="1117"/>
      <c r="I2965" s="1115"/>
      <c r="J2965" s="558"/>
    </row>
    <row r="2966" spans="1:10">
      <c r="A2966" s="496"/>
      <c r="B2966" s="583" t="s">
        <v>990</v>
      </c>
      <c r="C2966" s="1113">
        <v>1</v>
      </c>
      <c r="D2966" s="1127" t="s">
        <v>508</v>
      </c>
      <c r="E2966" s="1128">
        <v>26900</v>
      </c>
      <c r="F2966" s="1115">
        <f t="shared" si="263"/>
        <v>26900</v>
      </c>
      <c r="G2966" s="557">
        <v>5380</v>
      </c>
      <c r="H2966" s="1117">
        <v>5380</v>
      </c>
      <c r="I2966" s="1115">
        <f t="shared" si="265"/>
        <v>32280</v>
      </c>
      <c r="J2966" s="558"/>
    </row>
    <row r="2967" spans="1:10">
      <c r="A2967" s="504"/>
      <c r="B2967" s="583"/>
      <c r="C2967" s="1113"/>
      <c r="D2967" s="1127"/>
      <c r="E2967" s="582"/>
      <c r="F2967" s="1117"/>
      <c r="G2967" s="557"/>
      <c r="H2967" s="1117"/>
      <c r="I2967" s="1135"/>
      <c r="J2967" s="558"/>
    </row>
    <row r="2968" spans="1:10">
      <c r="A2968" s="832"/>
      <c r="B2968" s="833" t="s">
        <v>1052</v>
      </c>
      <c r="C2968" s="834"/>
      <c r="D2968" s="835"/>
      <c r="E2968" s="836"/>
      <c r="F2968" s="837">
        <f>SUM(F2848:F2967)</f>
        <v>2931348.5</v>
      </c>
      <c r="G2968" s="837"/>
      <c r="H2968" s="837">
        <f>SUM(H2848:H2967)</f>
        <v>758217.25</v>
      </c>
      <c r="I2968" s="837">
        <f>SUM(I2848:I2967)</f>
        <v>3689565.75</v>
      </c>
      <c r="J2968" s="837"/>
    </row>
    <row r="2969" spans="1:10">
      <c r="A2969" s="504"/>
      <c r="B2969" s="583"/>
      <c r="C2969" s="1113"/>
      <c r="D2969" s="1127"/>
      <c r="E2969" s="582"/>
      <c r="F2969" s="1117"/>
      <c r="G2969" s="557"/>
      <c r="H2969" s="1117"/>
      <c r="I2969" s="571"/>
      <c r="J2969" s="558"/>
    </row>
    <row r="2970" spans="1:10">
      <c r="A2970" s="504">
        <v>7</v>
      </c>
      <c r="B2970" s="515" t="s">
        <v>248</v>
      </c>
      <c r="C2970" s="506"/>
      <c r="D2970" s="505"/>
      <c r="E2970" s="660"/>
      <c r="F2970" s="489"/>
      <c r="G2970" s="507"/>
      <c r="H2970" s="490"/>
      <c r="I2970" s="660"/>
      <c r="J2970" s="508"/>
    </row>
    <row r="2971" spans="1:10">
      <c r="A2971" s="504">
        <v>7.1</v>
      </c>
      <c r="B2971" s="525" t="s">
        <v>1825</v>
      </c>
      <c r="C2971" s="506"/>
      <c r="D2971" s="505"/>
      <c r="E2971" s="489"/>
      <c r="F2971" s="489"/>
      <c r="G2971" s="507"/>
      <c r="H2971" s="490"/>
      <c r="I2971" s="660"/>
      <c r="J2971" s="508"/>
    </row>
    <row r="2972" spans="1:10">
      <c r="A2972" s="504"/>
      <c r="B2972" s="862" t="s">
        <v>1137</v>
      </c>
      <c r="C2972" s="506">
        <v>1</v>
      </c>
      <c r="D2972" s="510" t="s">
        <v>15</v>
      </c>
      <c r="E2972" s="489">
        <v>12500000</v>
      </c>
      <c r="F2972" s="660">
        <f>E2972*C2972</f>
        <v>12500000</v>
      </c>
      <c r="G2972" s="672">
        <v>0</v>
      </c>
      <c r="H2972" s="660">
        <f>G2972*C2972</f>
        <v>0</v>
      </c>
      <c r="I2972" s="660">
        <f>H2972+F2972</f>
        <v>12500000</v>
      </c>
      <c r="J2972" s="508"/>
    </row>
    <row r="2973" spans="1:10">
      <c r="A2973" s="504"/>
      <c r="B2973" s="862"/>
      <c r="C2973" s="564"/>
      <c r="D2973" s="510"/>
      <c r="E2973" s="489"/>
      <c r="F2973" s="660"/>
      <c r="G2973" s="672"/>
      <c r="H2973" s="660"/>
      <c r="I2973" s="660"/>
      <c r="J2973" s="508"/>
    </row>
    <row r="2974" spans="1:10">
      <c r="A2974" s="496">
        <v>7.2</v>
      </c>
      <c r="B2974" s="1136" t="s">
        <v>652</v>
      </c>
      <c r="C2974" s="907"/>
      <c r="D2974" s="1137" t="s">
        <v>1</v>
      </c>
      <c r="E2974" s="1138" t="s">
        <v>1</v>
      </c>
      <c r="F2974" s="1138"/>
      <c r="G2974" s="1138" t="s">
        <v>1</v>
      </c>
      <c r="H2974" s="1138"/>
      <c r="I2974" s="1077" t="s">
        <v>1</v>
      </c>
      <c r="J2974" s="508"/>
    </row>
    <row r="2975" spans="1:10">
      <c r="A2975" s="496"/>
      <c r="B2975" s="620" t="s">
        <v>653</v>
      </c>
      <c r="C2975" s="486"/>
      <c r="D2975" s="486"/>
      <c r="E2975" s="487"/>
      <c r="F2975" s="488"/>
      <c r="G2975" s="487"/>
      <c r="H2975" s="488"/>
      <c r="I2975" s="488"/>
      <c r="J2975" s="508"/>
    </row>
    <row r="2976" spans="1:10">
      <c r="A2976" s="496"/>
      <c r="B2976" s="509" t="s">
        <v>654</v>
      </c>
      <c r="C2976" s="908">
        <v>1</v>
      </c>
      <c r="D2976" s="510" t="s">
        <v>15</v>
      </c>
      <c r="E2976" s="1139">
        <v>750000</v>
      </c>
      <c r="F2976" s="1115">
        <f>E2976*C2976</f>
        <v>750000</v>
      </c>
      <c r="G2976" s="672">
        <v>0</v>
      </c>
      <c r="H2976" s="1125">
        <f>G2976*C2976</f>
        <v>0</v>
      </c>
      <c r="I2976" s="1115">
        <f>F2976+H2976</f>
        <v>750000</v>
      </c>
      <c r="J2976" s="508"/>
    </row>
    <row r="2977" spans="1:10">
      <c r="A2977" s="496"/>
      <c r="B2977" s="509"/>
      <c r="C2977" s="510"/>
      <c r="D2977" s="510"/>
      <c r="E2977" s="909"/>
      <c r="F2977" s="566"/>
      <c r="G2977" s="507"/>
      <c r="H2977" s="490"/>
      <c r="I2977" s="566"/>
      <c r="J2977" s="508"/>
    </row>
    <row r="2978" spans="1:10">
      <c r="A2978" s="496">
        <v>7.3</v>
      </c>
      <c r="B2978" s="1140" t="s">
        <v>58</v>
      </c>
      <c r="C2978" s="506"/>
      <c r="D2978" s="505"/>
      <c r="E2978" s="1124"/>
      <c r="F2978" s="489"/>
      <c r="G2978" s="507"/>
      <c r="H2978" s="490"/>
      <c r="I2978" s="489"/>
      <c r="J2978" s="508"/>
    </row>
    <row r="2979" spans="1:10">
      <c r="A2979" s="496"/>
      <c r="B2979" s="1141" t="s">
        <v>613</v>
      </c>
      <c r="C2979" s="489"/>
      <c r="D2979" s="506"/>
      <c r="E2979" s="489"/>
      <c r="F2979" s="489"/>
      <c r="G2979" s="1142"/>
      <c r="H2979" s="623"/>
      <c r="I2979" s="489"/>
      <c r="J2979" s="508"/>
    </row>
    <row r="2980" spans="1:10">
      <c r="A2980" s="496"/>
      <c r="B2980" s="645" t="s">
        <v>614</v>
      </c>
      <c r="C2980" s="506">
        <v>2</v>
      </c>
      <c r="D2980" s="505" t="s">
        <v>15</v>
      </c>
      <c r="E2980" s="489">
        <f>360850/2</f>
        <v>180425</v>
      </c>
      <c r="F2980" s="489">
        <f>C2980*E2980</f>
        <v>360850</v>
      </c>
      <c r="G2980" s="672">
        <v>0</v>
      </c>
      <c r="H2980" s="1125">
        <f>G2980*C2980</f>
        <v>0</v>
      </c>
      <c r="I2980" s="489">
        <f>F2980+H2980</f>
        <v>360850</v>
      </c>
      <c r="J2980" s="508"/>
    </row>
    <row r="2981" spans="1:10">
      <c r="A2981" s="496"/>
      <c r="B2981" s="1141" t="s">
        <v>1172</v>
      </c>
      <c r="C2981" s="489">
        <v>1</v>
      </c>
      <c r="D2981" s="505" t="s">
        <v>15</v>
      </c>
      <c r="E2981" s="489">
        <v>390000</v>
      </c>
      <c r="F2981" s="489">
        <f>C2981*E2981</f>
        <v>390000</v>
      </c>
      <c r="G2981" s="672">
        <v>0</v>
      </c>
      <c r="H2981" s="1125">
        <f>G2981*C2981</f>
        <v>0</v>
      </c>
      <c r="I2981" s="489">
        <f>F2981+H2981</f>
        <v>390000</v>
      </c>
      <c r="J2981" s="508"/>
    </row>
    <row r="2982" spans="1:10">
      <c r="A2982" s="504"/>
      <c r="B2982" s="489" t="s">
        <v>634</v>
      </c>
      <c r="C2982" s="1143"/>
      <c r="D2982" s="506"/>
      <c r="E2982" s="489"/>
      <c r="F2982" s="489"/>
      <c r="G2982" s="1142"/>
      <c r="H2982" s="623"/>
      <c r="I2982" s="489"/>
      <c r="J2982" s="508"/>
    </row>
    <row r="2983" spans="1:10">
      <c r="A2983" s="496"/>
      <c r="B2983" s="489" t="s">
        <v>635</v>
      </c>
      <c r="C2983" s="489">
        <v>1</v>
      </c>
      <c r="D2983" s="506" t="s">
        <v>15</v>
      </c>
      <c r="E2983" s="489">
        <v>246000</v>
      </c>
      <c r="F2983" s="489">
        <f>C2983*E2983</f>
        <v>246000</v>
      </c>
      <c r="G2983" s="672">
        <v>0</v>
      </c>
      <c r="H2983" s="1125">
        <f>G2983*C2983</f>
        <v>0</v>
      </c>
      <c r="I2983" s="489">
        <f>E2983+H2983</f>
        <v>246000</v>
      </c>
      <c r="J2983" s="508"/>
    </row>
    <row r="2984" spans="1:10">
      <c r="A2984" s="496"/>
      <c r="B2984" s="489" t="s">
        <v>636</v>
      </c>
      <c r="C2984" s="489">
        <v>2</v>
      </c>
      <c r="D2984" s="506" t="s">
        <v>15</v>
      </c>
      <c r="E2984" s="489">
        <v>468000</v>
      </c>
      <c r="F2984" s="489">
        <f>C2984*E2984</f>
        <v>936000</v>
      </c>
      <c r="G2984" s="672">
        <v>0</v>
      </c>
      <c r="H2984" s="1125">
        <f>G2984*C2984</f>
        <v>0</v>
      </c>
      <c r="I2984" s="489">
        <f>F2984+H2984</f>
        <v>936000</v>
      </c>
      <c r="J2984" s="508"/>
    </row>
    <row r="2985" spans="1:10">
      <c r="A2985" s="496"/>
      <c r="B2985" s="489" t="s">
        <v>637</v>
      </c>
      <c r="C2985" s="489">
        <v>2</v>
      </c>
      <c r="D2985" s="506" t="s">
        <v>15</v>
      </c>
      <c r="E2985" s="489">
        <v>588000</v>
      </c>
      <c r="F2985" s="489">
        <f>C2985*E2985</f>
        <v>1176000</v>
      </c>
      <c r="G2985" s="672">
        <v>0</v>
      </c>
      <c r="H2985" s="1125">
        <f>G2985*C2985</f>
        <v>0</v>
      </c>
      <c r="I2985" s="489">
        <f>F2985+H2985</f>
        <v>1176000</v>
      </c>
      <c r="J2985" s="508"/>
    </row>
    <row r="2986" spans="1:10">
      <c r="A2986" s="496"/>
      <c r="B2986" s="507"/>
      <c r="C2986" s="489"/>
      <c r="D2986" s="564"/>
      <c r="E2986" s="489"/>
      <c r="F2986" s="489"/>
      <c r="G2986" s="507"/>
      <c r="H2986" s="490"/>
      <c r="I2986" s="489"/>
      <c r="J2986" s="508"/>
    </row>
    <row r="2987" spans="1:10">
      <c r="A2987" s="496">
        <v>7.4</v>
      </c>
      <c r="B2987" s="493" t="s">
        <v>60</v>
      </c>
      <c r="C2987" s="506"/>
      <c r="D2987" s="505"/>
      <c r="E2987" s="1124"/>
      <c r="F2987" s="489"/>
      <c r="G2987" s="507"/>
      <c r="H2987" s="490"/>
      <c r="I2987" s="489"/>
      <c r="J2987" s="508"/>
    </row>
    <row r="2988" spans="1:10">
      <c r="A2988" s="496"/>
      <c r="B2988" s="493" t="s">
        <v>1188</v>
      </c>
      <c r="C2988" s="506"/>
      <c r="D2988" s="505"/>
      <c r="E2988" s="1124"/>
      <c r="F2988" s="489"/>
      <c r="G2988" s="507"/>
      <c r="H2988" s="490"/>
      <c r="I2988" s="489"/>
      <c r="J2988" s="508"/>
    </row>
    <row r="2989" spans="1:10">
      <c r="A2989" s="496" t="s">
        <v>1795</v>
      </c>
      <c r="B2989" s="493" t="s">
        <v>825</v>
      </c>
      <c r="C2989" s="506"/>
      <c r="D2989" s="505"/>
      <c r="E2989" s="517"/>
      <c r="F2989" s="489"/>
      <c r="G2989" s="507"/>
      <c r="H2989" s="490"/>
      <c r="I2989" s="489"/>
      <c r="J2989" s="508"/>
    </row>
    <row r="2990" spans="1:10">
      <c r="A2990" s="496"/>
      <c r="B2990" s="646" t="s">
        <v>920</v>
      </c>
      <c r="C2990" s="1113"/>
      <c r="D2990" s="1127"/>
      <c r="E2990" s="582"/>
      <c r="F2990" s="1117"/>
      <c r="G2990" s="557"/>
      <c r="H2990" s="1117"/>
      <c r="I2990" s="1117"/>
      <c r="J2990" s="558"/>
    </row>
    <row r="2991" spans="1:10">
      <c r="A2991" s="496"/>
      <c r="B2991" s="583" t="s">
        <v>1191</v>
      </c>
      <c r="C2991" s="1113"/>
      <c r="D2991" s="1127"/>
      <c r="E2991" s="582"/>
      <c r="F2991" s="1117"/>
      <c r="G2991" s="557"/>
      <c r="H2991" s="1117"/>
      <c r="I2991" s="1117"/>
      <c r="J2991" s="558"/>
    </row>
    <row r="2992" spans="1:10">
      <c r="A2992" s="504"/>
      <c r="B2992" s="583" t="s">
        <v>1473</v>
      </c>
      <c r="C2992" s="1113">
        <v>3</v>
      </c>
      <c r="D2992" s="1127" t="s">
        <v>15</v>
      </c>
      <c r="E2992" s="582">
        <v>47280</v>
      </c>
      <c r="F2992" s="1117">
        <f>E2992*C2992</f>
        <v>141840</v>
      </c>
      <c r="G2992" s="557">
        <v>2000</v>
      </c>
      <c r="H2992" s="1117">
        <f>G2992*C2992</f>
        <v>6000</v>
      </c>
      <c r="I2992" s="1117">
        <f>H2992+F2992</f>
        <v>147840</v>
      </c>
      <c r="J2992" s="558"/>
    </row>
    <row r="2993" spans="1:10">
      <c r="A2993" s="504"/>
      <c r="B2993" s="583" t="s">
        <v>921</v>
      </c>
      <c r="C2993" s="1113">
        <v>2</v>
      </c>
      <c r="D2993" s="1127" t="s">
        <v>15</v>
      </c>
      <c r="E2993" s="582">
        <v>42160</v>
      </c>
      <c r="F2993" s="1117">
        <f>E2993*C2993</f>
        <v>84320</v>
      </c>
      <c r="G2993" s="557">
        <v>1500</v>
      </c>
      <c r="H2993" s="1117">
        <f>G2993*C2993</f>
        <v>3000</v>
      </c>
      <c r="I2993" s="1117">
        <f>H2993+F2993</f>
        <v>87320</v>
      </c>
      <c r="J2993" s="558"/>
    </row>
    <row r="2994" spans="1:10">
      <c r="A2994" s="504"/>
      <c r="B2994" s="583" t="s">
        <v>922</v>
      </c>
      <c r="C2994" s="1113">
        <v>4</v>
      </c>
      <c r="D2994" s="1127" t="s">
        <v>15</v>
      </c>
      <c r="E2994" s="582">
        <v>55920</v>
      </c>
      <c r="F2994" s="1117">
        <f>E2994*C2994</f>
        <v>223680</v>
      </c>
      <c r="G2994" s="557">
        <v>2400</v>
      </c>
      <c r="H2994" s="1117">
        <f>G2994*C2994</f>
        <v>9600</v>
      </c>
      <c r="I2994" s="1117">
        <f>H2994+F2994</f>
        <v>233280</v>
      </c>
      <c r="J2994" s="558"/>
    </row>
    <row r="2995" spans="1:10">
      <c r="A2995" s="504"/>
      <c r="B2995" s="583" t="s">
        <v>923</v>
      </c>
      <c r="C2995" s="1113">
        <v>2</v>
      </c>
      <c r="D2995" s="1127" t="s">
        <v>15</v>
      </c>
      <c r="E2995" s="582">
        <v>55920</v>
      </c>
      <c r="F2995" s="1117">
        <f>E2995*C2995</f>
        <v>111840</v>
      </c>
      <c r="G2995" s="557">
        <v>2400</v>
      </c>
      <c r="H2995" s="1117">
        <f>G2995*C2995</f>
        <v>4800</v>
      </c>
      <c r="I2995" s="1117">
        <f>H2995+F2995</f>
        <v>116640</v>
      </c>
      <c r="J2995" s="558"/>
    </row>
    <row r="2996" spans="1:10">
      <c r="A2996" s="496"/>
      <c r="B2996" s="583" t="s">
        <v>1189</v>
      </c>
      <c r="C2996" s="1113"/>
      <c r="D2996" s="1127"/>
      <c r="E2996" s="582"/>
      <c r="F2996" s="1117"/>
      <c r="G2996" s="557"/>
      <c r="H2996" s="489"/>
      <c r="I2996" s="489"/>
      <c r="J2996" s="558"/>
    </row>
    <row r="2997" spans="1:10">
      <c r="A2997" s="496"/>
      <c r="B2997" s="555" t="s">
        <v>924</v>
      </c>
      <c r="C2997" s="1113">
        <v>20</v>
      </c>
      <c r="D2997" s="951" t="s">
        <v>15</v>
      </c>
      <c r="E2997" s="556">
        <v>55920</v>
      </c>
      <c r="F2997" s="1117">
        <f t="shared" ref="F2997:F3008" si="266">E2997*C2997</f>
        <v>1118400</v>
      </c>
      <c r="G2997" s="557">
        <v>2400</v>
      </c>
      <c r="H2997" s="1117">
        <f t="shared" ref="H2997:H3008" si="267">G2997*C2997</f>
        <v>48000</v>
      </c>
      <c r="I2997" s="1117">
        <f t="shared" ref="I2997:I3008" si="268">H2997+F2997</f>
        <v>1166400</v>
      </c>
      <c r="J2997" s="558"/>
    </row>
    <row r="2998" spans="1:10">
      <c r="A2998" s="496"/>
      <c r="B2998" s="555" t="s">
        <v>925</v>
      </c>
      <c r="C2998" s="1113">
        <v>4</v>
      </c>
      <c r="D2998" s="951" t="s">
        <v>15</v>
      </c>
      <c r="E2998" s="556">
        <v>47280</v>
      </c>
      <c r="F2998" s="1117">
        <f t="shared" si="266"/>
        <v>189120</v>
      </c>
      <c r="G2998" s="557">
        <v>2000</v>
      </c>
      <c r="H2998" s="1117">
        <f t="shared" si="267"/>
        <v>8000</v>
      </c>
      <c r="I2998" s="1117">
        <f t="shared" si="268"/>
        <v>197120</v>
      </c>
      <c r="J2998" s="558"/>
    </row>
    <row r="2999" spans="1:10">
      <c r="A2999" s="496"/>
      <c r="B2999" s="555" t="s">
        <v>926</v>
      </c>
      <c r="C2999" s="1113">
        <v>2</v>
      </c>
      <c r="D2999" s="951" t="s">
        <v>15</v>
      </c>
      <c r="E2999" s="556">
        <v>55920</v>
      </c>
      <c r="F2999" s="1117">
        <f t="shared" si="266"/>
        <v>111840</v>
      </c>
      <c r="G2999" s="557">
        <v>2400</v>
      </c>
      <c r="H2999" s="1117">
        <f t="shared" si="267"/>
        <v>4800</v>
      </c>
      <c r="I2999" s="1117">
        <f t="shared" si="268"/>
        <v>116640</v>
      </c>
      <c r="J2999" s="558"/>
    </row>
    <row r="3000" spans="1:10">
      <c r="A3000" s="496"/>
      <c r="B3000" s="555" t="s">
        <v>927</v>
      </c>
      <c r="C3000" s="1113">
        <v>4</v>
      </c>
      <c r="D3000" s="951" t="s">
        <v>15</v>
      </c>
      <c r="E3000" s="556">
        <v>55920</v>
      </c>
      <c r="F3000" s="1117">
        <f t="shared" si="266"/>
        <v>223680</v>
      </c>
      <c r="G3000" s="557">
        <v>2400</v>
      </c>
      <c r="H3000" s="1117">
        <f t="shared" si="267"/>
        <v>9600</v>
      </c>
      <c r="I3000" s="1117">
        <f t="shared" si="268"/>
        <v>233280</v>
      </c>
      <c r="J3000" s="558"/>
    </row>
    <row r="3001" spans="1:10">
      <c r="A3001" s="496"/>
      <c r="B3001" s="555" t="s">
        <v>928</v>
      </c>
      <c r="C3001" s="1113">
        <v>2</v>
      </c>
      <c r="D3001" s="951" t="s">
        <v>15</v>
      </c>
      <c r="E3001" s="556">
        <v>55920</v>
      </c>
      <c r="F3001" s="1117">
        <f t="shared" si="266"/>
        <v>111840</v>
      </c>
      <c r="G3001" s="557">
        <v>2400</v>
      </c>
      <c r="H3001" s="1117">
        <f t="shared" si="267"/>
        <v>4800</v>
      </c>
      <c r="I3001" s="1117">
        <f t="shared" si="268"/>
        <v>116640</v>
      </c>
      <c r="J3001" s="558"/>
    </row>
    <row r="3002" spans="1:10">
      <c r="A3002" s="496"/>
      <c r="B3002" s="555" t="s">
        <v>929</v>
      </c>
      <c r="C3002" s="1113">
        <v>2</v>
      </c>
      <c r="D3002" s="951" t="s">
        <v>15</v>
      </c>
      <c r="E3002" s="556">
        <v>47280</v>
      </c>
      <c r="F3002" s="1117">
        <f t="shared" si="266"/>
        <v>94560</v>
      </c>
      <c r="G3002" s="557">
        <v>2000</v>
      </c>
      <c r="H3002" s="1117">
        <f t="shared" si="267"/>
        <v>4000</v>
      </c>
      <c r="I3002" s="1117">
        <f t="shared" si="268"/>
        <v>98560</v>
      </c>
      <c r="J3002" s="558"/>
    </row>
    <row r="3003" spans="1:10">
      <c r="A3003" s="496"/>
      <c r="B3003" s="555" t="s">
        <v>930</v>
      </c>
      <c r="C3003" s="1113">
        <v>2</v>
      </c>
      <c r="D3003" s="951" t="s">
        <v>15</v>
      </c>
      <c r="E3003" s="556">
        <v>42160</v>
      </c>
      <c r="F3003" s="1117">
        <f t="shared" si="266"/>
        <v>84320</v>
      </c>
      <c r="G3003" s="557">
        <v>1500</v>
      </c>
      <c r="H3003" s="1117">
        <f t="shared" si="267"/>
        <v>3000</v>
      </c>
      <c r="I3003" s="1117">
        <f t="shared" si="268"/>
        <v>87320</v>
      </c>
      <c r="J3003" s="558"/>
    </row>
    <row r="3004" spans="1:10">
      <c r="A3004" s="496"/>
      <c r="B3004" s="555" t="s">
        <v>931</v>
      </c>
      <c r="C3004" s="1113">
        <v>2</v>
      </c>
      <c r="D3004" s="951" t="s">
        <v>15</v>
      </c>
      <c r="E3004" s="556">
        <v>47280</v>
      </c>
      <c r="F3004" s="1117">
        <f t="shared" si="266"/>
        <v>94560</v>
      </c>
      <c r="G3004" s="557">
        <v>2000</v>
      </c>
      <c r="H3004" s="1117">
        <f t="shared" si="267"/>
        <v>4000</v>
      </c>
      <c r="I3004" s="1117">
        <f t="shared" si="268"/>
        <v>98560</v>
      </c>
      <c r="J3004" s="558"/>
    </row>
    <row r="3005" spans="1:10">
      <c r="A3005" s="504"/>
      <c r="B3005" s="583" t="s">
        <v>932</v>
      </c>
      <c r="C3005" s="1113">
        <v>4</v>
      </c>
      <c r="D3005" s="1127" t="s">
        <v>15</v>
      </c>
      <c r="E3005" s="582">
        <v>55920</v>
      </c>
      <c r="F3005" s="1117">
        <f t="shared" si="266"/>
        <v>223680</v>
      </c>
      <c r="G3005" s="557">
        <v>2400</v>
      </c>
      <c r="H3005" s="1117">
        <f t="shared" si="267"/>
        <v>9600</v>
      </c>
      <c r="I3005" s="1117">
        <f t="shared" si="268"/>
        <v>233280</v>
      </c>
      <c r="J3005" s="558"/>
    </row>
    <row r="3006" spans="1:10">
      <c r="A3006" s="504"/>
      <c r="B3006" s="583" t="s">
        <v>1474</v>
      </c>
      <c r="C3006" s="1113">
        <v>12</v>
      </c>
      <c r="D3006" s="1127" t="s">
        <v>15</v>
      </c>
      <c r="E3006" s="582">
        <v>47280</v>
      </c>
      <c r="F3006" s="1117">
        <f t="shared" si="266"/>
        <v>567360</v>
      </c>
      <c r="G3006" s="557">
        <v>2000</v>
      </c>
      <c r="H3006" s="1117">
        <f t="shared" si="267"/>
        <v>24000</v>
      </c>
      <c r="I3006" s="1117">
        <f t="shared" si="268"/>
        <v>591360</v>
      </c>
      <c r="J3006" s="558"/>
    </row>
    <row r="3007" spans="1:10">
      <c r="A3007" s="504"/>
      <c r="B3007" s="583" t="s">
        <v>1475</v>
      </c>
      <c r="C3007" s="1113">
        <v>4</v>
      </c>
      <c r="D3007" s="1127" t="s">
        <v>15</v>
      </c>
      <c r="E3007" s="582">
        <v>55920</v>
      </c>
      <c r="F3007" s="1117">
        <f t="shared" si="266"/>
        <v>223680</v>
      </c>
      <c r="G3007" s="557">
        <v>2000</v>
      </c>
      <c r="H3007" s="1117">
        <f t="shared" si="267"/>
        <v>8000</v>
      </c>
      <c r="I3007" s="1117">
        <f t="shared" si="268"/>
        <v>231680</v>
      </c>
      <c r="J3007" s="558"/>
    </row>
    <row r="3008" spans="1:10">
      <c r="A3008" s="504"/>
      <c r="B3008" s="583" t="s">
        <v>933</v>
      </c>
      <c r="C3008" s="1113">
        <v>3</v>
      </c>
      <c r="D3008" s="1127" t="s">
        <v>15</v>
      </c>
      <c r="E3008" s="582">
        <v>47280</v>
      </c>
      <c r="F3008" s="1117">
        <f t="shared" si="266"/>
        <v>141840</v>
      </c>
      <c r="G3008" s="557">
        <v>2000</v>
      </c>
      <c r="H3008" s="1117">
        <f t="shared" si="267"/>
        <v>6000</v>
      </c>
      <c r="I3008" s="1117">
        <f t="shared" si="268"/>
        <v>147840</v>
      </c>
      <c r="J3008" s="558"/>
    </row>
    <row r="3009" spans="1:10">
      <c r="A3009" s="504" t="s">
        <v>1796</v>
      </c>
      <c r="B3009" s="493" t="s">
        <v>879</v>
      </c>
      <c r="C3009" s="506"/>
      <c r="D3009" s="505"/>
      <c r="E3009" s="517"/>
      <c r="F3009" s="489"/>
      <c r="G3009" s="507"/>
      <c r="H3009" s="490"/>
      <c r="I3009" s="489"/>
      <c r="J3009" s="508"/>
    </row>
    <row r="3010" spans="1:10">
      <c r="A3010" s="504"/>
      <c r="B3010" s="646" t="s">
        <v>920</v>
      </c>
      <c r="C3010" s="1113"/>
      <c r="D3010" s="1127"/>
      <c r="E3010" s="582"/>
      <c r="F3010" s="1117"/>
      <c r="G3010" s="557"/>
      <c r="H3010" s="1117"/>
      <c r="I3010" s="1117"/>
      <c r="J3010" s="558"/>
    </row>
    <row r="3011" spans="1:10">
      <c r="A3011" s="504"/>
      <c r="B3011" s="583" t="s">
        <v>1191</v>
      </c>
      <c r="C3011" s="1113"/>
      <c r="D3011" s="1127"/>
      <c r="E3011" s="582"/>
      <c r="F3011" s="1117"/>
      <c r="G3011" s="557"/>
      <c r="H3011" s="1117"/>
      <c r="I3011" s="1117"/>
      <c r="J3011" s="558"/>
    </row>
    <row r="3012" spans="1:10">
      <c r="A3012" s="504"/>
      <c r="B3012" s="583" t="s">
        <v>991</v>
      </c>
      <c r="C3012" s="1113">
        <v>4</v>
      </c>
      <c r="D3012" s="1127" t="s">
        <v>15</v>
      </c>
      <c r="E3012" s="582">
        <v>50240</v>
      </c>
      <c r="F3012" s="489">
        <f>C3012*E3012</f>
        <v>200960</v>
      </c>
      <c r="G3012" s="557">
        <v>2000</v>
      </c>
      <c r="H3012" s="1125">
        <f>G3012*C3012</f>
        <v>8000</v>
      </c>
      <c r="I3012" s="489">
        <f>F3012+H3012</f>
        <v>208960</v>
      </c>
      <c r="J3012" s="558"/>
    </row>
    <row r="3013" spans="1:10">
      <c r="A3013" s="504"/>
      <c r="B3013" s="583" t="s">
        <v>992</v>
      </c>
      <c r="C3013" s="1113">
        <v>6</v>
      </c>
      <c r="D3013" s="1127" t="s">
        <v>15</v>
      </c>
      <c r="E3013" s="582">
        <v>47280</v>
      </c>
      <c r="F3013" s="489">
        <f>C3013*E3013</f>
        <v>283680</v>
      </c>
      <c r="G3013" s="557">
        <v>2000</v>
      </c>
      <c r="H3013" s="1125">
        <f>G3013*C3013</f>
        <v>12000</v>
      </c>
      <c r="I3013" s="489">
        <f>F3013+H3013</f>
        <v>295680</v>
      </c>
      <c r="J3013" s="558"/>
    </row>
    <row r="3014" spans="1:10">
      <c r="A3014" s="504"/>
      <c r="B3014" s="583" t="s">
        <v>993</v>
      </c>
      <c r="C3014" s="1113">
        <v>1</v>
      </c>
      <c r="D3014" s="1127" t="s">
        <v>15</v>
      </c>
      <c r="E3014" s="582">
        <v>55920</v>
      </c>
      <c r="F3014" s="489">
        <f>C3014*E3014</f>
        <v>55920</v>
      </c>
      <c r="G3014" s="557">
        <v>2400</v>
      </c>
      <c r="H3014" s="1125">
        <f>G3014*C3014</f>
        <v>2400</v>
      </c>
      <c r="I3014" s="489">
        <f>F3014+H3014</f>
        <v>58320</v>
      </c>
      <c r="J3014" s="558"/>
    </row>
    <row r="3015" spans="1:10">
      <c r="A3015" s="504"/>
      <c r="B3015" s="583" t="s">
        <v>994</v>
      </c>
      <c r="C3015" s="1113">
        <v>5</v>
      </c>
      <c r="D3015" s="1127" t="s">
        <v>15</v>
      </c>
      <c r="E3015" s="582">
        <v>47280</v>
      </c>
      <c r="F3015" s="489">
        <f>C3015*E3015</f>
        <v>236400</v>
      </c>
      <c r="G3015" s="557">
        <v>2000</v>
      </c>
      <c r="H3015" s="1125">
        <f>G3015*C3015</f>
        <v>10000</v>
      </c>
      <c r="I3015" s="489">
        <f>F3015+H3015</f>
        <v>246400</v>
      </c>
      <c r="J3015" s="558"/>
    </row>
    <row r="3016" spans="1:10">
      <c r="A3016" s="504"/>
      <c r="B3016" s="583" t="s">
        <v>995</v>
      </c>
      <c r="C3016" s="1113">
        <v>4</v>
      </c>
      <c r="D3016" s="1127" t="s">
        <v>15</v>
      </c>
      <c r="E3016" s="582">
        <v>55920</v>
      </c>
      <c r="F3016" s="489">
        <f>C3016*E3016</f>
        <v>223680</v>
      </c>
      <c r="G3016" s="557">
        <v>2400</v>
      </c>
      <c r="H3016" s="1125">
        <f>G3016*C3016</f>
        <v>9600</v>
      </c>
      <c r="I3016" s="489">
        <f>F3016+H3016</f>
        <v>233280</v>
      </c>
      <c r="J3016" s="558"/>
    </row>
    <row r="3017" spans="1:10">
      <c r="A3017" s="504"/>
      <c r="B3017" s="583" t="s">
        <v>1190</v>
      </c>
      <c r="C3017" s="1113"/>
      <c r="D3017" s="1127"/>
      <c r="E3017" s="582"/>
      <c r="F3017" s="1117"/>
      <c r="G3017" s="557"/>
      <c r="H3017" s="1117"/>
      <c r="I3017" s="1117"/>
      <c r="J3017" s="558"/>
    </row>
    <row r="3018" spans="1:10">
      <c r="A3018" s="504"/>
      <c r="B3018" s="583" t="s">
        <v>996</v>
      </c>
      <c r="C3018" s="1113">
        <v>4</v>
      </c>
      <c r="D3018" s="1127" t="s">
        <v>15</v>
      </c>
      <c r="E3018" s="582">
        <v>76160</v>
      </c>
      <c r="F3018" s="1117">
        <f>E3018*C3018</f>
        <v>304640</v>
      </c>
      <c r="G3018" s="557">
        <v>2400</v>
      </c>
      <c r="H3018" s="1117">
        <f>G3018*C3018</f>
        <v>9600</v>
      </c>
      <c r="I3018" s="1117">
        <f>H3018+F3018</f>
        <v>314240</v>
      </c>
      <c r="J3018" s="558"/>
    </row>
    <row r="3019" spans="1:10">
      <c r="A3019" s="504"/>
      <c r="B3019" s="583" t="s">
        <v>997</v>
      </c>
      <c r="C3019" s="1113">
        <v>4</v>
      </c>
      <c r="D3019" s="1127" t="s">
        <v>15</v>
      </c>
      <c r="E3019" s="582">
        <v>76160</v>
      </c>
      <c r="F3019" s="1117">
        <f>E3019*C3019</f>
        <v>304640</v>
      </c>
      <c r="G3019" s="557">
        <v>2400</v>
      </c>
      <c r="H3019" s="1117">
        <f>G3019*C3019</f>
        <v>9600</v>
      </c>
      <c r="I3019" s="1117">
        <f>H3019+F3019</f>
        <v>314240</v>
      </c>
      <c r="J3019" s="558"/>
    </row>
    <row r="3020" spans="1:10">
      <c r="A3020" s="504"/>
      <c r="B3020" s="583" t="s">
        <v>998</v>
      </c>
      <c r="C3020" s="1113">
        <v>3</v>
      </c>
      <c r="D3020" s="1127" t="s">
        <v>15</v>
      </c>
      <c r="E3020" s="582">
        <v>76160</v>
      </c>
      <c r="F3020" s="1117">
        <f>E3020*C3020</f>
        <v>228480</v>
      </c>
      <c r="G3020" s="557">
        <v>2400</v>
      </c>
      <c r="H3020" s="1117">
        <f>G3020*C3020</f>
        <v>7200</v>
      </c>
      <c r="I3020" s="1117">
        <f>H3020+F3020</f>
        <v>235680</v>
      </c>
      <c r="J3020" s="558"/>
    </row>
    <row r="3021" spans="1:10">
      <c r="A3021" s="504"/>
      <c r="B3021" s="583" t="s">
        <v>999</v>
      </c>
      <c r="C3021" s="1113">
        <v>3</v>
      </c>
      <c r="D3021" s="1127" t="s">
        <v>15</v>
      </c>
      <c r="E3021" s="582">
        <v>76160</v>
      </c>
      <c r="F3021" s="1117">
        <f>E3021*C3021</f>
        <v>228480</v>
      </c>
      <c r="G3021" s="557">
        <v>2400</v>
      </c>
      <c r="H3021" s="1117">
        <f>G3021*C3021</f>
        <v>7200</v>
      </c>
      <c r="I3021" s="1117">
        <f>H3021+F3021</f>
        <v>235680</v>
      </c>
      <c r="J3021" s="558"/>
    </row>
    <row r="3022" spans="1:10">
      <c r="A3022" s="504"/>
      <c r="B3022" s="583" t="s">
        <v>1476</v>
      </c>
      <c r="C3022" s="1113">
        <v>2</v>
      </c>
      <c r="D3022" s="1127" t="s">
        <v>15</v>
      </c>
      <c r="E3022" s="582">
        <v>76160</v>
      </c>
      <c r="F3022" s="1117">
        <f>E3022*C3022</f>
        <v>152320</v>
      </c>
      <c r="G3022" s="557">
        <v>2400</v>
      </c>
      <c r="H3022" s="1117">
        <f>G3022*C3022</f>
        <v>4800</v>
      </c>
      <c r="I3022" s="1117">
        <f>H3022+F3022</f>
        <v>157120</v>
      </c>
      <c r="J3022" s="558"/>
    </row>
    <row r="3023" spans="1:10">
      <c r="A3023" s="504"/>
      <c r="B3023" s="583" t="s">
        <v>1189</v>
      </c>
      <c r="C3023" s="1113"/>
      <c r="D3023" s="1127"/>
      <c r="E3023" s="582"/>
      <c r="F3023" s="1117"/>
      <c r="G3023" s="557"/>
      <c r="H3023" s="1117"/>
      <c r="I3023" s="1117"/>
      <c r="J3023" s="558"/>
    </row>
    <row r="3024" spans="1:10">
      <c r="A3024" s="504"/>
      <c r="B3024" s="583" t="s">
        <v>1477</v>
      </c>
      <c r="C3024" s="1113">
        <v>2</v>
      </c>
      <c r="D3024" s="1127" t="s">
        <v>15</v>
      </c>
      <c r="E3024" s="582">
        <v>47280</v>
      </c>
      <c r="F3024" s="1117">
        <f t="shared" ref="F3024:F3030" si="269">E3024*C3024</f>
        <v>94560</v>
      </c>
      <c r="G3024" s="557">
        <v>2000</v>
      </c>
      <c r="H3024" s="1117">
        <f t="shared" ref="H3024:H3030" si="270">G3024*C3024</f>
        <v>4000</v>
      </c>
      <c r="I3024" s="1117">
        <f t="shared" ref="I3024:I3030" si="271">H3024+F3024</f>
        <v>98560</v>
      </c>
      <c r="J3024" s="558"/>
    </row>
    <row r="3025" spans="1:10">
      <c r="A3025" s="504"/>
      <c r="B3025" s="583" t="s">
        <v>1478</v>
      </c>
      <c r="C3025" s="1113">
        <v>1</v>
      </c>
      <c r="D3025" s="1127" t="s">
        <v>15</v>
      </c>
      <c r="E3025" s="582">
        <v>47280</v>
      </c>
      <c r="F3025" s="1117">
        <f t="shared" si="269"/>
        <v>47280</v>
      </c>
      <c r="G3025" s="557">
        <v>2000</v>
      </c>
      <c r="H3025" s="1117">
        <f t="shared" si="270"/>
        <v>2000</v>
      </c>
      <c r="I3025" s="1117">
        <f t="shared" si="271"/>
        <v>49280</v>
      </c>
      <c r="J3025" s="558"/>
    </row>
    <row r="3026" spans="1:10">
      <c r="A3026" s="504"/>
      <c r="B3026" s="583" t="s">
        <v>1479</v>
      </c>
      <c r="C3026" s="1113">
        <v>2</v>
      </c>
      <c r="D3026" s="1127" t="s">
        <v>15</v>
      </c>
      <c r="E3026" s="582">
        <v>47280</v>
      </c>
      <c r="F3026" s="1117">
        <f t="shared" si="269"/>
        <v>94560</v>
      </c>
      <c r="G3026" s="557">
        <v>2000</v>
      </c>
      <c r="H3026" s="1117">
        <f t="shared" si="270"/>
        <v>4000</v>
      </c>
      <c r="I3026" s="1117">
        <f t="shared" si="271"/>
        <v>98560</v>
      </c>
      <c r="J3026" s="558"/>
    </row>
    <row r="3027" spans="1:10">
      <c r="A3027" s="504"/>
      <c r="B3027" s="583" t="s">
        <v>1480</v>
      </c>
      <c r="C3027" s="1113">
        <v>2</v>
      </c>
      <c r="D3027" s="1127" t="s">
        <v>15</v>
      </c>
      <c r="E3027" s="582">
        <v>47280</v>
      </c>
      <c r="F3027" s="1117">
        <f t="shared" si="269"/>
        <v>94560</v>
      </c>
      <c r="G3027" s="557">
        <v>2000</v>
      </c>
      <c r="H3027" s="1117">
        <f t="shared" si="270"/>
        <v>4000</v>
      </c>
      <c r="I3027" s="1117">
        <f t="shared" si="271"/>
        <v>98560</v>
      </c>
      <c r="J3027" s="558"/>
    </row>
    <row r="3028" spans="1:10">
      <c r="A3028" s="504"/>
      <c r="B3028" s="583" t="s">
        <v>1481</v>
      </c>
      <c r="C3028" s="1113">
        <v>1</v>
      </c>
      <c r="D3028" s="1127" t="s">
        <v>15</v>
      </c>
      <c r="E3028" s="582">
        <v>47280</v>
      </c>
      <c r="F3028" s="1117">
        <f t="shared" si="269"/>
        <v>47280</v>
      </c>
      <c r="G3028" s="557">
        <v>2000</v>
      </c>
      <c r="H3028" s="1117">
        <f t="shared" si="270"/>
        <v>2000</v>
      </c>
      <c r="I3028" s="1117">
        <f t="shared" si="271"/>
        <v>49280</v>
      </c>
      <c r="J3028" s="558"/>
    </row>
    <row r="3029" spans="1:10">
      <c r="A3029" s="504"/>
      <c r="B3029" s="583" t="s">
        <v>1482</v>
      </c>
      <c r="C3029" s="1113">
        <v>14</v>
      </c>
      <c r="D3029" s="1127" t="s">
        <v>15</v>
      </c>
      <c r="E3029" s="582">
        <v>47280</v>
      </c>
      <c r="F3029" s="1117">
        <f t="shared" si="269"/>
        <v>661920</v>
      </c>
      <c r="G3029" s="557">
        <v>2000</v>
      </c>
      <c r="H3029" s="1117">
        <f t="shared" si="270"/>
        <v>28000</v>
      </c>
      <c r="I3029" s="1117">
        <f t="shared" si="271"/>
        <v>689920</v>
      </c>
      <c r="J3029" s="558"/>
    </row>
    <row r="3030" spans="1:10">
      <c r="A3030" s="504"/>
      <c r="B3030" s="583" t="s">
        <v>1000</v>
      </c>
      <c r="C3030" s="1113">
        <v>2</v>
      </c>
      <c r="D3030" s="1127" t="s">
        <v>15</v>
      </c>
      <c r="E3030" s="582">
        <v>55920</v>
      </c>
      <c r="F3030" s="1117">
        <f t="shared" si="269"/>
        <v>111840</v>
      </c>
      <c r="G3030" s="557">
        <v>2400</v>
      </c>
      <c r="H3030" s="1117">
        <f t="shared" si="270"/>
        <v>4800</v>
      </c>
      <c r="I3030" s="1117">
        <f t="shared" si="271"/>
        <v>116640</v>
      </c>
      <c r="J3030" s="558"/>
    </row>
    <row r="3031" spans="1:10">
      <c r="A3031" s="504" t="s">
        <v>1797</v>
      </c>
      <c r="B3031" s="493" t="s">
        <v>898</v>
      </c>
      <c r="C3031" s="506"/>
      <c r="D3031" s="505"/>
      <c r="E3031" s="1124"/>
      <c r="F3031" s="489"/>
      <c r="G3031" s="507"/>
      <c r="H3031" s="490"/>
      <c r="I3031" s="489"/>
      <c r="J3031" s="508"/>
    </row>
    <row r="3032" spans="1:10">
      <c r="A3032" s="504"/>
      <c r="B3032" s="646" t="s">
        <v>920</v>
      </c>
      <c r="C3032" s="1113"/>
      <c r="D3032" s="1127"/>
      <c r="E3032" s="582"/>
      <c r="F3032" s="1117"/>
      <c r="G3032" s="557"/>
      <c r="H3032" s="1117"/>
      <c r="I3032" s="1117"/>
      <c r="J3032" s="558"/>
    </row>
    <row r="3033" spans="1:10">
      <c r="A3033" s="504"/>
      <c r="B3033" s="583" t="s">
        <v>1191</v>
      </c>
      <c r="C3033" s="1113"/>
      <c r="D3033" s="1127"/>
      <c r="E3033" s="582"/>
      <c r="F3033" s="1117"/>
      <c r="G3033" s="557"/>
      <c r="H3033" s="1117"/>
      <c r="I3033" s="1117"/>
      <c r="J3033" s="558"/>
    </row>
    <row r="3034" spans="1:10">
      <c r="A3034" s="504"/>
      <c r="B3034" s="583" t="s">
        <v>1018</v>
      </c>
      <c r="C3034" s="1113">
        <v>5</v>
      </c>
      <c r="D3034" s="1127" t="s">
        <v>15</v>
      </c>
      <c r="E3034" s="582">
        <v>50240</v>
      </c>
      <c r="F3034" s="1117">
        <f t="shared" ref="F3034:F3039" si="272">E3034*C3034</f>
        <v>251200</v>
      </c>
      <c r="G3034" s="557">
        <v>2000</v>
      </c>
      <c r="H3034" s="1125">
        <f t="shared" ref="H3034:H3039" si="273">G3034*C3034</f>
        <v>10000</v>
      </c>
      <c r="I3034" s="1117">
        <f t="shared" ref="I3034:I3039" si="274">F3034+H3034</f>
        <v>261200</v>
      </c>
      <c r="J3034" s="558"/>
    </row>
    <row r="3035" spans="1:10">
      <c r="A3035" s="504"/>
      <c r="B3035" s="583" t="s">
        <v>1019</v>
      </c>
      <c r="C3035" s="1113">
        <v>5</v>
      </c>
      <c r="D3035" s="1127" t="s">
        <v>15</v>
      </c>
      <c r="E3035" s="582">
        <v>47280</v>
      </c>
      <c r="F3035" s="1117">
        <f t="shared" si="272"/>
        <v>236400</v>
      </c>
      <c r="G3035" s="557">
        <v>2000</v>
      </c>
      <c r="H3035" s="1125">
        <f t="shared" si="273"/>
        <v>10000</v>
      </c>
      <c r="I3035" s="1117">
        <f t="shared" si="274"/>
        <v>246400</v>
      </c>
      <c r="J3035" s="558"/>
    </row>
    <row r="3036" spans="1:10">
      <c r="A3036" s="504"/>
      <c r="B3036" s="583" t="s">
        <v>1020</v>
      </c>
      <c r="C3036" s="1113">
        <v>1</v>
      </c>
      <c r="D3036" s="1127" t="s">
        <v>15</v>
      </c>
      <c r="E3036" s="582">
        <v>55920</v>
      </c>
      <c r="F3036" s="1117">
        <f t="shared" si="272"/>
        <v>55920</v>
      </c>
      <c r="G3036" s="557">
        <v>2400</v>
      </c>
      <c r="H3036" s="1125">
        <f t="shared" si="273"/>
        <v>2400</v>
      </c>
      <c r="I3036" s="1117">
        <f t="shared" si="274"/>
        <v>58320</v>
      </c>
      <c r="J3036" s="558"/>
    </row>
    <row r="3037" spans="1:10">
      <c r="A3037" s="504"/>
      <c r="B3037" s="583" t="s">
        <v>1021</v>
      </c>
      <c r="C3037" s="1113">
        <v>16</v>
      </c>
      <c r="D3037" s="1127" t="s">
        <v>15</v>
      </c>
      <c r="E3037" s="582">
        <v>26240</v>
      </c>
      <c r="F3037" s="1117">
        <f t="shared" si="272"/>
        <v>419840</v>
      </c>
      <c r="G3037" s="557">
        <v>1500</v>
      </c>
      <c r="H3037" s="1125">
        <f t="shared" si="273"/>
        <v>24000</v>
      </c>
      <c r="I3037" s="1117">
        <f t="shared" si="274"/>
        <v>443840</v>
      </c>
      <c r="J3037" s="558"/>
    </row>
    <row r="3038" spans="1:10">
      <c r="A3038" s="504"/>
      <c r="B3038" s="583" t="s">
        <v>1022</v>
      </c>
      <c r="C3038" s="1113">
        <v>1</v>
      </c>
      <c r="D3038" s="1127" t="s">
        <v>15</v>
      </c>
      <c r="E3038" s="582">
        <v>47280</v>
      </c>
      <c r="F3038" s="1117">
        <f t="shared" si="272"/>
        <v>47280</v>
      </c>
      <c r="G3038" s="557">
        <v>2000</v>
      </c>
      <c r="H3038" s="1125">
        <f t="shared" si="273"/>
        <v>2000</v>
      </c>
      <c r="I3038" s="1117">
        <f t="shared" si="274"/>
        <v>49280</v>
      </c>
      <c r="J3038" s="558"/>
    </row>
    <row r="3039" spans="1:10">
      <c r="A3039" s="504"/>
      <c r="B3039" s="583" t="s">
        <v>1023</v>
      </c>
      <c r="C3039" s="1113">
        <v>2</v>
      </c>
      <c r="D3039" s="1127" t="s">
        <v>15</v>
      </c>
      <c r="E3039" s="582">
        <v>47280</v>
      </c>
      <c r="F3039" s="1117">
        <f t="shared" si="272"/>
        <v>94560</v>
      </c>
      <c r="G3039" s="557">
        <v>2000</v>
      </c>
      <c r="H3039" s="1125">
        <f t="shared" si="273"/>
        <v>4000</v>
      </c>
      <c r="I3039" s="1117">
        <f t="shared" si="274"/>
        <v>98560</v>
      </c>
      <c r="J3039" s="558"/>
    </row>
    <row r="3040" spans="1:10">
      <c r="A3040" s="504"/>
      <c r="B3040" s="583" t="s">
        <v>1189</v>
      </c>
      <c r="C3040" s="1113"/>
      <c r="D3040" s="1127"/>
      <c r="E3040" s="582"/>
      <c r="F3040" s="1117"/>
      <c r="G3040" s="557"/>
      <c r="H3040" s="1117"/>
      <c r="I3040" s="1117"/>
      <c r="J3040" s="558"/>
    </row>
    <row r="3041" spans="1:10">
      <c r="A3041" s="496"/>
      <c r="B3041" s="583" t="s">
        <v>1024</v>
      </c>
      <c r="C3041" s="1113">
        <v>7</v>
      </c>
      <c r="D3041" s="1127" t="s">
        <v>15</v>
      </c>
      <c r="E3041" s="582">
        <v>55920</v>
      </c>
      <c r="F3041" s="1117">
        <f>E3041*C3041</f>
        <v>391440</v>
      </c>
      <c r="G3041" s="557">
        <v>2400</v>
      </c>
      <c r="H3041" s="1125">
        <f>G3041*C3041</f>
        <v>16800</v>
      </c>
      <c r="I3041" s="1117">
        <f>F3041+H3041</f>
        <v>408240</v>
      </c>
      <c r="J3041" s="558"/>
    </row>
    <row r="3042" spans="1:10">
      <c r="A3042" s="496"/>
      <c r="B3042" s="583" t="s">
        <v>1025</v>
      </c>
      <c r="C3042" s="1113">
        <v>12</v>
      </c>
      <c r="D3042" s="1127" t="s">
        <v>15</v>
      </c>
      <c r="E3042" s="582">
        <v>26240</v>
      </c>
      <c r="F3042" s="1117">
        <f>E3042*C3042</f>
        <v>314880</v>
      </c>
      <c r="G3042" s="557">
        <v>1500</v>
      </c>
      <c r="H3042" s="1125">
        <f>G3042*C3042</f>
        <v>18000</v>
      </c>
      <c r="I3042" s="1117">
        <f>F3042+H3042</f>
        <v>332880</v>
      </c>
      <c r="J3042" s="558"/>
    </row>
    <row r="3043" spans="1:10">
      <c r="A3043" s="496"/>
      <c r="B3043" s="583" t="s">
        <v>1026</v>
      </c>
      <c r="C3043" s="1113">
        <v>1</v>
      </c>
      <c r="D3043" s="1127" t="s">
        <v>15</v>
      </c>
      <c r="E3043" s="582">
        <v>35040</v>
      </c>
      <c r="F3043" s="1117">
        <f>E3043*C3043</f>
        <v>35040</v>
      </c>
      <c r="G3043" s="557">
        <v>1500</v>
      </c>
      <c r="H3043" s="1125">
        <f>G3043*C3043</f>
        <v>1500</v>
      </c>
      <c r="I3043" s="1117">
        <f>F3043+H3043</f>
        <v>36540</v>
      </c>
      <c r="J3043" s="558"/>
    </row>
    <row r="3044" spans="1:10">
      <c r="A3044" s="496"/>
      <c r="B3044" s="583" t="s">
        <v>1027</v>
      </c>
      <c r="C3044" s="1113">
        <v>5</v>
      </c>
      <c r="D3044" s="1127" t="s">
        <v>15</v>
      </c>
      <c r="E3044" s="582">
        <v>55920</v>
      </c>
      <c r="F3044" s="1117">
        <f>E3044*C3044</f>
        <v>279600</v>
      </c>
      <c r="G3044" s="557">
        <v>2400</v>
      </c>
      <c r="H3044" s="1125">
        <f>G3044*C3044</f>
        <v>12000</v>
      </c>
      <c r="I3044" s="1117">
        <f>F3044+H3044</f>
        <v>291600</v>
      </c>
      <c r="J3044" s="558"/>
    </row>
    <row r="3045" spans="1:10">
      <c r="A3045" s="496"/>
      <c r="B3045" s="583"/>
      <c r="C3045" s="866"/>
      <c r="D3045" s="532"/>
      <c r="E3045" s="852"/>
      <c r="F3045" s="550"/>
      <c r="G3045" s="557"/>
      <c r="H3045" s="490"/>
      <c r="I3045" s="550"/>
      <c r="J3045" s="558"/>
    </row>
    <row r="3046" spans="1:10">
      <c r="A3046" s="496">
        <v>7.5</v>
      </c>
      <c r="B3046" s="493" t="s">
        <v>958</v>
      </c>
      <c r="C3046" s="506"/>
      <c r="D3046" s="505"/>
      <c r="E3046" s="489"/>
      <c r="F3046" s="489"/>
      <c r="G3046" s="507"/>
      <c r="H3046" s="490"/>
      <c r="I3046" s="489"/>
      <c r="J3046" s="508"/>
    </row>
    <row r="3047" spans="1:10">
      <c r="A3047" s="496" t="s">
        <v>1798</v>
      </c>
      <c r="B3047" s="493" t="s">
        <v>825</v>
      </c>
      <c r="C3047" s="506"/>
      <c r="D3047" s="505"/>
      <c r="E3047" s="517"/>
      <c r="F3047" s="489"/>
      <c r="G3047" s="507"/>
      <c r="H3047" s="490"/>
      <c r="I3047" s="489"/>
      <c r="J3047" s="508"/>
    </row>
    <row r="3048" spans="1:10">
      <c r="A3048" s="496"/>
      <c r="B3048" s="583" t="s">
        <v>1191</v>
      </c>
      <c r="C3048" s="1113"/>
      <c r="D3048" s="1127"/>
      <c r="E3048" s="582"/>
      <c r="F3048" s="1117"/>
      <c r="G3048" s="557"/>
      <c r="H3048" s="1117"/>
      <c r="I3048" s="1117"/>
      <c r="J3048" s="508"/>
    </row>
    <row r="3049" spans="1:10">
      <c r="A3049" s="496"/>
      <c r="B3049" s="555" t="s">
        <v>959</v>
      </c>
      <c r="C3049" s="1113">
        <v>1</v>
      </c>
      <c r="D3049" s="951" t="s">
        <v>15</v>
      </c>
      <c r="E3049" s="1113">
        <v>5192</v>
      </c>
      <c r="F3049" s="1117">
        <f t="shared" ref="F3049:F3060" si="275">E3049*C3049</f>
        <v>5192</v>
      </c>
      <c r="G3049" s="557">
        <v>650</v>
      </c>
      <c r="H3049" s="1117">
        <f t="shared" ref="H3049:H3060" si="276">G3049*C3049</f>
        <v>650</v>
      </c>
      <c r="I3049" s="1117">
        <f t="shared" ref="I3049:I3060" si="277">H3049+F3049</f>
        <v>5842</v>
      </c>
      <c r="J3049" s="508"/>
    </row>
    <row r="3050" spans="1:10">
      <c r="A3050" s="496"/>
      <c r="B3050" s="555" t="s">
        <v>960</v>
      </c>
      <c r="C3050" s="1113">
        <v>1</v>
      </c>
      <c r="D3050" s="951" t="s">
        <v>15</v>
      </c>
      <c r="E3050" s="557">
        <v>3680</v>
      </c>
      <c r="F3050" s="1117">
        <f t="shared" si="275"/>
        <v>3680</v>
      </c>
      <c r="G3050" s="557">
        <v>650</v>
      </c>
      <c r="H3050" s="1117">
        <f t="shared" si="276"/>
        <v>650</v>
      </c>
      <c r="I3050" s="1117">
        <f t="shared" si="277"/>
        <v>4330</v>
      </c>
      <c r="J3050" s="508"/>
    </row>
    <row r="3051" spans="1:10">
      <c r="A3051" s="496"/>
      <c r="B3051" s="555" t="s">
        <v>961</v>
      </c>
      <c r="C3051" s="1113">
        <v>1</v>
      </c>
      <c r="D3051" s="951" t="s">
        <v>15</v>
      </c>
      <c r="E3051" s="557">
        <v>7128</v>
      </c>
      <c r="F3051" s="1117">
        <f t="shared" si="275"/>
        <v>7128</v>
      </c>
      <c r="G3051" s="557">
        <v>650</v>
      </c>
      <c r="H3051" s="1117">
        <f t="shared" si="276"/>
        <v>650</v>
      </c>
      <c r="I3051" s="1117">
        <f t="shared" si="277"/>
        <v>7778</v>
      </c>
      <c r="J3051" s="508"/>
    </row>
    <row r="3052" spans="1:10">
      <c r="A3052" s="496"/>
      <c r="B3052" s="555" t="s">
        <v>962</v>
      </c>
      <c r="C3052" s="1113">
        <v>1</v>
      </c>
      <c r="D3052" s="951" t="s">
        <v>15</v>
      </c>
      <c r="E3052" s="557">
        <v>5192</v>
      </c>
      <c r="F3052" s="1117">
        <f t="shared" si="275"/>
        <v>5192</v>
      </c>
      <c r="G3052" s="557">
        <v>650</v>
      </c>
      <c r="H3052" s="1117">
        <f t="shared" si="276"/>
        <v>650</v>
      </c>
      <c r="I3052" s="1117">
        <f t="shared" si="277"/>
        <v>5842</v>
      </c>
      <c r="J3052" s="508"/>
    </row>
    <row r="3053" spans="1:10">
      <c r="A3053" s="496"/>
      <c r="B3053" s="555" t="s">
        <v>963</v>
      </c>
      <c r="C3053" s="1113">
        <v>1</v>
      </c>
      <c r="D3053" s="951" t="s">
        <v>15</v>
      </c>
      <c r="E3053" s="557">
        <v>7128</v>
      </c>
      <c r="F3053" s="1117">
        <f t="shared" si="275"/>
        <v>7128</v>
      </c>
      <c r="G3053" s="557">
        <v>650</v>
      </c>
      <c r="H3053" s="1117">
        <f t="shared" si="276"/>
        <v>650</v>
      </c>
      <c r="I3053" s="1117">
        <f t="shared" si="277"/>
        <v>7778</v>
      </c>
      <c r="J3053" s="508"/>
    </row>
    <row r="3054" spans="1:10">
      <c r="A3054" s="496"/>
      <c r="B3054" s="555" t="s">
        <v>964</v>
      </c>
      <c r="C3054" s="1113">
        <v>1</v>
      </c>
      <c r="D3054" s="951" t="s">
        <v>15</v>
      </c>
      <c r="E3054" s="557">
        <v>7128</v>
      </c>
      <c r="F3054" s="1117">
        <f t="shared" si="275"/>
        <v>7128</v>
      </c>
      <c r="G3054" s="557">
        <v>650</v>
      </c>
      <c r="H3054" s="1117">
        <f t="shared" si="276"/>
        <v>650</v>
      </c>
      <c r="I3054" s="1117">
        <f t="shared" si="277"/>
        <v>7778</v>
      </c>
      <c r="J3054" s="508"/>
    </row>
    <row r="3055" spans="1:10">
      <c r="A3055" s="504"/>
      <c r="B3055" s="583" t="s">
        <v>1173</v>
      </c>
      <c r="C3055" s="1113">
        <v>2</v>
      </c>
      <c r="D3055" s="1127" t="s">
        <v>15</v>
      </c>
      <c r="E3055" s="557">
        <v>968</v>
      </c>
      <c r="F3055" s="1117">
        <f t="shared" si="275"/>
        <v>1936</v>
      </c>
      <c r="G3055" s="557">
        <v>650</v>
      </c>
      <c r="H3055" s="1117">
        <f t="shared" si="276"/>
        <v>1300</v>
      </c>
      <c r="I3055" s="1117">
        <f t="shared" si="277"/>
        <v>3236</v>
      </c>
      <c r="J3055" s="558"/>
    </row>
    <row r="3056" spans="1:10">
      <c r="A3056" s="504"/>
      <c r="B3056" s="583" t="s">
        <v>1483</v>
      </c>
      <c r="C3056" s="1113">
        <v>2</v>
      </c>
      <c r="D3056" s="1127" t="s">
        <v>15</v>
      </c>
      <c r="E3056" s="582">
        <v>6496</v>
      </c>
      <c r="F3056" s="1117">
        <f t="shared" si="275"/>
        <v>12992</v>
      </c>
      <c r="G3056" s="557">
        <v>650</v>
      </c>
      <c r="H3056" s="1117">
        <f t="shared" si="276"/>
        <v>1300</v>
      </c>
      <c r="I3056" s="1117">
        <f t="shared" si="277"/>
        <v>14292</v>
      </c>
      <c r="J3056" s="508"/>
    </row>
    <row r="3057" spans="1:10">
      <c r="A3057" s="504"/>
      <c r="B3057" s="583" t="s">
        <v>965</v>
      </c>
      <c r="C3057" s="1113">
        <v>1</v>
      </c>
      <c r="D3057" s="1127" t="s">
        <v>15</v>
      </c>
      <c r="E3057" s="557">
        <v>4464</v>
      </c>
      <c r="F3057" s="1117">
        <f t="shared" si="275"/>
        <v>4464</v>
      </c>
      <c r="G3057" s="557">
        <v>650</v>
      </c>
      <c r="H3057" s="1117">
        <f t="shared" si="276"/>
        <v>650</v>
      </c>
      <c r="I3057" s="1117">
        <f t="shared" si="277"/>
        <v>5114</v>
      </c>
      <c r="J3057" s="508"/>
    </row>
    <row r="3058" spans="1:10">
      <c r="A3058" s="504"/>
      <c r="B3058" s="583" t="s">
        <v>966</v>
      </c>
      <c r="C3058" s="1113">
        <v>1</v>
      </c>
      <c r="D3058" s="1127" t="s">
        <v>15</v>
      </c>
      <c r="E3058" s="557">
        <v>3192</v>
      </c>
      <c r="F3058" s="1117">
        <f t="shared" si="275"/>
        <v>3192</v>
      </c>
      <c r="G3058" s="557">
        <v>650</v>
      </c>
      <c r="H3058" s="1117">
        <f t="shared" si="276"/>
        <v>650</v>
      </c>
      <c r="I3058" s="1117">
        <f t="shared" si="277"/>
        <v>3842</v>
      </c>
      <c r="J3058" s="508"/>
    </row>
    <row r="3059" spans="1:10">
      <c r="A3059" s="504"/>
      <c r="B3059" s="583" t="s">
        <v>967</v>
      </c>
      <c r="C3059" s="1113">
        <v>1</v>
      </c>
      <c r="D3059" s="1127" t="s">
        <v>15</v>
      </c>
      <c r="E3059" s="557">
        <v>6496</v>
      </c>
      <c r="F3059" s="1117">
        <f t="shared" si="275"/>
        <v>6496</v>
      </c>
      <c r="G3059" s="557">
        <v>650</v>
      </c>
      <c r="H3059" s="1117">
        <f t="shared" si="276"/>
        <v>650</v>
      </c>
      <c r="I3059" s="1117">
        <f t="shared" si="277"/>
        <v>7146</v>
      </c>
      <c r="J3059" s="508"/>
    </row>
    <row r="3060" spans="1:10">
      <c r="A3060" s="504"/>
      <c r="B3060" s="583" t="s">
        <v>968</v>
      </c>
      <c r="C3060" s="1113">
        <v>1</v>
      </c>
      <c r="D3060" s="1127" t="s">
        <v>15</v>
      </c>
      <c r="E3060" s="557">
        <v>3192</v>
      </c>
      <c r="F3060" s="1117">
        <f t="shared" si="275"/>
        <v>3192</v>
      </c>
      <c r="G3060" s="557">
        <v>650</v>
      </c>
      <c r="H3060" s="1117">
        <f t="shared" si="276"/>
        <v>650</v>
      </c>
      <c r="I3060" s="1117">
        <f t="shared" si="277"/>
        <v>3842</v>
      </c>
      <c r="J3060" s="508"/>
    </row>
    <row r="3061" spans="1:10">
      <c r="A3061" s="496"/>
      <c r="B3061" s="583" t="s">
        <v>1169</v>
      </c>
      <c r="C3061" s="1113"/>
      <c r="D3061" s="1127"/>
      <c r="E3061" s="557"/>
      <c r="F3061" s="1117"/>
      <c r="G3061" s="557"/>
      <c r="H3061" s="1117"/>
      <c r="I3061" s="1117"/>
      <c r="J3061" s="558"/>
    </row>
    <row r="3062" spans="1:10">
      <c r="A3062" s="496"/>
      <c r="B3062" s="583" t="s">
        <v>1174</v>
      </c>
      <c r="C3062" s="1113">
        <v>1</v>
      </c>
      <c r="D3062" s="1127" t="s">
        <v>15</v>
      </c>
      <c r="E3062" s="557">
        <v>4160</v>
      </c>
      <c r="F3062" s="1117">
        <f>E3062*C3062</f>
        <v>4160</v>
      </c>
      <c r="G3062" s="557">
        <v>650</v>
      </c>
      <c r="H3062" s="1125">
        <f>G3062*C3062</f>
        <v>650</v>
      </c>
      <c r="I3062" s="1117">
        <f>F3062+H3062</f>
        <v>4810</v>
      </c>
      <c r="J3062" s="558"/>
    </row>
    <row r="3063" spans="1:10">
      <c r="A3063" s="496"/>
      <c r="B3063" s="583" t="s">
        <v>1175</v>
      </c>
      <c r="C3063" s="1113">
        <v>1</v>
      </c>
      <c r="D3063" s="1127" t="s">
        <v>15</v>
      </c>
      <c r="E3063" s="557">
        <v>9664</v>
      </c>
      <c r="F3063" s="1117">
        <f>E3063*C3063</f>
        <v>9664</v>
      </c>
      <c r="G3063" s="557">
        <v>650</v>
      </c>
      <c r="H3063" s="1125">
        <f>G3063*C3063</f>
        <v>650</v>
      </c>
      <c r="I3063" s="1117">
        <f>F3063+H3063</f>
        <v>10314</v>
      </c>
      <c r="J3063" s="558"/>
    </row>
    <row r="3064" spans="1:10">
      <c r="A3064" s="496"/>
      <c r="B3064" s="583" t="s">
        <v>1176</v>
      </c>
      <c r="C3064" s="1113">
        <v>6</v>
      </c>
      <c r="D3064" s="1127" t="s">
        <v>15</v>
      </c>
      <c r="E3064" s="557">
        <v>1192</v>
      </c>
      <c r="F3064" s="1117">
        <f>E3064*C3064</f>
        <v>7152</v>
      </c>
      <c r="G3064" s="557">
        <v>650</v>
      </c>
      <c r="H3064" s="1125">
        <f>G3064*C3064</f>
        <v>3900</v>
      </c>
      <c r="I3064" s="1117">
        <f>F3064+H3064</f>
        <v>11052</v>
      </c>
      <c r="J3064" s="558"/>
    </row>
    <row r="3065" spans="1:10">
      <c r="A3065" s="496"/>
      <c r="B3065" s="583" t="s">
        <v>1177</v>
      </c>
      <c r="C3065" s="1113">
        <v>1</v>
      </c>
      <c r="D3065" s="1127" t="s">
        <v>15</v>
      </c>
      <c r="E3065" s="557">
        <v>4464</v>
      </c>
      <c r="F3065" s="1117">
        <f>E3065*C3065</f>
        <v>4464</v>
      </c>
      <c r="G3065" s="557">
        <v>650</v>
      </c>
      <c r="H3065" s="1125">
        <f>G3065*C3065</f>
        <v>650</v>
      </c>
      <c r="I3065" s="1117">
        <f>F3065+H3065</f>
        <v>5114</v>
      </c>
      <c r="J3065" s="558"/>
    </row>
    <row r="3066" spans="1:10">
      <c r="A3066" s="496"/>
      <c r="B3066" s="583" t="s">
        <v>1178</v>
      </c>
      <c r="C3066" s="1113">
        <v>1</v>
      </c>
      <c r="D3066" s="1127" t="s">
        <v>15</v>
      </c>
      <c r="E3066" s="557">
        <v>4464</v>
      </c>
      <c r="F3066" s="1117">
        <f>E3066*C3066</f>
        <v>4464</v>
      </c>
      <c r="G3066" s="557">
        <v>650</v>
      </c>
      <c r="H3066" s="1125">
        <f>G3066*C3066</f>
        <v>650</v>
      </c>
      <c r="I3066" s="1117">
        <f>F3066+H3066</f>
        <v>5114</v>
      </c>
      <c r="J3066" s="558"/>
    </row>
    <row r="3067" spans="1:10">
      <c r="A3067" s="496"/>
      <c r="B3067" s="583" t="s">
        <v>1190</v>
      </c>
      <c r="C3067" s="1113"/>
      <c r="D3067" s="1127"/>
      <c r="E3067" s="557"/>
      <c r="F3067" s="1117"/>
      <c r="G3067" s="557"/>
      <c r="H3067" s="1117"/>
      <c r="I3067" s="1117"/>
      <c r="J3067" s="508"/>
    </row>
    <row r="3068" spans="1:10">
      <c r="A3068" s="504"/>
      <c r="B3068" s="583" t="s">
        <v>969</v>
      </c>
      <c r="C3068" s="1113">
        <v>1</v>
      </c>
      <c r="D3068" s="1127" t="s">
        <v>15</v>
      </c>
      <c r="E3068" s="557">
        <v>3192</v>
      </c>
      <c r="F3068" s="1117">
        <v>3192</v>
      </c>
      <c r="G3068" s="557">
        <v>650</v>
      </c>
      <c r="H3068" s="1125">
        <f>G3068*C3068</f>
        <v>650</v>
      </c>
      <c r="I3068" s="1117">
        <v>3842</v>
      </c>
      <c r="J3068" s="558"/>
    </row>
    <row r="3069" spans="1:10">
      <c r="A3069" s="504"/>
      <c r="B3069" s="583" t="s">
        <v>1179</v>
      </c>
      <c r="C3069" s="1113">
        <v>2</v>
      </c>
      <c r="D3069" s="1127" t="s">
        <v>15</v>
      </c>
      <c r="E3069" s="557">
        <v>9664</v>
      </c>
      <c r="F3069" s="1117">
        <f>E3069*C3069</f>
        <v>19328</v>
      </c>
      <c r="G3069" s="557">
        <v>650</v>
      </c>
      <c r="H3069" s="1125">
        <f>G3069*C3069</f>
        <v>1300</v>
      </c>
      <c r="I3069" s="1117">
        <f>F3069+H3069</f>
        <v>20628</v>
      </c>
      <c r="J3069" s="558"/>
    </row>
    <row r="3070" spans="1:10">
      <c r="A3070" s="504"/>
      <c r="B3070" s="583" t="s">
        <v>1484</v>
      </c>
      <c r="C3070" s="1113">
        <v>2</v>
      </c>
      <c r="D3070" s="1127" t="s">
        <v>15</v>
      </c>
      <c r="E3070" s="557">
        <v>9664</v>
      </c>
      <c r="F3070" s="1117">
        <f>E3070*C3070</f>
        <v>19328</v>
      </c>
      <c r="G3070" s="557">
        <v>650</v>
      </c>
      <c r="H3070" s="1117">
        <f>G3070*C3070</f>
        <v>1300</v>
      </c>
      <c r="I3070" s="1117">
        <f>H3070+F3070</f>
        <v>20628</v>
      </c>
      <c r="J3070" s="558"/>
    </row>
    <row r="3071" spans="1:10">
      <c r="A3071" s="504"/>
      <c r="B3071" s="583" t="s">
        <v>1189</v>
      </c>
      <c r="C3071" s="1113"/>
      <c r="D3071" s="1127"/>
      <c r="E3071" s="557"/>
      <c r="F3071" s="1117"/>
      <c r="G3071" s="557"/>
      <c r="H3071" s="1117"/>
      <c r="I3071" s="1117"/>
      <c r="J3071" s="508"/>
    </row>
    <row r="3072" spans="1:10">
      <c r="A3072" s="504"/>
      <c r="B3072" s="583" t="s">
        <v>970</v>
      </c>
      <c r="C3072" s="1113">
        <v>10</v>
      </c>
      <c r="D3072" s="1127" t="s">
        <v>15</v>
      </c>
      <c r="E3072" s="557">
        <v>4160</v>
      </c>
      <c r="F3072" s="1117">
        <f t="shared" ref="F3072:F3096" si="278">E3072*C3072</f>
        <v>41600</v>
      </c>
      <c r="G3072" s="557">
        <v>650</v>
      </c>
      <c r="H3072" s="1117">
        <f t="shared" ref="H3072:H3096" si="279">G3072*C3072</f>
        <v>6500</v>
      </c>
      <c r="I3072" s="1117">
        <f t="shared" ref="I3072:I3096" si="280">H3072+F3072</f>
        <v>48100</v>
      </c>
      <c r="J3072" s="558"/>
    </row>
    <row r="3073" spans="1:10">
      <c r="A3073" s="504"/>
      <c r="B3073" s="583" t="s">
        <v>971</v>
      </c>
      <c r="C3073" s="1113">
        <v>2</v>
      </c>
      <c r="D3073" s="1127" t="s">
        <v>15</v>
      </c>
      <c r="E3073" s="557">
        <v>3680</v>
      </c>
      <c r="F3073" s="1117">
        <f t="shared" si="278"/>
        <v>7360</v>
      </c>
      <c r="G3073" s="557">
        <v>650</v>
      </c>
      <c r="H3073" s="1117">
        <f t="shared" si="279"/>
        <v>1300</v>
      </c>
      <c r="I3073" s="1117">
        <f t="shared" si="280"/>
        <v>8660</v>
      </c>
      <c r="J3073" s="558"/>
    </row>
    <row r="3074" spans="1:10">
      <c r="A3074" s="504"/>
      <c r="B3074" s="583" t="s">
        <v>972</v>
      </c>
      <c r="C3074" s="1113">
        <v>3</v>
      </c>
      <c r="D3074" s="1127" t="s">
        <v>15</v>
      </c>
      <c r="E3074" s="557">
        <v>4160</v>
      </c>
      <c r="F3074" s="1117">
        <f t="shared" si="278"/>
        <v>12480</v>
      </c>
      <c r="G3074" s="557">
        <v>650</v>
      </c>
      <c r="H3074" s="1117">
        <f t="shared" si="279"/>
        <v>1950</v>
      </c>
      <c r="I3074" s="1117">
        <f t="shared" si="280"/>
        <v>14430</v>
      </c>
      <c r="J3074" s="558"/>
    </row>
    <row r="3075" spans="1:10">
      <c r="A3075" s="504"/>
      <c r="B3075" s="583" t="s">
        <v>973</v>
      </c>
      <c r="C3075" s="1113">
        <v>1</v>
      </c>
      <c r="D3075" s="1127" t="s">
        <v>15</v>
      </c>
      <c r="E3075" s="557">
        <v>5192</v>
      </c>
      <c r="F3075" s="1117">
        <f t="shared" si="278"/>
        <v>5192</v>
      </c>
      <c r="G3075" s="557">
        <v>650</v>
      </c>
      <c r="H3075" s="1117">
        <f t="shared" si="279"/>
        <v>650</v>
      </c>
      <c r="I3075" s="1117">
        <f t="shared" si="280"/>
        <v>5842</v>
      </c>
      <c r="J3075" s="558"/>
    </row>
    <row r="3076" spans="1:10">
      <c r="A3076" s="504"/>
      <c r="B3076" s="583" t="s">
        <v>974</v>
      </c>
      <c r="C3076" s="1113">
        <v>1</v>
      </c>
      <c r="D3076" s="1127" t="s">
        <v>15</v>
      </c>
      <c r="E3076" s="557">
        <v>3192</v>
      </c>
      <c r="F3076" s="1117">
        <f t="shared" si="278"/>
        <v>3192</v>
      </c>
      <c r="G3076" s="557">
        <v>650</v>
      </c>
      <c r="H3076" s="1117">
        <f t="shared" si="279"/>
        <v>650</v>
      </c>
      <c r="I3076" s="1117">
        <f t="shared" si="280"/>
        <v>3842</v>
      </c>
      <c r="J3076" s="558"/>
    </row>
    <row r="3077" spans="1:10">
      <c r="A3077" s="504"/>
      <c r="B3077" s="583" t="s">
        <v>975</v>
      </c>
      <c r="C3077" s="1113">
        <v>2</v>
      </c>
      <c r="D3077" s="1127" t="s">
        <v>15</v>
      </c>
      <c r="E3077" s="557">
        <v>3680</v>
      </c>
      <c r="F3077" s="1117">
        <f t="shared" si="278"/>
        <v>7360</v>
      </c>
      <c r="G3077" s="557">
        <v>650</v>
      </c>
      <c r="H3077" s="1117">
        <f t="shared" si="279"/>
        <v>1300</v>
      </c>
      <c r="I3077" s="1117">
        <f t="shared" si="280"/>
        <v>8660</v>
      </c>
      <c r="J3077" s="558"/>
    </row>
    <row r="3078" spans="1:10">
      <c r="A3078" s="504"/>
      <c r="B3078" s="583" t="s">
        <v>976</v>
      </c>
      <c r="C3078" s="1113">
        <v>2</v>
      </c>
      <c r="D3078" s="1127" t="s">
        <v>15</v>
      </c>
      <c r="E3078" s="557">
        <v>3192</v>
      </c>
      <c r="F3078" s="1117">
        <f t="shared" si="278"/>
        <v>6384</v>
      </c>
      <c r="G3078" s="557">
        <v>650</v>
      </c>
      <c r="H3078" s="1117">
        <f t="shared" si="279"/>
        <v>1300</v>
      </c>
      <c r="I3078" s="1117">
        <f t="shared" si="280"/>
        <v>7684</v>
      </c>
      <c r="J3078" s="558"/>
    </row>
    <row r="3079" spans="1:10">
      <c r="A3079" s="504"/>
      <c r="B3079" s="583" t="s">
        <v>977</v>
      </c>
      <c r="C3079" s="1113">
        <v>3</v>
      </c>
      <c r="D3079" s="1127" t="s">
        <v>15</v>
      </c>
      <c r="E3079" s="557">
        <v>3680</v>
      </c>
      <c r="F3079" s="1117">
        <f t="shared" si="278"/>
        <v>11040</v>
      </c>
      <c r="G3079" s="557">
        <v>650</v>
      </c>
      <c r="H3079" s="1117">
        <f t="shared" si="279"/>
        <v>1950</v>
      </c>
      <c r="I3079" s="1117">
        <f t="shared" si="280"/>
        <v>12990</v>
      </c>
      <c r="J3079" s="558"/>
    </row>
    <row r="3080" spans="1:10">
      <c r="A3080" s="504"/>
      <c r="B3080" s="583" t="s">
        <v>978</v>
      </c>
      <c r="C3080" s="1113">
        <v>1</v>
      </c>
      <c r="D3080" s="1127" t="s">
        <v>15</v>
      </c>
      <c r="E3080" s="557">
        <v>5192</v>
      </c>
      <c r="F3080" s="1117">
        <f t="shared" si="278"/>
        <v>5192</v>
      </c>
      <c r="G3080" s="557">
        <v>650</v>
      </c>
      <c r="H3080" s="1117">
        <f t="shared" si="279"/>
        <v>650</v>
      </c>
      <c r="I3080" s="1117">
        <f t="shared" si="280"/>
        <v>5842</v>
      </c>
      <c r="J3080" s="558"/>
    </row>
    <row r="3081" spans="1:10">
      <c r="A3081" s="504"/>
      <c r="B3081" s="583" t="s">
        <v>979</v>
      </c>
      <c r="C3081" s="1113">
        <v>2</v>
      </c>
      <c r="D3081" s="1127" t="s">
        <v>15</v>
      </c>
      <c r="E3081" s="557">
        <v>3680</v>
      </c>
      <c r="F3081" s="1117">
        <f t="shared" si="278"/>
        <v>7360</v>
      </c>
      <c r="G3081" s="557">
        <v>650</v>
      </c>
      <c r="H3081" s="1117">
        <f t="shared" si="279"/>
        <v>1300</v>
      </c>
      <c r="I3081" s="1117">
        <f t="shared" si="280"/>
        <v>8660</v>
      </c>
      <c r="J3081" s="558"/>
    </row>
    <row r="3082" spans="1:10">
      <c r="A3082" s="504"/>
      <c r="B3082" s="583" t="s">
        <v>980</v>
      </c>
      <c r="C3082" s="1113">
        <v>1</v>
      </c>
      <c r="D3082" s="1127" t="s">
        <v>15</v>
      </c>
      <c r="E3082" s="557">
        <v>5192</v>
      </c>
      <c r="F3082" s="1117">
        <f t="shared" si="278"/>
        <v>5192</v>
      </c>
      <c r="G3082" s="557">
        <v>650</v>
      </c>
      <c r="H3082" s="1117">
        <f t="shared" si="279"/>
        <v>650</v>
      </c>
      <c r="I3082" s="1117">
        <f t="shared" si="280"/>
        <v>5842</v>
      </c>
      <c r="J3082" s="558"/>
    </row>
    <row r="3083" spans="1:10">
      <c r="A3083" s="504"/>
      <c r="B3083" s="583" t="s">
        <v>1485</v>
      </c>
      <c r="C3083" s="1113">
        <v>1</v>
      </c>
      <c r="D3083" s="1127" t="s">
        <v>15</v>
      </c>
      <c r="E3083" s="582">
        <v>6496</v>
      </c>
      <c r="F3083" s="1117">
        <f t="shared" si="278"/>
        <v>6496</v>
      </c>
      <c r="G3083" s="557">
        <v>650</v>
      </c>
      <c r="H3083" s="1117">
        <f t="shared" si="279"/>
        <v>650</v>
      </c>
      <c r="I3083" s="1117">
        <f t="shared" si="280"/>
        <v>7146</v>
      </c>
      <c r="J3083" s="558"/>
    </row>
    <row r="3084" spans="1:10">
      <c r="A3084" s="504"/>
      <c r="B3084" s="583" t="s">
        <v>981</v>
      </c>
      <c r="C3084" s="1113">
        <v>1</v>
      </c>
      <c r="D3084" s="1127" t="s">
        <v>15</v>
      </c>
      <c r="E3084" s="557">
        <v>2640</v>
      </c>
      <c r="F3084" s="1117">
        <f t="shared" si="278"/>
        <v>2640</v>
      </c>
      <c r="G3084" s="557">
        <v>650</v>
      </c>
      <c r="H3084" s="1117">
        <f t="shared" si="279"/>
        <v>650</v>
      </c>
      <c r="I3084" s="1117">
        <f t="shared" si="280"/>
        <v>3290</v>
      </c>
      <c r="J3084" s="558"/>
    </row>
    <row r="3085" spans="1:10">
      <c r="A3085" s="504"/>
      <c r="B3085" s="583" t="s">
        <v>1180</v>
      </c>
      <c r="C3085" s="1113">
        <v>1</v>
      </c>
      <c r="D3085" s="1127" t="s">
        <v>15</v>
      </c>
      <c r="E3085" s="557">
        <v>4464</v>
      </c>
      <c r="F3085" s="1117">
        <f t="shared" si="278"/>
        <v>4464</v>
      </c>
      <c r="G3085" s="557">
        <v>650</v>
      </c>
      <c r="H3085" s="1117">
        <f t="shared" si="279"/>
        <v>650</v>
      </c>
      <c r="I3085" s="1117">
        <f t="shared" si="280"/>
        <v>5114</v>
      </c>
      <c r="J3085" s="558"/>
    </row>
    <row r="3086" spans="1:10">
      <c r="A3086" s="504"/>
      <c r="B3086" s="583" t="s">
        <v>1181</v>
      </c>
      <c r="C3086" s="1113">
        <v>2</v>
      </c>
      <c r="D3086" s="1127" t="s">
        <v>15</v>
      </c>
      <c r="E3086" s="557">
        <v>4464</v>
      </c>
      <c r="F3086" s="1117">
        <f t="shared" si="278"/>
        <v>8928</v>
      </c>
      <c r="G3086" s="557">
        <v>650</v>
      </c>
      <c r="H3086" s="1117">
        <f t="shared" si="279"/>
        <v>1300</v>
      </c>
      <c r="I3086" s="1117">
        <f t="shared" si="280"/>
        <v>10228</v>
      </c>
      <c r="J3086" s="558"/>
    </row>
    <row r="3087" spans="1:10">
      <c r="A3087" s="504"/>
      <c r="B3087" s="583" t="s">
        <v>1486</v>
      </c>
      <c r="C3087" s="1113">
        <v>2</v>
      </c>
      <c r="D3087" s="1127" t="s">
        <v>15</v>
      </c>
      <c r="E3087" s="557">
        <v>5192</v>
      </c>
      <c r="F3087" s="1117">
        <f t="shared" si="278"/>
        <v>10384</v>
      </c>
      <c r="G3087" s="557">
        <v>650</v>
      </c>
      <c r="H3087" s="1117">
        <f t="shared" si="279"/>
        <v>1300</v>
      </c>
      <c r="I3087" s="1117">
        <f t="shared" si="280"/>
        <v>11684</v>
      </c>
      <c r="J3087" s="558"/>
    </row>
    <row r="3088" spans="1:10">
      <c r="A3088" s="504"/>
      <c r="B3088" s="583" t="s">
        <v>1487</v>
      </c>
      <c r="C3088" s="1113">
        <v>2</v>
      </c>
      <c r="D3088" s="1127" t="s">
        <v>15</v>
      </c>
      <c r="E3088" s="557">
        <v>5192</v>
      </c>
      <c r="F3088" s="1117">
        <f t="shared" si="278"/>
        <v>10384</v>
      </c>
      <c r="G3088" s="557">
        <v>650</v>
      </c>
      <c r="H3088" s="1117">
        <f t="shared" si="279"/>
        <v>1300</v>
      </c>
      <c r="I3088" s="1117">
        <f t="shared" si="280"/>
        <v>11684</v>
      </c>
      <c r="J3088" s="558"/>
    </row>
    <row r="3089" spans="1:10">
      <c r="A3089" s="504"/>
      <c r="B3089" s="583" t="s">
        <v>982</v>
      </c>
      <c r="C3089" s="1113">
        <v>1</v>
      </c>
      <c r="D3089" s="1127" t="s">
        <v>15</v>
      </c>
      <c r="E3089" s="557">
        <v>3480</v>
      </c>
      <c r="F3089" s="1117">
        <f t="shared" si="278"/>
        <v>3480</v>
      </c>
      <c r="G3089" s="557">
        <v>650</v>
      </c>
      <c r="H3089" s="1117">
        <f t="shared" si="279"/>
        <v>650</v>
      </c>
      <c r="I3089" s="1117">
        <f t="shared" si="280"/>
        <v>4130</v>
      </c>
      <c r="J3089" s="558"/>
    </row>
    <row r="3090" spans="1:10">
      <c r="A3090" s="504"/>
      <c r="B3090" s="583" t="s">
        <v>983</v>
      </c>
      <c r="C3090" s="1113">
        <v>3</v>
      </c>
      <c r="D3090" s="1127" t="s">
        <v>15</v>
      </c>
      <c r="E3090" s="557">
        <v>4464</v>
      </c>
      <c r="F3090" s="1117">
        <f t="shared" si="278"/>
        <v>13392</v>
      </c>
      <c r="G3090" s="557">
        <v>650</v>
      </c>
      <c r="H3090" s="1117">
        <f t="shared" si="279"/>
        <v>1950</v>
      </c>
      <c r="I3090" s="1117">
        <f t="shared" si="280"/>
        <v>15342</v>
      </c>
      <c r="J3090" s="558"/>
    </row>
    <row r="3091" spans="1:10">
      <c r="A3091" s="504"/>
      <c r="B3091" s="583" t="s">
        <v>984</v>
      </c>
      <c r="C3091" s="1113">
        <v>3</v>
      </c>
      <c r="D3091" s="1127" t="s">
        <v>15</v>
      </c>
      <c r="E3091" s="557">
        <v>6496</v>
      </c>
      <c r="F3091" s="1117">
        <f t="shared" si="278"/>
        <v>19488</v>
      </c>
      <c r="G3091" s="557">
        <v>650</v>
      </c>
      <c r="H3091" s="1117">
        <f t="shared" si="279"/>
        <v>1950</v>
      </c>
      <c r="I3091" s="1117">
        <f t="shared" si="280"/>
        <v>21438</v>
      </c>
      <c r="J3091" s="558"/>
    </row>
    <row r="3092" spans="1:10">
      <c r="A3092" s="504"/>
      <c r="B3092" s="583" t="s">
        <v>985</v>
      </c>
      <c r="C3092" s="1113">
        <v>1</v>
      </c>
      <c r="D3092" s="1127" t="s">
        <v>15</v>
      </c>
      <c r="E3092" s="557">
        <v>6496</v>
      </c>
      <c r="F3092" s="1117">
        <f t="shared" si="278"/>
        <v>6496</v>
      </c>
      <c r="G3092" s="557">
        <v>650</v>
      </c>
      <c r="H3092" s="1117">
        <f t="shared" si="279"/>
        <v>650</v>
      </c>
      <c r="I3092" s="1117">
        <f t="shared" si="280"/>
        <v>7146</v>
      </c>
      <c r="J3092" s="558"/>
    </row>
    <row r="3093" spans="1:10">
      <c r="A3093" s="504"/>
      <c r="B3093" s="583" t="s">
        <v>986</v>
      </c>
      <c r="C3093" s="1113">
        <v>1</v>
      </c>
      <c r="D3093" s="1127" t="s">
        <v>15</v>
      </c>
      <c r="E3093" s="557">
        <v>4464</v>
      </c>
      <c r="F3093" s="1117">
        <f t="shared" si="278"/>
        <v>4464</v>
      </c>
      <c r="G3093" s="557">
        <v>650</v>
      </c>
      <c r="H3093" s="1117">
        <f t="shared" si="279"/>
        <v>650</v>
      </c>
      <c r="I3093" s="1117">
        <f t="shared" si="280"/>
        <v>5114</v>
      </c>
      <c r="J3093" s="558"/>
    </row>
    <row r="3094" spans="1:10">
      <c r="A3094" s="504"/>
      <c r="B3094" s="583" t="s">
        <v>987</v>
      </c>
      <c r="C3094" s="1113">
        <v>1</v>
      </c>
      <c r="D3094" s="1127" t="s">
        <v>15</v>
      </c>
      <c r="E3094" s="557">
        <v>4464</v>
      </c>
      <c r="F3094" s="1117">
        <f t="shared" si="278"/>
        <v>4464</v>
      </c>
      <c r="G3094" s="557">
        <v>650</v>
      </c>
      <c r="H3094" s="1117">
        <f t="shared" si="279"/>
        <v>650</v>
      </c>
      <c r="I3094" s="1117">
        <f t="shared" si="280"/>
        <v>5114</v>
      </c>
      <c r="J3094" s="558"/>
    </row>
    <row r="3095" spans="1:10">
      <c r="A3095" s="504"/>
      <c r="B3095" s="583" t="s">
        <v>988</v>
      </c>
      <c r="C3095" s="1113">
        <v>1</v>
      </c>
      <c r="D3095" s="1127" t="s">
        <v>15</v>
      </c>
      <c r="E3095" s="557">
        <v>9664</v>
      </c>
      <c r="F3095" s="1117">
        <f t="shared" si="278"/>
        <v>9664</v>
      </c>
      <c r="G3095" s="557">
        <v>650</v>
      </c>
      <c r="H3095" s="1117">
        <f t="shared" si="279"/>
        <v>650</v>
      </c>
      <c r="I3095" s="1117">
        <f t="shared" si="280"/>
        <v>10314</v>
      </c>
      <c r="J3095" s="558"/>
    </row>
    <row r="3096" spans="1:10">
      <c r="A3096" s="504"/>
      <c r="B3096" s="583" t="s">
        <v>989</v>
      </c>
      <c r="C3096" s="1113">
        <v>1</v>
      </c>
      <c r="D3096" s="1127" t="s">
        <v>15</v>
      </c>
      <c r="E3096" s="557">
        <v>3680</v>
      </c>
      <c r="F3096" s="1117">
        <f t="shared" si="278"/>
        <v>3680</v>
      </c>
      <c r="G3096" s="557">
        <v>650</v>
      </c>
      <c r="H3096" s="1117">
        <f t="shared" si="279"/>
        <v>650</v>
      </c>
      <c r="I3096" s="1117">
        <f t="shared" si="280"/>
        <v>4330</v>
      </c>
      <c r="J3096" s="558"/>
    </row>
    <row r="3097" spans="1:10">
      <c r="A3097" s="504"/>
      <c r="B3097" s="583" t="s">
        <v>1170</v>
      </c>
      <c r="C3097" s="1113"/>
      <c r="D3097" s="1127"/>
      <c r="E3097" s="557"/>
      <c r="F3097" s="1117"/>
      <c r="G3097" s="557"/>
      <c r="H3097" s="1117"/>
      <c r="I3097" s="1117"/>
      <c r="J3097" s="558"/>
    </row>
    <row r="3098" spans="1:10">
      <c r="A3098" s="504"/>
      <c r="B3098" s="583" t="s">
        <v>1182</v>
      </c>
      <c r="C3098" s="1113">
        <v>2</v>
      </c>
      <c r="D3098" s="1127" t="s">
        <v>15</v>
      </c>
      <c r="E3098" s="557">
        <v>1192</v>
      </c>
      <c r="F3098" s="1117">
        <f>E3098*C3098</f>
        <v>2384</v>
      </c>
      <c r="G3098" s="557">
        <v>650</v>
      </c>
      <c r="H3098" s="1125">
        <f>G3098*C3098</f>
        <v>1300</v>
      </c>
      <c r="I3098" s="1117">
        <f>F3098+H3098</f>
        <v>3684</v>
      </c>
      <c r="J3098" s="558"/>
    </row>
    <row r="3099" spans="1:10">
      <c r="A3099" s="504"/>
      <c r="B3099" s="583" t="s">
        <v>1183</v>
      </c>
      <c r="C3099" s="1113">
        <v>2</v>
      </c>
      <c r="D3099" s="1127" t="s">
        <v>15</v>
      </c>
      <c r="E3099" s="557">
        <v>9664</v>
      </c>
      <c r="F3099" s="1117">
        <f>E3099*C3099</f>
        <v>19328</v>
      </c>
      <c r="G3099" s="557">
        <v>650</v>
      </c>
      <c r="H3099" s="1125">
        <f>G3099*C3099</f>
        <v>1300</v>
      </c>
      <c r="I3099" s="1117">
        <f>F3099+H3099</f>
        <v>20628</v>
      </c>
      <c r="J3099" s="558"/>
    </row>
    <row r="3100" spans="1:10">
      <c r="A3100" s="504" t="s">
        <v>1799</v>
      </c>
      <c r="B3100" s="493" t="s">
        <v>879</v>
      </c>
      <c r="C3100" s="506"/>
      <c r="D3100" s="505"/>
      <c r="E3100" s="489"/>
      <c r="F3100" s="489"/>
      <c r="G3100" s="507"/>
      <c r="H3100" s="490"/>
      <c r="I3100" s="489"/>
      <c r="J3100" s="508"/>
    </row>
    <row r="3101" spans="1:10">
      <c r="A3101" s="504"/>
      <c r="B3101" s="583" t="s">
        <v>1191</v>
      </c>
      <c r="C3101" s="1113"/>
      <c r="D3101" s="1127"/>
      <c r="E3101" s="582"/>
      <c r="F3101" s="1117"/>
      <c r="G3101" s="557"/>
      <c r="H3101" s="1117"/>
      <c r="I3101" s="1117"/>
      <c r="J3101" s="508"/>
    </row>
    <row r="3102" spans="1:10">
      <c r="A3102" s="504"/>
      <c r="B3102" s="583" t="s">
        <v>1001</v>
      </c>
      <c r="C3102" s="1113">
        <v>6</v>
      </c>
      <c r="D3102" s="1127" t="s">
        <v>15</v>
      </c>
      <c r="E3102" s="582">
        <v>3192</v>
      </c>
      <c r="F3102" s="1117">
        <f t="shared" ref="F3102:F3111" si="281">E3102*C3102</f>
        <v>19152</v>
      </c>
      <c r="G3102" s="557">
        <v>650</v>
      </c>
      <c r="H3102" s="1117">
        <f t="shared" ref="H3102:H3111" si="282">G3102*C3102</f>
        <v>3900</v>
      </c>
      <c r="I3102" s="1117">
        <f t="shared" ref="I3102:I3111" si="283">H3102+F3102</f>
        <v>23052</v>
      </c>
      <c r="J3102" s="508"/>
    </row>
    <row r="3103" spans="1:10">
      <c r="A3103" s="504"/>
      <c r="B3103" s="583" t="s">
        <v>1002</v>
      </c>
      <c r="C3103" s="1113">
        <v>6</v>
      </c>
      <c r="D3103" s="1127" t="s">
        <v>15</v>
      </c>
      <c r="E3103" s="582">
        <v>3680</v>
      </c>
      <c r="F3103" s="1117">
        <f t="shared" si="281"/>
        <v>22080</v>
      </c>
      <c r="G3103" s="557">
        <v>650</v>
      </c>
      <c r="H3103" s="1117">
        <f t="shared" si="282"/>
        <v>3900</v>
      </c>
      <c r="I3103" s="1117">
        <f t="shared" si="283"/>
        <v>25980</v>
      </c>
      <c r="J3103" s="508"/>
    </row>
    <row r="3104" spans="1:10">
      <c r="A3104" s="504"/>
      <c r="B3104" s="583" t="s">
        <v>1003</v>
      </c>
      <c r="C3104" s="1113">
        <v>1</v>
      </c>
      <c r="D3104" s="1127" t="s">
        <v>15</v>
      </c>
      <c r="E3104" s="582">
        <v>5120</v>
      </c>
      <c r="F3104" s="1117">
        <f t="shared" si="281"/>
        <v>5120</v>
      </c>
      <c r="G3104" s="557">
        <v>650</v>
      </c>
      <c r="H3104" s="1117">
        <f t="shared" si="282"/>
        <v>650</v>
      </c>
      <c r="I3104" s="1117">
        <f t="shared" si="283"/>
        <v>5770</v>
      </c>
      <c r="J3104" s="508"/>
    </row>
    <row r="3105" spans="1:10">
      <c r="A3105" s="504"/>
      <c r="B3105" s="583" t="s">
        <v>1004</v>
      </c>
      <c r="C3105" s="1113">
        <v>1</v>
      </c>
      <c r="D3105" s="1127" t="s">
        <v>15</v>
      </c>
      <c r="E3105" s="582">
        <v>7128</v>
      </c>
      <c r="F3105" s="1117">
        <f t="shared" si="281"/>
        <v>7128</v>
      </c>
      <c r="G3105" s="557">
        <v>650</v>
      </c>
      <c r="H3105" s="1117">
        <f t="shared" si="282"/>
        <v>650</v>
      </c>
      <c r="I3105" s="1117">
        <f t="shared" si="283"/>
        <v>7778</v>
      </c>
      <c r="J3105" s="508"/>
    </row>
    <row r="3106" spans="1:10">
      <c r="A3106" s="504"/>
      <c r="B3106" s="583" t="s">
        <v>1005</v>
      </c>
      <c r="C3106" s="1113">
        <v>1</v>
      </c>
      <c r="D3106" s="1127" t="s">
        <v>15</v>
      </c>
      <c r="E3106" s="582">
        <v>7128</v>
      </c>
      <c r="F3106" s="1117">
        <f t="shared" si="281"/>
        <v>7128</v>
      </c>
      <c r="G3106" s="557">
        <v>650</v>
      </c>
      <c r="H3106" s="1117">
        <f t="shared" si="282"/>
        <v>650</v>
      </c>
      <c r="I3106" s="1117">
        <f t="shared" si="283"/>
        <v>7778</v>
      </c>
      <c r="J3106" s="508"/>
    </row>
    <row r="3107" spans="1:10">
      <c r="A3107" s="504"/>
      <c r="B3107" s="583" t="s">
        <v>1488</v>
      </c>
      <c r="C3107" s="1113">
        <v>2</v>
      </c>
      <c r="D3107" s="1127" t="s">
        <v>15</v>
      </c>
      <c r="E3107" s="582">
        <v>6496</v>
      </c>
      <c r="F3107" s="1117">
        <f t="shared" si="281"/>
        <v>12992</v>
      </c>
      <c r="G3107" s="557">
        <v>650</v>
      </c>
      <c r="H3107" s="1117">
        <f t="shared" si="282"/>
        <v>1300</v>
      </c>
      <c r="I3107" s="1117">
        <f t="shared" si="283"/>
        <v>14292</v>
      </c>
      <c r="J3107" s="508"/>
    </row>
    <row r="3108" spans="1:10">
      <c r="A3108" s="504"/>
      <c r="B3108" s="583" t="s">
        <v>1006</v>
      </c>
      <c r="C3108" s="1113">
        <v>1</v>
      </c>
      <c r="D3108" s="1127" t="s">
        <v>15</v>
      </c>
      <c r="E3108" s="582">
        <v>4464</v>
      </c>
      <c r="F3108" s="1117">
        <f t="shared" si="281"/>
        <v>4464</v>
      </c>
      <c r="G3108" s="557">
        <v>650</v>
      </c>
      <c r="H3108" s="1117">
        <f t="shared" si="282"/>
        <v>650</v>
      </c>
      <c r="I3108" s="1117">
        <f t="shared" si="283"/>
        <v>5114</v>
      </c>
      <c r="J3108" s="508"/>
    </row>
    <row r="3109" spans="1:10">
      <c r="A3109" s="504"/>
      <c r="B3109" s="583" t="s">
        <v>1007</v>
      </c>
      <c r="C3109" s="1113">
        <v>1</v>
      </c>
      <c r="D3109" s="1127" t="s">
        <v>15</v>
      </c>
      <c r="E3109" s="582">
        <v>3192</v>
      </c>
      <c r="F3109" s="1117">
        <f t="shared" si="281"/>
        <v>3192</v>
      </c>
      <c r="G3109" s="557">
        <v>650</v>
      </c>
      <c r="H3109" s="1117">
        <f t="shared" si="282"/>
        <v>650</v>
      </c>
      <c r="I3109" s="1117">
        <f t="shared" si="283"/>
        <v>3842</v>
      </c>
      <c r="J3109" s="508"/>
    </row>
    <row r="3110" spans="1:10">
      <c r="A3110" s="504"/>
      <c r="B3110" s="583" t="s">
        <v>1008</v>
      </c>
      <c r="C3110" s="1113">
        <v>1</v>
      </c>
      <c r="D3110" s="1127" t="s">
        <v>15</v>
      </c>
      <c r="E3110" s="582">
        <v>6496</v>
      </c>
      <c r="F3110" s="1117">
        <f t="shared" si="281"/>
        <v>6496</v>
      </c>
      <c r="G3110" s="557">
        <v>650</v>
      </c>
      <c r="H3110" s="1117">
        <f t="shared" si="282"/>
        <v>650</v>
      </c>
      <c r="I3110" s="1117">
        <f t="shared" si="283"/>
        <v>7146</v>
      </c>
      <c r="J3110" s="508"/>
    </row>
    <row r="3111" spans="1:10">
      <c r="A3111" s="504"/>
      <c r="B3111" s="583" t="s">
        <v>1009</v>
      </c>
      <c r="C3111" s="1113">
        <v>1</v>
      </c>
      <c r="D3111" s="1127" t="s">
        <v>15</v>
      </c>
      <c r="E3111" s="582">
        <v>3192</v>
      </c>
      <c r="F3111" s="1117">
        <f t="shared" si="281"/>
        <v>3192</v>
      </c>
      <c r="G3111" s="557">
        <v>650</v>
      </c>
      <c r="H3111" s="1117">
        <f t="shared" si="282"/>
        <v>650</v>
      </c>
      <c r="I3111" s="1117">
        <f t="shared" si="283"/>
        <v>3842</v>
      </c>
      <c r="J3111" s="508"/>
    </row>
    <row r="3112" spans="1:10">
      <c r="A3112" s="504"/>
      <c r="B3112" s="583" t="s">
        <v>643</v>
      </c>
      <c r="C3112" s="1113"/>
      <c r="D3112" s="1127"/>
      <c r="E3112" s="582"/>
      <c r="F3112" s="1117"/>
      <c r="G3112" s="557"/>
      <c r="H3112" s="1117"/>
      <c r="I3112" s="1117"/>
      <c r="J3112" s="508"/>
    </row>
    <row r="3113" spans="1:10">
      <c r="A3113" s="504"/>
      <c r="B3113" s="583" t="s">
        <v>1010</v>
      </c>
      <c r="C3113" s="1113">
        <v>2</v>
      </c>
      <c r="D3113" s="1127" t="s">
        <v>15</v>
      </c>
      <c r="E3113" s="582">
        <v>8368</v>
      </c>
      <c r="F3113" s="1117">
        <f>E3113*C3113</f>
        <v>16736</v>
      </c>
      <c r="G3113" s="557">
        <v>650</v>
      </c>
      <c r="H3113" s="1125">
        <f>G3113*C3113</f>
        <v>1300</v>
      </c>
      <c r="I3113" s="1117">
        <f>F3113+H3113</f>
        <v>18036</v>
      </c>
      <c r="J3113" s="508"/>
    </row>
    <row r="3114" spans="1:10">
      <c r="A3114" s="504"/>
      <c r="B3114" s="583" t="s">
        <v>1011</v>
      </c>
      <c r="C3114" s="1113">
        <v>2</v>
      </c>
      <c r="D3114" s="1127" t="s">
        <v>15</v>
      </c>
      <c r="E3114" s="582">
        <v>4464</v>
      </c>
      <c r="F3114" s="1117">
        <f>E3114*C3114</f>
        <v>8928</v>
      </c>
      <c r="G3114" s="557">
        <v>650</v>
      </c>
      <c r="H3114" s="1125">
        <f>G3114*C3114</f>
        <v>1300</v>
      </c>
      <c r="I3114" s="1117">
        <f>F3114+H3114</f>
        <v>10228</v>
      </c>
      <c r="J3114" s="508"/>
    </row>
    <row r="3115" spans="1:10">
      <c r="A3115" s="504"/>
      <c r="B3115" s="583" t="s">
        <v>1012</v>
      </c>
      <c r="C3115" s="1113">
        <v>1</v>
      </c>
      <c r="D3115" s="1127" t="s">
        <v>15</v>
      </c>
      <c r="E3115" s="582">
        <v>3192</v>
      </c>
      <c r="F3115" s="1117">
        <f>E3115*C3115</f>
        <v>3192</v>
      </c>
      <c r="G3115" s="557">
        <v>650</v>
      </c>
      <c r="H3115" s="1125">
        <f>G3115*C3115</f>
        <v>650</v>
      </c>
      <c r="I3115" s="1117">
        <f>F3115+H3115</f>
        <v>3842</v>
      </c>
      <c r="J3115" s="508"/>
    </row>
    <row r="3116" spans="1:10">
      <c r="A3116" s="504"/>
      <c r="B3116" s="583" t="s">
        <v>1189</v>
      </c>
      <c r="C3116" s="1113"/>
      <c r="D3116" s="1127"/>
      <c r="E3116" s="582"/>
      <c r="F3116" s="1117"/>
      <c r="G3116" s="557"/>
      <c r="H3116" s="1117"/>
      <c r="I3116" s="1117"/>
      <c r="J3116" s="508"/>
    </row>
    <row r="3117" spans="1:10">
      <c r="A3117" s="504"/>
      <c r="B3117" s="583" t="s">
        <v>1013</v>
      </c>
      <c r="C3117" s="1113">
        <v>6</v>
      </c>
      <c r="D3117" s="1127" t="s">
        <v>15</v>
      </c>
      <c r="E3117" s="582">
        <v>3192</v>
      </c>
      <c r="F3117" s="1117">
        <f t="shared" ref="F3117:F3125" si="284">E3117*C3117</f>
        <v>19152</v>
      </c>
      <c r="G3117" s="557">
        <v>650</v>
      </c>
      <c r="H3117" s="1117">
        <f t="shared" ref="H3117:H3125" si="285">G3117*C3117</f>
        <v>3900</v>
      </c>
      <c r="I3117" s="1117">
        <f t="shared" ref="I3117:I3125" si="286">H3117+F3117</f>
        <v>23052</v>
      </c>
      <c r="J3117" s="508"/>
    </row>
    <row r="3118" spans="1:10">
      <c r="A3118" s="504"/>
      <c r="B3118" s="583" t="s">
        <v>1014</v>
      </c>
      <c r="C3118" s="1113">
        <v>6</v>
      </c>
      <c r="D3118" s="1127" t="s">
        <v>15</v>
      </c>
      <c r="E3118" s="582">
        <v>3680</v>
      </c>
      <c r="F3118" s="1117">
        <f t="shared" si="284"/>
        <v>22080</v>
      </c>
      <c r="G3118" s="557">
        <v>650</v>
      </c>
      <c r="H3118" s="1117">
        <f t="shared" si="285"/>
        <v>3900</v>
      </c>
      <c r="I3118" s="1117">
        <f t="shared" si="286"/>
        <v>25980</v>
      </c>
      <c r="J3118" s="508"/>
    </row>
    <row r="3119" spans="1:10">
      <c r="A3119" s="504"/>
      <c r="B3119" s="583" t="s">
        <v>1015</v>
      </c>
      <c r="C3119" s="1113">
        <v>1</v>
      </c>
      <c r="D3119" s="1127" t="s">
        <v>15</v>
      </c>
      <c r="E3119" s="582">
        <v>5192</v>
      </c>
      <c r="F3119" s="1117">
        <f t="shared" si="284"/>
        <v>5192</v>
      </c>
      <c r="G3119" s="557">
        <v>650</v>
      </c>
      <c r="H3119" s="1117">
        <f t="shared" si="285"/>
        <v>650</v>
      </c>
      <c r="I3119" s="1117">
        <f t="shared" si="286"/>
        <v>5842</v>
      </c>
      <c r="J3119" s="508"/>
    </row>
    <row r="3120" spans="1:10">
      <c r="A3120" s="504"/>
      <c r="B3120" s="583" t="s">
        <v>1489</v>
      </c>
      <c r="C3120" s="1113">
        <v>1</v>
      </c>
      <c r="D3120" s="1127" t="s">
        <v>15</v>
      </c>
      <c r="E3120" s="582">
        <v>6496</v>
      </c>
      <c r="F3120" s="1117">
        <f t="shared" si="284"/>
        <v>6496</v>
      </c>
      <c r="G3120" s="557">
        <v>650</v>
      </c>
      <c r="H3120" s="1117">
        <f t="shared" si="285"/>
        <v>650</v>
      </c>
      <c r="I3120" s="1117">
        <f t="shared" si="286"/>
        <v>7146</v>
      </c>
      <c r="J3120" s="508"/>
    </row>
    <row r="3121" spans="1:10">
      <c r="A3121" s="504"/>
      <c r="B3121" s="583" t="s">
        <v>1016</v>
      </c>
      <c r="C3121" s="1113">
        <v>1</v>
      </c>
      <c r="D3121" s="1127" t="s">
        <v>15</v>
      </c>
      <c r="E3121" s="582">
        <v>2640</v>
      </c>
      <c r="F3121" s="1117">
        <f t="shared" si="284"/>
        <v>2640</v>
      </c>
      <c r="G3121" s="557">
        <v>650</v>
      </c>
      <c r="H3121" s="1117">
        <f t="shared" si="285"/>
        <v>650</v>
      </c>
      <c r="I3121" s="1117">
        <f t="shared" si="286"/>
        <v>3290</v>
      </c>
      <c r="J3121" s="508"/>
    </row>
    <row r="3122" spans="1:10">
      <c r="A3122" s="504"/>
      <c r="B3122" s="583" t="s">
        <v>1184</v>
      </c>
      <c r="C3122" s="1113">
        <v>1</v>
      </c>
      <c r="D3122" s="1127" t="s">
        <v>15</v>
      </c>
      <c r="E3122" s="582">
        <v>4464</v>
      </c>
      <c r="F3122" s="1117">
        <f t="shared" si="284"/>
        <v>4464</v>
      </c>
      <c r="G3122" s="557">
        <v>650</v>
      </c>
      <c r="H3122" s="1117">
        <f t="shared" si="285"/>
        <v>650</v>
      </c>
      <c r="I3122" s="1117">
        <f t="shared" si="286"/>
        <v>5114</v>
      </c>
      <c r="J3122" s="558"/>
    </row>
    <row r="3123" spans="1:10">
      <c r="A3123" s="504"/>
      <c r="B3123" s="583" t="s">
        <v>1185</v>
      </c>
      <c r="C3123" s="1113">
        <v>2</v>
      </c>
      <c r="D3123" s="1127" t="s">
        <v>15</v>
      </c>
      <c r="E3123" s="582">
        <v>4464</v>
      </c>
      <c r="F3123" s="1117">
        <f t="shared" si="284"/>
        <v>8928</v>
      </c>
      <c r="G3123" s="557">
        <v>650</v>
      </c>
      <c r="H3123" s="1117">
        <f t="shared" si="285"/>
        <v>1300</v>
      </c>
      <c r="I3123" s="1117">
        <f t="shared" si="286"/>
        <v>10228</v>
      </c>
      <c r="J3123" s="558"/>
    </row>
    <row r="3124" spans="1:10">
      <c r="A3124" s="504"/>
      <c r="B3124" s="583" t="s">
        <v>1490</v>
      </c>
      <c r="C3124" s="1113">
        <v>1</v>
      </c>
      <c r="D3124" s="1127" t="s">
        <v>15</v>
      </c>
      <c r="E3124" s="582">
        <v>9664</v>
      </c>
      <c r="F3124" s="1117">
        <f t="shared" si="284"/>
        <v>9664</v>
      </c>
      <c r="G3124" s="557">
        <v>650</v>
      </c>
      <c r="H3124" s="1117">
        <f t="shared" si="285"/>
        <v>650</v>
      </c>
      <c r="I3124" s="1117">
        <f t="shared" si="286"/>
        <v>10314</v>
      </c>
      <c r="J3124" s="508"/>
    </row>
    <row r="3125" spans="1:10">
      <c r="A3125" s="504"/>
      <c r="B3125" s="583" t="s">
        <v>1017</v>
      </c>
      <c r="C3125" s="1113">
        <v>1</v>
      </c>
      <c r="D3125" s="1127" t="s">
        <v>15</v>
      </c>
      <c r="E3125" s="582">
        <v>3680</v>
      </c>
      <c r="F3125" s="1117">
        <f t="shared" si="284"/>
        <v>3680</v>
      </c>
      <c r="G3125" s="557">
        <v>650</v>
      </c>
      <c r="H3125" s="1117">
        <f t="shared" si="285"/>
        <v>650</v>
      </c>
      <c r="I3125" s="1117">
        <f t="shared" si="286"/>
        <v>4330</v>
      </c>
      <c r="J3125" s="508"/>
    </row>
    <row r="3126" spans="1:10">
      <c r="A3126" s="504" t="s">
        <v>1800</v>
      </c>
      <c r="B3126" s="493" t="s">
        <v>898</v>
      </c>
      <c r="C3126" s="506"/>
      <c r="D3126" s="505"/>
      <c r="E3126" s="489"/>
      <c r="F3126" s="489"/>
      <c r="G3126" s="507"/>
      <c r="H3126" s="490"/>
      <c r="I3126" s="489"/>
      <c r="J3126" s="508"/>
    </row>
    <row r="3127" spans="1:10">
      <c r="A3127" s="504"/>
      <c r="B3127" s="583" t="s">
        <v>1191</v>
      </c>
      <c r="C3127" s="1113"/>
      <c r="D3127" s="1127"/>
      <c r="E3127" s="582"/>
      <c r="F3127" s="1117"/>
      <c r="G3127" s="557"/>
      <c r="H3127" s="1117"/>
      <c r="I3127" s="1117"/>
      <c r="J3127" s="508"/>
    </row>
    <row r="3128" spans="1:10">
      <c r="A3128" s="504"/>
      <c r="B3128" s="583" t="s">
        <v>1491</v>
      </c>
      <c r="C3128" s="1113">
        <v>10</v>
      </c>
      <c r="D3128" s="1127" t="s">
        <v>15</v>
      </c>
      <c r="E3128" s="683">
        <v>2640</v>
      </c>
      <c r="F3128" s="1117">
        <f t="shared" ref="F3128:F3137" si="287">E3128*C3128</f>
        <v>26400</v>
      </c>
      <c r="G3128" s="557">
        <v>650</v>
      </c>
      <c r="H3128" s="1117">
        <f t="shared" ref="H3128:H3137" si="288">G3128*C3128</f>
        <v>6500</v>
      </c>
      <c r="I3128" s="1117">
        <f t="shared" ref="I3128:I3137" si="289">H3128+F3128</f>
        <v>32900</v>
      </c>
      <c r="J3128" s="558"/>
    </row>
    <row r="3129" spans="1:10">
      <c r="A3129" s="504"/>
      <c r="B3129" s="583" t="s">
        <v>1492</v>
      </c>
      <c r="C3129" s="1113">
        <v>1</v>
      </c>
      <c r="D3129" s="1127" t="s">
        <v>15</v>
      </c>
      <c r="E3129" s="557">
        <v>3192</v>
      </c>
      <c r="F3129" s="1117">
        <f t="shared" si="287"/>
        <v>3192</v>
      </c>
      <c r="G3129" s="557">
        <v>650</v>
      </c>
      <c r="H3129" s="1117">
        <f t="shared" si="288"/>
        <v>650</v>
      </c>
      <c r="I3129" s="1117">
        <f t="shared" si="289"/>
        <v>3842</v>
      </c>
      <c r="J3129" s="558"/>
    </row>
    <row r="3130" spans="1:10">
      <c r="A3130" s="504"/>
      <c r="B3130" s="583" t="s">
        <v>1493</v>
      </c>
      <c r="C3130" s="1113">
        <v>16</v>
      </c>
      <c r="D3130" s="1127" t="s">
        <v>15</v>
      </c>
      <c r="E3130" s="557">
        <v>2640</v>
      </c>
      <c r="F3130" s="1117">
        <f t="shared" si="287"/>
        <v>42240</v>
      </c>
      <c r="G3130" s="557">
        <v>650</v>
      </c>
      <c r="H3130" s="1117">
        <f t="shared" si="288"/>
        <v>10400</v>
      </c>
      <c r="I3130" s="1117">
        <f t="shared" si="289"/>
        <v>52640</v>
      </c>
      <c r="J3130" s="558"/>
    </row>
    <row r="3131" spans="1:10">
      <c r="A3131" s="504"/>
      <c r="B3131" s="583" t="s">
        <v>1494</v>
      </c>
      <c r="C3131" s="1113">
        <v>2</v>
      </c>
      <c r="D3131" s="1127" t="s">
        <v>15</v>
      </c>
      <c r="E3131" s="557">
        <v>3680</v>
      </c>
      <c r="F3131" s="1117">
        <f t="shared" si="287"/>
        <v>7360</v>
      </c>
      <c r="G3131" s="557">
        <v>650</v>
      </c>
      <c r="H3131" s="1117">
        <f t="shared" si="288"/>
        <v>1300</v>
      </c>
      <c r="I3131" s="1117">
        <f t="shared" si="289"/>
        <v>8660</v>
      </c>
      <c r="J3131" s="558"/>
    </row>
    <row r="3132" spans="1:10">
      <c r="A3132" s="504"/>
      <c r="B3132" s="583" t="s">
        <v>1495</v>
      </c>
      <c r="C3132" s="1113">
        <v>1</v>
      </c>
      <c r="D3132" s="1127" t="s">
        <v>15</v>
      </c>
      <c r="E3132" s="557">
        <v>7128</v>
      </c>
      <c r="F3132" s="1117">
        <f t="shared" si="287"/>
        <v>7128</v>
      </c>
      <c r="G3132" s="557">
        <v>650</v>
      </c>
      <c r="H3132" s="1117">
        <f t="shared" si="288"/>
        <v>650</v>
      </c>
      <c r="I3132" s="1117">
        <f t="shared" si="289"/>
        <v>7778</v>
      </c>
      <c r="J3132" s="558"/>
    </row>
    <row r="3133" spans="1:10">
      <c r="A3133" s="504"/>
      <c r="B3133" s="583" t="s">
        <v>1496</v>
      </c>
      <c r="C3133" s="1113">
        <v>2</v>
      </c>
      <c r="D3133" s="1127" t="s">
        <v>15</v>
      </c>
      <c r="E3133" s="557">
        <v>6496</v>
      </c>
      <c r="F3133" s="1117">
        <f t="shared" si="287"/>
        <v>12992</v>
      </c>
      <c r="G3133" s="557">
        <v>650</v>
      </c>
      <c r="H3133" s="1117">
        <f t="shared" si="288"/>
        <v>1300</v>
      </c>
      <c r="I3133" s="1117">
        <f t="shared" si="289"/>
        <v>14292</v>
      </c>
      <c r="J3133" s="558"/>
    </row>
    <row r="3134" spans="1:10">
      <c r="A3134" s="504"/>
      <c r="B3134" s="583" t="s">
        <v>1497</v>
      </c>
      <c r="C3134" s="1113">
        <v>1</v>
      </c>
      <c r="D3134" s="1127" t="s">
        <v>15</v>
      </c>
      <c r="E3134" s="557">
        <v>4464</v>
      </c>
      <c r="F3134" s="1117">
        <f t="shared" si="287"/>
        <v>4464</v>
      </c>
      <c r="G3134" s="557">
        <v>650</v>
      </c>
      <c r="H3134" s="1117">
        <f t="shared" si="288"/>
        <v>650</v>
      </c>
      <c r="I3134" s="1117">
        <f t="shared" si="289"/>
        <v>5114</v>
      </c>
      <c r="J3134" s="558"/>
    </row>
    <row r="3135" spans="1:10">
      <c r="A3135" s="504"/>
      <c r="B3135" s="583" t="s">
        <v>1498</v>
      </c>
      <c r="C3135" s="1113">
        <v>1</v>
      </c>
      <c r="D3135" s="1127" t="s">
        <v>15</v>
      </c>
      <c r="E3135" s="557">
        <v>3192</v>
      </c>
      <c r="F3135" s="1117">
        <f t="shared" si="287"/>
        <v>3192</v>
      </c>
      <c r="G3135" s="557">
        <v>650</v>
      </c>
      <c r="H3135" s="1117">
        <f t="shared" si="288"/>
        <v>650</v>
      </c>
      <c r="I3135" s="1117">
        <f t="shared" si="289"/>
        <v>3842</v>
      </c>
      <c r="J3135" s="558"/>
    </row>
    <row r="3136" spans="1:10">
      <c r="A3136" s="504"/>
      <c r="B3136" s="583" t="s">
        <v>1499</v>
      </c>
      <c r="C3136" s="1113">
        <v>1</v>
      </c>
      <c r="D3136" s="1127" t="s">
        <v>15</v>
      </c>
      <c r="E3136" s="557">
        <v>6496</v>
      </c>
      <c r="F3136" s="1117">
        <f t="shared" si="287"/>
        <v>6496</v>
      </c>
      <c r="G3136" s="557">
        <v>650</v>
      </c>
      <c r="H3136" s="1117">
        <f t="shared" si="288"/>
        <v>650</v>
      </c>
      <c r="I3136" s="1117">
        <f t="shared" si="289"/>
        <v>7146</v>
      </c>
      <c r="J3136" s="558"/>
    </row>
    <row r="3137" spans="1:10">
      <c r="A3137" s="504"/>
      <c r="B3137" s="583" t="s">
        <v>1500</v>
      </c>
      <c r="C3137" s="1113">
        <v>1</v>
      </c>
      <c r="D3137" s="1127" t="s">
        <v>15</v>
      </c>
      <c r="E3137" s="557">
        <v>3192</v>
      </c>
      <c r="F3137" s="1117">
        <f t="shared" si="287"/>
        <v>3192</v>
      </c>
      <c r="G3137" s="557">
        <v>650</v>
      </c>
      <c r="H3137" s="1117">
        <f t="shared" si="288"/>
        <v>650</v>
      </c>
      <c r="I3137" s="1117">
        <f t="shared" si="289"/>
        <v>3842</v>
      </c>
      <c r="J3137" s="558"/>
    </row>
    <row r="3138" spans="1:10">
      <c r="A3138" s="504"/>
      <c r="B3138" s="583" t="s">
        <v>1190</v>
      </c>
      <c r="C3138" s="1113"/>
      <c r="D3138" s="1127"/>
      <c r="E3138" s="582"/>
      <c r="F3138" s="1117"/>
      <c r="G3138" s="557"/>
      <c r="H3138" s="1117"/>
      <c r="I3138" s="1117"/>
      <c r="J3138" s="508"/>
    </row>
    <row r="3139" spans="1:10">
      <c r="A3139" s="504"/>
      <c r="B3139" s="583" t="s">
        <v>1033</v>
      </c>
      <c r="C3139" s="1113">
        <v>1</v>
      </c>
      <c r="D3139" s="1127" t="s">
        <v>15</v>
      </c>
      <c r="E3139" s="582">
        <v>3990</v>
      </c>
      <c r="F3139" s="1117">
        <f>E3139*C3139</f>
        <v>3990</v>
      </c>
      <c r="G3139" s="557">
        <v>650</v>
      </c>
      <c r="H3139" s="1125">
        <f>G3139*C3139</f>
        <v>650</v>
      </c>
      <c r="I3139" s="1117">
        <f>F3139+H3139</f>
        <v>4640</v>
      </c>
      <c r="J3139" s="508"/>
    </row>
    <row r="3140" spans="1:10">
      <c r="A3140" s="504"/>
      <c r="B3140" s="583" t="s">
        <v>1189</v>
      </c>
      <c r="C3140" s="1113"/>
      <c r="D3140" s="1127"/>
      <c r="E3140" s="582"/>
      <c r="F3140" s="1117"/>
      <c r="G3140" s="557"/>
      <c r="H3140" s="1117"/>
      <c r="I3140" s="1117"/>
      <c r="J3140" s="508"/>
    </row>
    <row r="3141" spans="1:10">
      <c r="A3141" s="504"/>
      <c r="B3141" s="583" t="s">
        <v>1034</v>
      </c>
      <c r="C3141" s="1113">
        <v>7</v>
      </c>
      <c r="D3141" s="1127" t="s">
        <v>15</v>
      </c>
      <c r="E3141" s="582">
        <v>3990</v>
      </c>
      <c r="F3141" s="1117">
        <f t="shared" ref="F3141:F3150" si="290">E3141*C3141</f>
        <v>27930</v>
      </c>
      <c r="G3141" s="557">
        <v>650</v>
      </c>
      <c r="H3141" s="1117">
        <f t="shared" ref="H3141:H3150" si="291">G3141*C3141</f>
        <v>4550</v>
      </c>
      <c r="I3141" s="1117">
        <f t="shared" ref="I3141:I3150" si="292">H3141+F3141</f>
        <v>32480</v>
      </c>
      <c r="J3141" s="508"/>
    </row>
    <row r="3142" spans="1:10">
      <c r="A3142" s="504"/>
      <c r="B3142" s="583" t="s">
        <v>1035</v>
      </c>
      <c r="C3142" s="1113">
        <v>13</v>
      </c>
      <c r="D3142" s="1127" t="s">
        <v>15</v>
      </c>
      <c r="E3142" s="582">
        <v>3300</v>
      </c>
      <c r="F3142" s="1117">
        <f t="shared" si="290"/>
        <v>42900</v>
      </c>
      <c r="G3142" s="557">
        <v>650</v>
      </c>
      <c r="H3142" s="1117">
        <f t="shared" si="291"/>
        <v>8450</v>
      </c>
      <c r="I3142" s="1117">
        <f t="shared" si="292"/>
        <v>51350</v>
      </c>
      <c r="J3142" s="508"/>
    </row>
    <row r="3143" spans="1:10">
      <c r="A3143" s="504"/>
      <c r="B3143" s="583" t="s">
        <v>1036</v>
      </c>
      <c r="C3143" s="1113">
        <v>2</v>
      </c>
      <c r="D3143" s="1127" t="s">
        <v>15</v>
      </c>
      <c r="E3143" s="582">
        <v>6490</v>
      </c>
      <c r="F3143" s="1117">
        <f t="shared" si="290"/>
        <v>12980</v>
      </c>
      <c r="G3143" s="557">
        <v>650</v>
      </c>
      <c r="H3143" s="1117">
        <f t="shared" si="291"/>
        <v>1300</v>
      </c>
      <c r="I3143" s="1117">
        <f t="shared" si="292"/>
        <v>14280</v>
      </c>
      <c r="J3143" s="508"/>
    </row>
    <row r="3144" spans="1:10">
      <c r="A3144" s="504"/>
      <c r="B3144" s="583" t="s">
        <v>1501</v>
      </c>
      <c r="C3144" s="1113">
        <v>1</v>
      </c>
      <c r="D3144" s="1127" t="s">
        <v>15</v>
      </c>
      <c r="E3144" s="582">
        <v>6496</v>
      </c>
      <c r="F3144" s="1117">
        <f t="shared" si="290"/>
        <v>6496</v>
      </c>
      <c r="G3144" s="557">
        <v>650</v>
      </c>
      <c r="H3144" s="1117">
        <f t="shared" si="291"/>
        <v>650</v>
      </c>
      <c r="I3144" s="1117">
        <f t="shared" si="292"/>
        <v>7146</v>
      </c>
      <c r="J3144" s="508"/>
    </row>
    <row r="3145" spans="1:10">
      <c r="A3145" s="504"/>
      <c r="B3145" s="583" t="s">
        <v>1037</v>
      </c>
      <c r="C3145" s="1113">
        <v>1</v>
      </c>
      <c r="D3145" s="1127" t="s">
        <v>15</v>
      </c>
      <c r="E3145" s="582">
        <v>3300</v>
      </c>
      <c r="F3145" s="1117">
        <f t="shared" si="290"/>
        <v>3300</v>
      </c>
      <c r="G3145" s="557">
        <v>650</v>
      </c>
      <c r="H3145" s="1117">
        <f t="shared" si="291"/>
        <v>650</v>
      </c>
      <c r="I3145" s="1117">
        <f t="shared" si="292"/>
        <v>3950</v>
      </c>
      <c r="J3145" s="508"/>
    </row>
    <row r="3146" spans="1:10">
      <c r="A3146" s="504"/>
      <c r="B3146" s="583" t="s">
        <v>1186</v>
      </c>
      <c r="C3146" s="1113">
        <v>1</v>
      </c>
      <c r="D3146" s="1127" t="s">
        <v>15</v>
      </c>
      <c r="E3146" s="582">
        <v>4464</v>
      </c>
      <c r="F3146" s="1117">
        <f t="shared" si="290"/>
        <v>4464</v>
      </c>
      <c r="G3146" s="557">
        <v>650</v>
      </c>
      <c r="H3146" s="1117">
        <f t="shared" si="291"/>
        <v>650</v>
      </c>
      <c r="I3146" s="1117">
        <f t="shared" si="292"/>
        <v>5114</v>
      </c>
      <c r="J3146" s="558"/>
    </row>
    <row r="3147" spans="1:10">
      <c r="A3147" s="504"/>
      <c r="B3147" s="583" t="s">
        <v>1187</v>
      </c>
      <c r="C3147" s="1113">
        <v>2</v>
      </c>
      <c r="D3147" s="1127" t="s">
        <v>15</v>
      </c>
      <c r="E3147" s="582">
        <v>4464</v>
      </c>
      <c r="F3147" s="1117">
        <f t="shared" si="290"/>
        <v>8928</v>
      </c>
      <c r="G3147" s="557">
        <v>650</v>
      </c>
      <c r="H3147" s="1117">
        <f t="shared" si="291"/>
        <v>1300</v>
      </c>
      <c r="I3147" s="1117">
        <f t="shared" si="292"/>
        <v>10228</v>
      </c>
      <c r="J3147" s="558"/>
    </row>
    <row r="3148" spans="1:10">
      <c r="A3148" s="504"/>
      <c r="B3148" s="583" t="s">
        <v>1038</v>
      </c>
      <c r="C3148" s="1113">
        <v>1</v>
      </c>
      <c r="D3148" s="1127" t="s">
        <v>15</v>
      </c>
      <c r="E3148" s="582">
        <v>6490</v>
      </c>
      <c r="F3148" s="1117">
        <f t="shared" si="290"/>
        <v>6490</v>
      </c>
      <c r="G3148" s="557">
        <v>650</v>
      </c>
      <c r="H3148" s="1117">
        <f t="shared" si="291"/>
        <v>650</v>
      </c>
      <c r="I3148" s="1117">
        <f t="shared" si="292"/>
        <v>7140</v>
      </c>
      <c r="J3148" s="508"/>
    </row>
    <row r="3149" spans="1:10">
      <c r="A3149" s="504"/>
      <c r="B3149" s="583" t="s">
        <v>1039</v>
      </c>
      <c r="C3149" s="1113">
        <v>1</v>
      </c>
      <c r="D3149" s="1127" t="s">
        <v>15</v>
      </c>
      <c r="E3149" s="582">
        <v>6490</v>
      </c>
      <c r="F3149" s="1117">
        <f t="shared" si="290"/>
        <v>6490</v>
      </c>
      <c r="G3149" s="557">
        <v>650</v>
      </c>
      <c r="H3149" s="1117">
        <f t="shared" si="291"/>
        <v>650</v>
      </c>
      <c r="I3149" s="1117">
        <f t="shared" si="292"/>
        <v>7140</v>
      </c>
      <c r="J3149" s="508"/>
    </row>
    <row r="3150" spans="1:10">
      <c r="A3150" s="504"/>
      <c r="B3150" s="583" t="s">
        <v>1040</v>
      </c>
      <c r="C3150" s="1113">
        <v>1</v>
      </c>
      <c r="D3150" s="1127" t="s">
        <v>15</v>
      </c>
      <c r="E3150" s="1144">
        <v>4600</v>
      </c>
      <c r="F3150" s="1117">
        <f t="shared" si="290"/>
        <v>4600</v>
      </c>
      <c r="G3150" s="557">
        <v>650</v>
      </c>
      <c r="H3150" s="1117">
        <f t="shared" si="291"/>
        <v>650</v>
      </c>
      <c r="I3150" s="1117">
        <f t="shared" si="292"/>
        <v>5250</v>
      </c>
      <c r="J3150" s="508"/>
    </row>
    <row r="3151" spans="1:10">
      <c r="A3151" s="504"/>
      <c r="B3151" s="583"/>
      <c r="C3151" s="866"/>
      <c r="D3151" s="532"/>
      <c r="E3151" s="873"/>
      <c r="F3151" s="550"/>
      <c r="G3151" s="557"/>
      <c r="H3151" s="585"/>
      <c r="I3151" s="550"/>
      <c r="J3151" s="508"/>
    </row>
    <row r="3152" spans="1:10">
      <c r="A3152" s="504">
        <v>7.6</v>
      </c>
      <c r="B3152" s="493" t="s">
        <v>1051</v>
      </c>
      <c r="C3152" s="506"/>
      <c r="D3152" s="505"/>
      <c r="E3152" s="1124"/>
      <c r="F3152" s="489"/>
      <c r="G3152" s="507"/>
      <c r="H3152" s="490"/>
      <c r="I3152" s="489"/>
      <c r="J3152" s="508"/>
    </row>
    <row r="3153" spans="1:10">
      <c r="A3153" s="504" t="s">
        <v>1801</v>
      </c>
      <c r="B3153" s="493" t="s">
        <v>1140</v>
      </c>
      <c r="C3153" s="506"/>
      <c r="D3153" s="505"/>
      <c r="E3153" s="1124"/>
      <c r="F3153" s="489"/>
      <c r="G3153" s="507"/>
      <c r="H3153" s="490"/>
      <c r="I3153" s="489"/>
      <c r="J3153" s="508"/>
    </row>
    <row r="3154" spans="1:10">
      <c r="A3154" s="504"/>
      <c r="B3154" s="647" t="s">
        <v>870</v>
      </c>
      <c r="C3154" s="586"/>
      <c r="D3154" s="587"/>
      <c r="E3154" s="1145"/>
      <c r="F3154" s="588"/>
      <c r="G3154" s="589"/>
      <c r="H3154" s="588"/>
      <c r="I3154" s="589"/>
      <c r="J3154" s="508"/>
    </row>
    <row r="3155" spans="1:10">
      <c r="A3155" s="504"/>
      <c r="B3155" s="1146" t="s">
        <v>1041</v>
      </c>
      <c r="C3155" s="1147">
        <v>46</v>
      </c>
      <c r="D3155" s="1148" t="s">
        <v>15</v>
      </c>
      <c r="E3155" s="1149">
        <v>19000</v>
      </c>
      <c r="F3155" s="1149">
        <f t="shared" ref="F3155:F3163" si="293">C3155*E3155</f>
        <v>874000</v>
      </c>
      <c r="G3155" s="1149">
        <v>200</v>
      </c>
      <c r="H3155" s="1149">
        <f t="shared" ref="H3155:H3163" si="294">C3155*G3155</f>
        <v>9200</v>
      </c>
      <c r="I3155" s="1149">
        <f>SUM(F3155+H3155)</f>
        <v>883200</v>
      </c>
      <c r="J3155" s="508"/>
    </row>
    <row r="3156" spans="1:10">
      <c r="A3156" s="504"/>
      <c r="B3156" s="1146" t="s">
        <v>1042</v>
      </c>
      <c r="C3156" s="1147">
        <v>3</v>
      </c>
      <c r="D3156" s="1148" t="s">
        <v>15</v>
      </c>
      <c r="E3156" s="1149">
        <v>19000</v>
      </c>
      <c r="F3156" s="1149">
        <f>C3156*E3156</f>
        <v>57000</v>
      </c>
      <c r="G3156" s="1149">
        <v>200</v>
      </c>
      <c r="H3156" s="1149">
        <f>C3156*G3156</f>
        <v>600</v>
      </c>
      <c r="I3156" s="1149">
        <f>SUM(F3156+H3156)</f>
        <v>57600</v>
      </c>
      <c r="J3156" s="508"/>
    </row>
    <row r="3157" spans="1:10">
      <c r="A3157" s="504"/>
      <c r="B3157" s="1150" t="s">
        <v>1043</v>
      </c>
      <c r="C3157" s="1147">
        <v>1</v>
      </c>
      <c r="D3157" s="1148" t="s">
        <v>15</v>
      </c>
      <c r="E3157" s="1149">
        <v>160000</v>
      </c>
      <c r="F3157" s="1149">
        <f>C3157*E3157</f>
        <v>160000</v>
      </c>
      <c r="G3157" s="1149">
        <v>1500</v>
      </c>
      <c r="H3157" s="1149">
        <f>C3157*G3157</f>
        <v>1500</v>
      </c>
      <c r="I3157" s="1149">
        <f>SUM(F3157+H3157)</f>
        <v>161500</v>
      </c>
      <c r="J3157" s="508"/>
    </row>
    <row r="3158" spans="1:10">
      <c r="A3158" s="504"/>
      <c r="B3158" s="1151" t="s">
        <v>1044</v>
      </c>
      <c r="C3158" s="1147">
        <v>1</v>
      </c>
      <c r="D3158" s="1148" t="s">
        <v>15</v>
      </c>
      <c r="E3158" s="1149">
        <v>350000</v>
      </c>
      <c r="F3158" s="1149">
        <f t="shared" si="293"/>
        <v>350000</v>
      </c>
      <c r="G3158" s="1149">
        <v>50000</v>
      </c>
      <c r="H3158" s="1149">
        <f t="shared" si="294"/>
        <v>50000</v>
      </c>
      <c r="I3158" s="1149">
        <f>SUM(F3158+H3158)</f>
        <v>400000</v>
      </c>
      <c r="J3158" s="508"/>
    </row>
    <row r="3159" spans="1:10">
      <c r="A3159" s="504"/>
      <c r="B3159" s="1151" t="s">
        <v>1045</v>
      </c>
      <c r="C3159" s="1147"/>
      <c r="D3159" s="1148"/>
      <c r="E3159" s="1149"/>
      <c r="F3159" s="1149"/>
      <c r="G3159" s="1149"/>
      <c r="H3159" s="1149"/>
      <c r="I3159" s="1149"/>
      <c r="J3159" s="508"/>
    </row>
    <row r="3160" spans="1:10">
      <c r="A3160" s="504"/>
      <c r="B3160" s="1146" t="s">
        <v>1046</v>
      </c>
      <c r="C3160" s="1147">
        <v>1</v>
      </c>
      <c r="D3160" s="1148" t="s">
        <v>15</v>
      </c>
      <c r="E3160" s="1149">
        <v>120000</v>
      </c>
      <c r="F3160" s="1149">
        <f t="shared" si="293"/>
        <v>120000</v>
      </c>
      <c r="G3160" s="1149">
        <v>1000</v>
      </c>
      <c r="H3160" s="1149">
        <f t="shared" si="294"/>
        <v>1000</v>
      </c>
      <c r="I3160" s="1149">
        <f>SUM(F3160+H3160)</f>
        <v>121000</v>
      </c>
      <c r="J3160" s="508"/>
    </row>
    <row r="3161" spans="1:10">
      <c r="A3161" s="504"/>
      <c r="B3161" s="1146" t="s">
        <v>1047</v>
      </c>
      <c r="C3161" s="1147">
        <v>1</v>
      </c>
      <c r="D3161" s="1148" t="s">
        <v>15</v>
      </c>
      <c r="E3161" s="1149">
        <v>5000</v>
      </c>
      <c r="F3161" s="1149">
        <f t="shared" si="293"/>
        <v>5000</v>
      </c>
      <c r="G3161" s="1149">
        <v>200</v>
      </c>
      <c r="H3161" s="1149">
        <f t="shared" si="294"/>
        <v>200</v>
      </c>
      <c r="I3161" s="1149">
        <f>SUM(F3161+H3161)</f>
        <v>5200</v>
      </c>
      <c r="J3161" s="508"/>
    </row>
    <row r="3162" spans="1:10">
      <c r="A3162" s="496"/>
      <c r="B3162" s="1146" t="s">
        <v>1048</v>
      </c>
      <c r="C3162" s="1147">
        <v>2</v>
      </c>
      <c r="D3162" s="1148" t="s">
        <v>15</v>
      </c>
      <c r="E3162" s="1149">
        <v>23000</v>
      </c>
      <c r="F3162" s="1149">
        <f t="shared" si="293"/>
        <v>46000</v>
      </c>
      <c r="G3162" s="1149">
        <v>800</v>
      </c>
      <c r="H3162" s="1149">
        <f t="shared" si="294"/>
        <v>1600</v>
      </c>
      <c r="I3162" s="1149">
        <f>SUM(F3162+H3162)</f>
        <v>47600</v>
      </c>
      <c r="J3162" s="508"/>
    </row>
    <row r="3163" spans="1:10">
      <c r="A3163" s="496"/>
      <c r="B3163" s="1146" t="s">
        <v>1049</v>
      </c>
      <c r="C3163" s="1147">
        <v>1</v>
      </c>
      <c r="D3163" s="1148" t="s">
        <v>15</v>
      </c>
      <c r="E3163" s="1149">
        <v>26000</v>
      </c>
      <c r="F3163" s="1149">
        <f t="shared" si="293"/>
        <v>26000</v>
      </c>
      <c r="G3163" s="1149">
        <v>1500</v>
      </c>
      <c r="H3163" s="1149">
        <f t="shared" si="294"/>
        <v>1500</v>
      </c>
      <c r="I3163" s="1149">
        <f>SUM(F3163+H3163)</f>
        <v>27500</v>
      </c>
      <c r="J3163" s="508"/>
    </row>
    <row r="3164" spans="1:10">
      <c r="A3164" s="496"/>
      <c r="B3164" s="1150" t="s">
        <v>1050</v>
      </c>
      <c r="C3164" s="1107">
        <v>8</v>
      </c>
      <c r="D3164" s="1148" t="s">
        <v>15</v>
      </c>
      <c r="E3164" s="1149">
        <v>55000</v>
      </c>
      <c r="F3164" s="1072">
        <f>SUM(C3164*E3164)</f>
        <v>440000</v>
      </c>
      <c r="G3164" s="1072">
        <v>1000</v>
      </c>
      <c r="H3164" s="1072">
        <f>SUM(C3164*G3164)</f>
        <v>8000</v>
      </c>
      <c r="I3164" s="1072">
        <f>SUM(F3164+H3164)</f>
        <v>448000</v>
      </c>
      <c r="J3164" s="508"/>
    </row>
    <row r="3165" spans="1:10">
      <c r="A3165" s="496" t="s">
        <v>1802</v>
      </c>
      <c r="B3165" s="493" t="s">
        <v>1169</v>
      </c>
      <c r="C3165" s="506"/>
      <c r="D3165" s="505"/>
      <c r="E3165" s="1124"/>
      <c r="F3165" s="489"/>
      <c r="G3165" s="507"/>
      <c r="H3165" s="490"/>
      <c r="I3165" s="489"/>
      <c r="J3165" s="508"/>
    </row>
    <row r="3166" spans="1:10">
      <c r="A3166" s="496"/>
      <c r="B3166" s="647" t="s">
        <v>870</v>
      </c>
      <c r="C3166" s="586"/>
      <c r="D3166" s="587"/>
      <c r="E3166" s="1145"/>
      <c r="F3166" s="588"/>
      <c r="G3166" s="589"/>
      <c r="H3166" s="588"/>
      <c r="I3166" s="589"/>
      <c r="J3166" s="508"/>
    </row>
    <row r="3167" spans="1:10">
      <c r="A3167" s="496"/>
      <c r="B3167" s="1146" t="s">
        <v>1041</v>
      </c>
      <c r="C3167" s="1152">
        <v>4</v>
      </c>
      <c r="D3167" s="968" t="s">
        <v>15</v>
      </c>
      <c r="E3167" s="673">
        <v>19000</v>
      </c>
      <c r="F3167" s="673">
        <f>C3167*E3167</f>
        <v>76000</v>
      </c>
      <c r="G3167" s="673">
        <v>200</v>
      </c>
      <c r="H3167" s="673">
        <f>C3167*G3167</f>
        <v>800</v>
      </c>
      <c r="I3167" s="673">
        <f>SUM(F3167+H3167)</f>
        <v>76800</v>
      </c>
      <c r="J3167" s="508"/>
    </row>
    <row r="3168" spans="1:10">
      <c r="A3168" s="496" t="s">
        <v>1803</v>
      </c>
      <c r="B3168" s="493" t="s">
        <v>1170</v>
      </c>
      <c r="C3168" s="506"/>
      <c r="D3168" s="505"/>
      <c r="E3168" s="660"/>
      <c r="F3168" s="489"/>
      <c r="G3168" s="507"/>
      <c r="H3168" s="490"/>
      <c r="I3168" s="489"/>
      <c r="J3168" s="508"/>
    </row>
    <row r="3169" spans="1:10">
      <c r="A3169" s="496"/>
      <c r="B3169" s="647" t="s">
        <v>870</v>
      </c>
      <c r="C3169" s="586"/>
      <c r="D3169" s="587"/>
      <c r="E3169" s="1153"/>
      <c r="F3169" s="588"/>
      <c r="G3169" s="589"/>
      <c r="H3169" s="588"/>
      <c r="I3169" s="589"/>
      <c r="J3169" s="508"/>
    </row>
    <row r="3170" spans="1:10">
      <c r="A3170" s="496"/>
      <c r="B3170" s="1146" t="s">
        <v>1041</v>
      </c>
      <c r="C3170" s="1152">
        <v>1</v>
      </c>
      <c r="D3170" s="968" t="s">
        <v>15</v>
      </c>
      <c r="E3170" s="673">
        <v>19000</v>
      </c>
      <c r="F3170" s="673">
        <f>C3170*E3170</f>
        <v>19000</v>
      </c>
      <c r="G3170" s="673">
        <v>200</v>
      </c>
      <c r="H3170" s="673">
        <f>C3170*G3170</f>
        <v>200</v>
      </c>
      <c r="I3170" s="673">
        <f>SUM(F3170+H3170)</f>
        <v>19200</v>
      </c>
      <c r="J3170" s="508"/>
    </row>
    <row r="3171" spans="1:10">
      <c r="A3171" s="496"/>
      <c r="B3171" s="1178"/>
      <c r="C3171" s="671"/>
      <c r="D3171" s="640"/>
      <c r="E3171" s="567"/>
      <c r="F3171" s="605"/>
      <c r="G3171" s="641"/>
      <c r="H3171" s="642"/>
      <c r="I3171" s="605"/>
      <c r="J3171" s="508"/>
    </row>
    <row r="3172" spans="1:10">
      <c r="A3172" s="496">
        <v>7.7</v>
      </c>
      <c r="B3172" s="643" t="s">
        <v>1754</v>
      </c>
      <c r="C3172" s="671"/>
      <c r="D3172" s="640"/>
      <c r="E3172" s="567"/>
      <c r="F3172" s="605"/>
      <c r="G3172" s="641"/>
      <c r="H3172" s="642"/>
      <c r="I3172" s="605"/>
      <c r="J3172" s="508"/>
    </row>
    <row r="3173" spans="1:10">
      <c r="A3173" s="496"/>
      <c r="B3173" s="1047" t="s">
        <v>1380</v>
      </c>
      <c r="C3173" s="1152">
        <v>4</v>
      </c>
      <c r="D3173" s="968" t="s">
        <v>15</v>
      </c>
      <c r="E3173" s="673">
        <v>1200000</v>
      </c>
      <c r="F3173" s="673">
        <f>C3173*E3173</f>
        <v>4800000</v>
      </c>
      <c r="G3173" s="672">
        <v>0</v>
      </c>
      <c r="H3173" s="1125">
        <f>G3173*C3173</f>
        <v>0</v>
      </c>
      <c r="I3173" s="673">
        <f>SUM(F3173+H3173)</f>
        <v>4800000</v>
      </c>
      <c r="J3173" s="508"/>
    </row>
    <row r="3174" spans="1:10">
      <c r="A3174" s="496"/>
      <c r="B3174" s="1047" t="s">
        <v>1381</v>
      </c>
      <c r="C3174" s="1152">
        <v>1</v>
      </c>
      <c r="D3174" s="968" t="s">
        <v>15</v>
      </c>
      <c r="E3174" s="673">
        <v>1260000</v>
      </c>
      <c r="F3174" s="673">
        <f>C3174*E3174</f>
        <v>1260000</v>
      </c>
      <c r="G3174" s="672">
        <v>0</v>
      </c>
      <c r="H3174" s="1125">
        <f>G3174*C3174</f>
        <v>0</v>
      </c>
      <c r="I3174" s="673">
        <f>SUM(F3174+H3174)</f>
        <v>1260000</v>
      </c>
      <c r="J3174" s="508"/>
    </row>
    <row r="3175" spans="1:10">
      <c r="A3175" s="504"/>
      <c r="B3175" s="583"/>
      <c r="C3175" s="683"/>
      <c r="D3175" s="1127"/>
      <c r="E3175" s="865"/>
      <c r="F3175" s="676"/>
      <c r="G3175" s="557"/>
      <c r="H3175" s="676"/>
      <c r="I3175" s="676"/>
      <c r="J3175" s="558"/>
    </row>
    <row r="3176" spans="1:10">
      <c r="A3176" s="832"/>
      <c r="B3176" s="833" t="s">
        <v>61</v>
      </c>
      <c r="C3176" s="834"/>
      <c r="D3176" s="835"/>
      <c r="E3176" s="836"/>
      <c r="F3176" s="837">
        <f>SUM(F2975:F3175)</f>
        <v>22165050</v>
      </c>
      <c r="G3176" s="837"/>
      <c r="H3176" s="837">
        <f>SUM(H2975:H3175)</f>
        <v>588450</v>
      </c>
      <c r="I3176" s="837">
        <f>SUM(I2971:I3175)</f>
        <v>35253500</v>
      </c>
      <c r="J3176" s="837"/>
    </row>
  </sheetData>
  <mergeCells count="40">
    <mergeCell ref="A1:J1"/>
    <mergeCell ref="A7:A8"/>
    <mergeCell ref="B7:B8"/>
    <mergeCell ref="C7:C8"/>
    <mergeCell ref="D7:D8"/>
    <mergeCell ref="E7:F7"/>
    <mergeCell ref="I7:I8"/>
    <mergeCell ref="J7:J8"/>
    <mergeCell ref="A3:D3"/>
    <mergeCell ref="A4:E4"/>
    <mergeCell ref="A5:G5"/>
    <mergeCell ref="H5:J5"/>
    <mergeCell ref="A2:I2"/>
    <mergeCell ref="G401:G406"/>
    <mergeCell ref="H401:H406"/>
    <mergeCell ref="G407:G412"/>
    <mergeCell ref="H407:H412"/>
    <mergeCell ref="G7:H7"/>
    <mergeCell ref="G506:G511"/>
    <mergeCell ref="H506:H511"/>
    <mergeCell ref="G512:G517"/>
    <mergeCell ref="H512:H517"/>
    <mergeCell ref="G603:G608"/>
    <mergeCell ref="H603:H608"/>
    <mergeCell ref="G609:G614"/>
    <mergeCell ref="H609:H614"/>
    <mergeCell ref="G746:G751"/>
    <mergeCell ref="H746:H751"/>
    <mergeCell ref="G975:G980"/>
    <mergeCell ref="H975:H980"/>
    <mergeCell ref="G1206:G1211"/>
    <mergeCell ref="H1206:H1211"/>
    <mergeCell ref="G1212:G1217"/>
    <mergeCell ref="H1212:H1217"/>
    <mergeCell ref="G981:G986"/>
    <mergeCell ref="H981:H986"/>
    <mergeCell ref="G1099:G1104"/>
    <mergeCell ref="H1099:H1104"/>
    <mergeCell ref="G1105:G1110"/>
    <mergeCell ref="H1105:H1110"/>
  </mergeCells>
  <printOptions horizontalCentered="1"/>
  <pageMargins left="0.23622047244094491" right="0.17" top="0.35433070866141736" bottom="0.15748031496062992" header="0.31496062992125984" footer="0.31496062992125984"/>
  <pageSetup paperSize="9" scale="65" orientation="landscape" horizontalDpi="4294967293" verticalDpi="4294967293" r:id="rId1"/>
  <headerFooter>
    <oddHeader>&amp;Rแผ่นที่ &amp;P / 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77"/>
  <sheetViews>
    <sheetView tabSelected="1" zoomScale="80" zoomScaleNormal="80" zoomScaleSheetLayoutView="80" zoomScalePageLayoutView="120" workbookViewId="0">
      <selection activeCell="L145" sqref="L145"/>
    </sheetView>
  </sheetViews>
  <sheetFormatPr defaultColWidth="8.85546875" defaultRowHeight="24"/>
  <cols>
    <col min="1" max="1" width="7.42578125" style="591" customWidth="1"/>
    <col min="2" max="2" width="76" style="591" customWidth="1"/>
    <col min="3" max="3" width="10.85546875" style="1501" bestFit="1" customWidth="1"/>
    <col min="4" max="4" width="7.140625" style="593" bestFit="1" customWidth="1"/>
    <col min="5" max="5" width="16.7109375" style="594" customWidth="1"/>
    <col min="6" max="8" width="16.7109375" style="595" customWidth="1"/>
    <col min="9" max="9" width="17.5703125" style="595" customWidth="1"/>
    <col min="10" max="10" width="13.5703125" style="595" customWidth="1"/>
    <col min="11" max="11" width="12.42578125" style="3" customWidth="1"/>
    <col min="12" max="12" width="27.5703125" style="3" customWidth="1"/>
    <col min="13" max="13" width="16.85546875" style="3" bestFit="1" customWidth="1"/>
    <col min="14" max="14" width="3.5703125" style="3" customWidth="1"/>
    <col min="15" max="15" width="16.85546875" style="3" bestFit="1" customWidth="1"/>
    <col min="16" max="16" width="3.42578125" style="3" customWidth="1"/>
    <col min="17" max="17" width="19.85546875" style="3" customWidth="1"/>
    <col min="18" max="18" width="8.85546875" style="3"/>
    <col min="19" max="19" width="15.7109375" style="3" bestFit="1" customWidth="1"/>
    <col min="20" max="16384" width="8.85546875" style="3"/>
  </cols>
  <sheetData>
    <row r="1" spans="1:10" s="1" customFormat="1" ht="30" customHeight="1">
      <c r="A1" s="1688" t="s">
        <v>2170</v>
      </c>
      <c r="B1" s="1688"/>
      <c r="C1" s="1688"/>
      <c r="D1" s="1688"/>
      <c r="E1" s="1688"/>
      <c r="F1" s="1688"/>
      <c r="G1" s="1688"/>
      <c r="H1" s="1688"/>
      <c r="I1" s="1688"/>
      <c r="J1" s="1688"/>
    </row>
    <row r="2" spans="1:10" s="1" customFormat="1" ht="30" customHeight="1">
      <c r="A2" s="1705" t="s">
        <v>2700</v>
      </c>
      <c r="B2" s="1705"/>
      <c r="C2" s="1705"/>
      <c r="D2" s="1705"/>
      <c r="E2" s="1705"/>
      <c r="F2" s="1705"/>
      <c r="G2" s="1705"/>
      <c r="H2" s="1705"/>
      <c r="I2" s="1705"/>
      <c r="J2" s="1556"/>
    </row>
    <row r="3" spans="1:10" s="1" customFormat="1" ht="24.95" customHeight="1">
      <c r="A3" s="1708" t="s">
        <v>2701</v>
      </c>
      <c r="B3" s="1708"/>
      <c r="C3" s="1708"/>
      <c r="D3" s="1708"/>
      <c r="E3" s="1708"/>
      <c r="F3" s="1557"/>
      <c r="G3" s="1558"/>
      <c r="H3" s="1558" t="s">
        <v>1</v>
      </c>
      <c r="I3" s="1559"/>
      <c r="J3" s="1560"/>
    </row>
    <row r="4" spans="1:10" s="1" customFormat="1" ht="24.95" customHeight="1">
      <c r="A4" s="1709" t="s">
        <v>2704</v>
      </c>
      <c r="B4" s="1709"/>
      <c r="C4" s="1709"/>
      <c r="D4" s="1709"/>
      <c r="E4" s="1561"/>
      <c r="F4" s="1561"/>
      <c r="G4" s="1558"/>
      <c r="H4" s="1558"/>
      <c r="I4" s="1561"/>
      <c r="J4" s="1561"/>
    </row>
    <row r="5" spans="1:10" s="2" customFormat="1" ht="24.95" customHeight="1">
      <c r="A5" s="1706" t="s">
        <v>2702</v>
      </c>
      <c r="B5" s="1706"/>
      <c r="C5" s="1706"/>
      <c r="D5" s="1706"/>
      <c r="E5" s="1706"/>
      <c r="F5" s="1706"/>
      <c r="G5" s="1706"/>
      <c r="H5" s="1707"/>
      <c r="I5" s="1707"/>
      <c r="J5" s="1707"/>
    </row>
    <row r="6" spans="1:10" s="2" customFormat="1" ht="24.95" customHeight="1">
      <c r="A6" s="1239"/>
      <c r="B6" s="1239"/>
      <c r="C6" s="1438"/>
      <c r="D6" s="1239"/>
      <c r="E6" s="1239"/>
      <c r="F6" s="1239"/>
      <c r="G6" s="1239"/>
      <c r="H6" s="871"/>
      <c r="I6" s="871"/>
      <c r="J6" s="871"/>
    </row>
    <row r="7" spans="1:10" s="2" customFormat="1">
      <c r="A7" s="1689" t="s">
        <v>3</v>
      </c>
      <c r="B7" s="1690" t="s">
        <v>4</v>
      </c>
      <c r="C7" s="1704" t="s">
        <v>5</v>
      </c>
      <c r="D7" s="1687" t="s">
        <v>6</v>
      </c>
      <c r="E7" s="1686" t="s">
        <v>7</v>
      </c>
      <c r="F7" s="1687"/>
      <c r="G7" s="1686" t="s">
        <v>8</v>
      </c>
      <c r="H7" s="1687"/>
      <c r="I7" s="1692" t="s">
        <v>9</v>
      </c>
      <c r="J7" s="1694" t="s">
        <v>10</v>
      </c>
    </row>
    <row r="8" spans="1:10" s="2" customFormat="1">
      <c r="A8" s="1689"/>
      <c r="B8" s="1690"/>
      <c r="C8" s="1704"/>
      <c r="D8" s="1687"/>
      <c r="E8" s="1555" t="s">
        <v>11</v>
      </c>
      <c r="F8" s="1554" t="s">
        <v>12</v>
      </c>
      <c r="G8" s="1555" t="s">
        <v>11</v>
      </c>
      <c r="H8" s="1554" t="s">
        <v>12</v>
      </c>
      <c r="I8" s="1693"/>
      <c r="J8" s="1695"/>
    </row>
    <row r="9" spans="1:10" s="2" customFormat="1">
      <c r="A9" s="887"/>
      <c r="B9" s="888" t="s">
        <v>2171</v>
      </c>
      <c r="C9" s="1439"/>
      <c r="D9" s="890"/>
      <c r="E9" s="891"/>
      <c r="F9" s="891"/>
      <c r="G9" s="891"/>
      <c r="H9" s="891"/>
      <c r="I9" s="680"/>
      <c r="J9" s="679"/>
    </row>
    <row r="10" spans="1:10" s="2" customFormat="1">
      <c r="A10" s="678">
        <v>1</v>
      </c>
      <c r="B10" s="485" t="s">
        <v>2179</v>
      </c>
      <c r="C10" s="1440"/>
      <c r="D10" s="486" t="s">
        <v>44</v>
      </c>
      <c r="E10" s="891"/>
      <c r="F10" s="680"/>
      <c r="G10" s="891"/>
      <c r="H10" s="680"/>
      <c r="I10" s="680"/>
      <c r="J10" s="679"/>
    </row>
    <row r="11" spans="1:10" s="2" customFormat="1">
      <c r="A11" s="678">
        <v>2</v>
      </c>
      <c r="B11" s="485" t="s">
        <v>2180</v>
      </c>
      <c r="C11" s="1440"/>
      <c r="D11" s="486" t="s">
        <v>44</v>
      </c>
      <c r="E11" s="891"/>
      <c r="F11" s="680"/>
      <c r="G11" s="891"/>
      <c r="H11" s="680"/>
      <c r="I11" s="680"/>
      <c r="J11" s="679"/>
    </row>
    <row r="12" spans="1:10" s="2" customFormat="1">
      <c r="A12" s="678">
        <v>3</v>
      </c>
      <c r="B12" s="1309" t="s">
        <v>2242</v>
      </c>
      <c r="C12" s="1440"/>
      <c r="D12" s="486" t="s">
        <v>44</v>
      </c>
      <c r="E12" s="891"/>
      <c r="F12" s="680"/>
      <c r="G12" s="891"/>
      <c r="H12" s="680"/>
      <c r="I12" s="680"/>
      <c r="J12" s="679"/>
    </row>
    <row r="13" spans="1:10" s="2" customFormat="1">
      <c r="A13" s="678">
        <v>4</v>
      </c>
      <c r="B13" s="485" t="s">
        <v>2181</v>
      </c>
      <c r="C13" s="1440"/>
      <c r="D13" s="486" t="s">
        <v>44</v>
      </c>
      <c r="E13" s="891"/>
      <c r="F13" s="680"/>
      <c r="G13" s="891"/>
      <c r="H13" s="680"/>
      <c r="I13" s="680"/>
      <c r="J13" s="679"/>
    </row>
    <row r="14" spans="1:10" s="2" customFormat="1">
      <c r="A14" s="678">
        <v>5</v>
      </c>
      <c r="B14" s="485" t="s">
        <v>2182</v>
      </c>
      <c r="C14" s="1440"/>
      <c r="D14" s="486" t="s">
        <v>44</v>
      </c>
      <c r="E14" s="489"/>
      <c r="F14" s="680"/>
      <c r="G14" s="490"/>
      <c r="H14" s="680"/>
      <c r="I14" s="892"/>
      <c r="J14" s="679"/>
    </row>
    <row r="15" spans="1:10" s="2" customFormat="1">
      <c r="A15" s="484">
        <v>6</v>
      </c>
      <c r="B15" s="485" t="s">
        <v>2193</v>
      </c>
      <c r="C15" s="1441"/>
      <c r="D15" s="486" t="s">
        <v>44</v>
      </c>
      <c r="E15" s="487"/>
      <c r="F15" s="488"/>
      <c r="G15" s="487"/>
      <c r="H15" s="488"/>
      <c r="I15" s="488"/>
      <c r="J15" s="679"/>
    </row>
    <row r="16" spans="1:10" s="2" customFormat="1">
      <c r="A16" s="1281">
        <v>7</v>
      </c>
      <c r="B16" s="485" t="s">
        <v>2183</v>
      </c>
      <c r="C16" s="1440"/>
      <c r="D16" s="486" t="s">
        <v>44</v>
      </c>
      <c r="E16" s="489"/>
      <c r="F16" s="680"/>
      <c r="G16" s="490"/>
      <c r="H16" s="1308"/>
      <c r="I16" s="892"/>
      <c r="J16" s="1282"/>
    </row>
    <row r="17" spans="1:17" s="2" customFormat="1">
      <c r="A17" s="1220">
        <v>8</v>
      </c>
      <c r="B17" s="1221" t="s">
        <v>2184</v>
      </c>
      <c r="C17" s="1442"/>
      <c r="D17" s="1222" t="s">
        <v>44</v>
      </c>
      <c r="E17" s="1223"/>
      <c r="F17" s="1224"/>
      <c r="G17" s="1225"/>
      <c r="H17" s="1224"/>
      <c r="I17" s="1226"/>
      <c r="J17" s="1227"/>
    </row>
    <row r="18" spans="1:17" s="2" customFormat="1" ht="30" customHeight="1">
      <c r="A18" s="846"/>
      <c r="B18" s="847" t="s">
        <v>2536</v>
      </c>
      <c r="C18" s="1443"/>
      <c r="D18" s="849"/>
      <c r="E18" s="849"/>
      <c r="F18" s="850"/>
      <c r="G18" s="849"/>
      <c r="H18" s="850"/>
      <c r="I18" s="850"/>
      <c r="J18" s="851"/>
    </row>
    <row r="19" spans="1:17">
      <c r="A19" s="504"/>
      <c r="B19" s="515"/>
      <c r="C19" s="1437"/>
      <c r="D19" s="505"/>
      <c r="E19" s="489"/>
      <c r="F19" s="489"/>
      <c r="G19" s="490"/>
      <c r="H19" s="490"/>
      <c r="I19" s="490"/>
      <c r="J19" s="489"/>
      <c r="K19" s="2"/>
      <c r="L19" s="2"/>
      <c r="M19" s="2"/>
      <c r="N19" s="2"/>
      <c r="O19" s="2"/>
      <c r="P19" s="2"/>
      <c r="Q19" s="2"/>
    </row>
    <row r="20" spans="1:17">
      <c r="A20" s="1330">
        <v>1</v>
      </c>
      <c r="B20" s="1331" t="s">
        <v>2179</v>
      </c>
      <c r="C20" s="1444"/>
      <c r="D20" s="1332"/>
      <c r="E20" s="1333"/>
      <c r="F20" s="1333"/>
      <c r="G20" s="1334"/>
      <c r="H20" s="1335"/>
      <c r="I20" s="1335"/>
      <c r="J20" s="1333"/>
    </row>
    <row r="21" spans="1:17">
      <c r="A21" s="504">
        <v>1.1000000000000001</v>
      </c>
      <c r="B21" s="875" t="s">
        <v>2185</v>
      </c>
      <c r="C21" s="1437"/>
      <c r="D21" s="505"/>
      <c r="E21" s="489"/>
      <c r="F21" s="489"/>
      <c r="G21" s="507"/>
      <c r="H21" s="490"/>
      <c r="I21" s="490"/>
      <c r="J21" s="489"/>
    </row>
    <row r="22" spans="1:17" s="1297" customFormat="1">
      <c r="A22" s="504"/>
      <c r="B22" s="1380" t="s">
        <v>2161</v>
      </c>
      <c r="C22" s="1445"/>
      <c r="D22" s="505" t="s">
        <v>1062</v>
      </c>
      <c r="E22" s="564"/>
      <c r="F22" s="660"/>
      <c r="G22" s="1381"/>
      <c r="H22" s="665"/>
      <c r="I22" s="660"/>
      <c r="J22" s="489"/>
    </row>
    <row r="23" spans="1:17" s="1297" customFormat="1">
      <c r="A23" s="1336">
        <v>1.2</v>
      </c>
      <c r="B23" s="1337" t="s">
        <v>2164</v>
      </c>
      <c r="C23" s="1446"/>
      <c r="D23" s="1382" t="s">
        <v>43</v>
      </c>
      <c r="E23" s="1192"/>
      <c r="F23" s="1192"/>
      <c r="G23" s="1186"/>
      <c r="H23" s="1187"/>
      <c r="I23" s="1187"/>
      <c r="J23" s="660"/>
    </row>
    <row r="24" spans="1:17" s="1297" customFormat="1">
      <c r="A24" s="1336">
        <v>1.3</v>
      </c>
      <c r="B24" s="1337" t="s">
        <v>673</v>
      </c>
      <c r="C24" s="1446"/>
      <c r="D24" s="1382" t="s">
        <v>43</v>
      </c>
      <c r="E24" s="1192"/>
      <c r="F24" s="1192"/>
      <c r="G24" s="1186"/>
      <c r="H24" s="1187"/>
      <c r="I24" s="1187"/>
      <c r="J24" s="660"/>
    </row>
    <row r="25" spans="1:17" s="1297" customFormat="1">
      <c r="A25" s="1336">
        <v>1.4</v>
      </c>
      <c r="B25" s="1337" t="s">
        <v>2269</v>
      </c>
      <c r="C25" s="1446"/>
      <c r="D25" s="1382" t="s">
        <v>43</v>
      </c>
      <c r="E25" s="1124"/>
      <c r="F25" s="1192"/>
      <c r="G25" s="1186"/>
      <c r="H25" s="1187"/>
      <c r="I25" s="1187"/>
      <c r="J25" s="660"/>
    </row>
    <row r="26" spans="1:17" s="1297" customFormat="1">
      <c r="A26" s="1336">
        <v>1.5</v>
      </c>
      <c r="B26" s="1337" t="s">
        <v>678</v>
      </c>
      <c r="C26" s="1446"/>
      <c r="D26" s="1382" t="s">
        <v>43</v>
      </c>
      <c r="E26" s="1192"/>
      <c r="F26" s="1192"/>
      <c r="G26" s="1186"/>
      <c r="H26" s="1187"/>
      <c r="I26" s="1187"/>
      <c r="J26" s="660"/>
    </row>
    <row r="27" spans="1:17" s="1297" customFormat="1">
      <c r="A27" s="504">
        <v>1.6</v>
      </c>
      <c r="B27" s="511" t="s">
        <v>2146</v>
      </c>
      <c r="C27" s="1437"/>
      <c r="D27" s="505"/>
      <c r="E27" s="489"/>
      <c r="F27" s="1185"/>
      <c r="G27" s="1186"/>
      <c r="H27" s="1187"/>
      <c r="I27" s="1187"/>
      <c r="J27" s="489"/>
    </row>
    <row r="28" spans="1:17" s="1297" customFormat="1">
      <c r="A28" s="1336"/>
      <c r="B28" s="1383" t="s">
        <v>2186</v>
      </c>
      <c r="C28" s="1446"/>
      <c r="D28" s="1382" t="s">
        <v>670</v>
      </c>
      <c r="E28" s="1192"/>
      <c r="F28" s="1192"/>
      <c r="G28" s="1186"/>
      <c r="H28" s="1187"/>
      <c r="I28" s="1187"/>
      <c r="J28" s="660"/>
    </row>
    <row r="29" spans="1:17" s="1297" customFormat="1">
      <c r="A29" s="1394"/>
      <c r="B29" s="1383" t="s">
        <v>2653</v>
      </c>
      <c r="C29" s="1446"/>
      <c r="D29" s="1382" t="s">
        <v>670</v>
      </c>
      <c r="E29" s="1192"/>
      <c r="F29" s="1192"/>
      <c r="G29" s="1186"/>
      <c r="H29" s="1187"/>
      <c r="I29" s="1187"/>
      <c r="J29" s="1393"/>
    </row>
    <row r="30" spans="1:17" s="1297" customFormat="1">
      <c r="A30" s="1336"/>
      <c r="B30" s="1383" t="s">
        <v>2187</v>
      </c>
      <c r="C30" s="1446"/>
      <c r="D30" s="1382" t="s">
        <v>670</v>
      </c>
      <c r="E30" s="1192"/>
      <c r="F30" s="1192"/>
      <c r="G30" s="1186"/>
      <c r="H30" s="1187"/>
      <c r="I30" s="1187"/>
      <c r="J30" s="660"/>
    </row>
    <row r="31" spans="1:17" s="1297" customFormat="1">
      <c r="A31" s="1336"/>
      <c r="B31" s="1383" t="s">
        <v>2188</v>
      </c>
      <c r="C31" s="1446"/>
      <c r="D31" s="1382" t="s">
        <v>670</v>
      </c>
      <c r="E31" s="1192"/>
      <c r="F31" s="1192"/>
      <c r="G31" s="1186"/>
      <c r="H31" s="1187"/>
      <c r="I31" s="1187"/>
      <c r="J31" s="660"/>
    </row>
    <row r="32" spans="1:17" s="1297" customFormat="1">
      <c r="A32" s="1336"/>
      <c r="B32" s="1383" t="s">
        <v>2189</v>
      </c>
      <c r="C32" s="1446"/>
      <c r="D32" s="1382" t="s">
        <v>670</v>
      </c>
      <c r="E32" s="1192"/>
      <c r="F32" s="1192"/>
      <c r="G32" s="1186"/>
      <c r="H32" s="1187"/>
      <c r="I32" s="1187"/>
      <c r="J32" s="660"/>
    </row>
    <row r="33" spans="1:13" s="1297" customFormat="1">
      <c r="A33" s="1336">
        <v>1.7</v>
      </c>
      <c r="B33" s="1337" t="s">
        <v>1664</v>
      </c>
      <c r="C33" s="1446"/>
      <c r="D33" s="1382" t="s">
        <v>16</v>
      </c>
      <c r="E33" s="1192"/>
      <c r="F33" s="1192"/>
      <c r="G33" s="1186"/>
      <c r="H33" s="1187"/>
      <c r="I33" s="1187"/>
      <c r="J33" s="660"/>
      <c r="M33" s="1384"/>
    </row>
    <row r="34" spans="1:13" s="1297" customFormat="1">
      <c r="A34" s="1336"/>
      <c r="B34" s="1337" t="s">
        <v>2190</v>
      </c>
      <c r="C34" s="1446"/>
      <c r="D34" s="1382" t="s">
        <v>1665</v>
      </c>
      <c r="E34" s="1192"/>
      <c r="F34" s="1192"/>
      <c r="G34" s="1186"/>
      <c r="H34" s="1187"/>
      <c r="I34" s="1187"/>
      <c r="J34" s="660"/>
    </row>
    <row r="35" spans="1:13" s="1297" customFormat="1">
      <c r="A35" s="1336"/>
      <c r="B35" s="1337" t="s">
        <v>2191</v>
      </c>
      <c r="C35" s="1446"/>
      <c r="D35" s="1382" t="s">
        <v>1665</v>
      </c>
      <c r="E35" s="1192"/>
      <c r="F35" s="1192"/>
      <c r="G35" s="1186"/>
      <c r="H35" s="1187"/>
      <c r="I35" s="1187"/>
      <c r="J35" s="660"/>
    </row>
    <row r="36" spans="1:13" s="1297" customFormat="1">
      <c r="A36" s="1336"/>
      <c r="B36" s="1337" t="s">
        <v>2192</v>
      </c>
      <c r="C36" s="1446"/>
      <c r="D36" s="1382" t="s">
        <v>19</v>
      </c>
      <c r="E36" s="1192"/>
      <c r="F36" s="1192"/>
      <c r="G36" s="1186"/>
      <c r="H36" s="1187"/>
      <c r="I36" s="1187"/>
      <c r="J36" s="660"/>
    </row>
    <row r="37" spans="1:13" s="1297" customFormat="1">
      <c r="A37" s="1336">
        <v>1.8</v>
      </c>
      <c r="B37" s="1337" t="s">
        <v>2194</v>
      </c>
      <c r="C37" s="1446"/>
      <c r="D37" s="1382"/>
      <c r="E37" s="1192"/>
      <c r="F37" s="1192"/>
      <c r="G37" s="1186"/>
      <c r="H37" s="1187"/>
      <c r="I37" s="1187"/>
      <c r="J37" s="660"/>
    </row>
    <row r="38" spans="1:13" s="1297" customFormat="1">
      <c r="A38" s="1242"/>
      <c r="B38" s="1337" t="s">
        <v>2226</v>
      </c>
      <c r="C38" s="1447"/>
      <c r="D38" s="1379"/>
      <c r="E38" s="1251"/>
      <c r="F38" s="1251"/>
      <c r="G38" s="1284"/>
      <c r="H38" s="1234"/>
      <c r="I38" s="1234"/>
      <c r="J38" s="1251"/>
    </row>
    <row r="39" spans="1:13" s="1297" customFormat="1">
      <c r="A39" s="1123"/>
      <c r="B39" s="1385" t="s">
        <v>2224</v>
      </c>
      <c r="C39" s="1448"/>
      <c r="D39" s="1382" t="s">
        <v>19</v>
      </c>
      <c r="E39" s="1124"/>
      <c r="F39" s="1124"/>
      <c r="G39" s="1186"/>
      <c r="H39" s="1187"/>
      <c r="I39" s="1187"/>
      <c r="J39" s="660"/>
    </row>
    <row r="40" spans="1:13" s="1297" customFormat="1">
      <c r="A40" s="1336"/>
      <c r="B40" s="1385" t="s">
        <v>2172</v>
      </c>
      <c r="C40" s="1448"/>
      <c r="D40" s="1382" t="s">
        <v>19</v>
      </c>
      <c r="E40" s="1124"/>
      <c r="F40" s="1124"/>
      <c r="G40" s="1186"/>
      <c r="H40" s="1187"/>
      <c r="I40" s="1187"/>
      <c r="J40" s="660"/>
    </row>
    <row r="41" spans="1:13" s="1297" customFormat="1">
      <c r="A41" s="1123"/>
      <c r="B41" s="1386" t="s">
        <v>2221</v>
      </c>
      <c r="C41" s="1448"/>
      <c r="D41" s="1382" t="s">
        <v>19</v>
      </c>
      <c r="E41" s="1124"/>
      <c r="F41" s="1124"/>
      <c r="G41" s="1186"/>
      <c r="H41" s="1187"/>
      <c r="I41" s="1187"/>
      <c r="J41" s="660"/>
    </row>
    <row r="42" spans="1:13" s="1297" customFormat="1">
      <c r="A42" s="1123"/>
      <c r="B42" s="1386" t="s">
        <v>2222</v>
      </c>
      <c r="C42" s="1448"/>
      <c r="D42" s="1382" t="s">
        <v>19</v>
      </c>
      <c r="E42" s="1124"/>
      <c r="F42" s="1124"/>
      <c r="G42" s="1186"/>
      <c r="H42" s="1187"/>
      <c r="I42" s="1187"/>
      <c r="J42" s="660"/>
    </row>
    <row r="43" spans="1:13" s="1297" customFormat="1">
      <c r="A43" s="1123"/>
      <c r="B43" s="1386" t="s">
        <v>2223</v>
      </c>
      <c r="C43" s="1448"/>
      <c r="D43" s="1382" t="s">
        <v>19</v>
      </c>
      <c r="E43" s="1124"/>
      <c r="F43" s="1124"/>
      <c r="G43" s="1186"/>
      <c r="H43" s="1187"/>
      <c r="I43" s="1187"/>
      <c r="J43" s="660"/>
    </row>
    <row r="44" spans="1:13" s="1297" customFormat="1">
      <c r="A44" s="1242"/>
      <c r="B44" s="1338" t="s">
        <v>2227</v>
      </c>
      <c r="C44" s="1447"/>
      <c r="D44" s="1379"/>
      <c r="E44" s="1379"/>
      <c r="F44" s="1379"/>
      <c r="G44" s="1379"/>
      <c r="H44" s="1379"/>
      <c r="I44" s="1234"/>
      <c r="J44" s="1251"/>
    </row>
    <row r="45" spans="1:13" s="1297" customFormat="1">
      <c r="A45" s="1123"/>
      <c r="B45" s="1385" t="s">
        <v>2173</v>
      </c>
      <c r="C45" s="1448"/>
      <c r="D45" s="1382" t="s">
        <v>19</v>
      </c>
      <c r="E45" s="1124"/>
      <c r="F45" s="1124"/>
      <c r="G45" s="1186"/>
      <c r="H45" s="1187"/>
      <c r="I45" s="1187"/>
      <c r="J45" s="660"/>
    </row>
    <row r="46" spans="1:13" s="1297" customFormat="1">
      <c r="A46" s="1123"/>
      <c r="B46" s="1385" t="s">
        <v>2174</v>
      </c>
      <c r="C46" s="1448"/>
      <c r="D46" s="1382" t="s">
        <v>19</v>
      </c>
      <c r="E46" s="1124"/>
      <c r="F46" s="1124"/>
      <c r="G46" s="1186"/>
      <c r="H46" s="1187"/>
      <c r="I46" s="1187"/>
      <c r="J46" s="660"/>
    </row>
    <row r="47" spans="1:13" s="1297" customFormat="1">
      <c r="A47" s="1123"/>
      <c r="B47" s="1385" t="s">
        <v>2175</v>
      </c>
      <c r="C47" s="1448"/>
      <c r="D47" s="1382" t="s">
        <v>19</v>
      </c>
      <c r="E47" s="1124"/>
      <c r="F47" s="1124"/>
      <c r="G47" s="1186"/>
      <c r="H47" s="1187"/>
      <c r="I47" s="1187"/>
      <c r="J47" s="660"/>
    </row>
    <row r="48" spans="1:13" s="1297" customFormat="1">
      <c r="A48" s="1123"/>
      <c r="B48" s="1385" t="s">
        <v>2176</v>
      </c>
      <c r="C48" s="1448"/>
      <c r="D48" s="1382" t="s">
        <v>19</v>
      </c>
      <c r="E48" s="1124"/>
      <c r="F48" s="1124"/>
      <c r="G48" s="1186"/>
      <c r="H48" s="1187"/>
      <c r="I48" s="1187"/>
      <c r="J48" s="660"/>
    </row>
    <row r="49" spans="1:10" s="1297" customFormat="1">
      <c r="A49" s="1123"/>
      <c r="B49" s="1385" t="s">
        <v>2177</v>
      </c>
      <c r="C49" s="1448"/>
      <c r="D49" s="1382" t="s">
        <v>19</v>
      </c>
      <c r="E49" s="1124"/>
      <c r="F49" s="1124"/>
      <c r="G49" s="1186"/>
      <c r="H49" s="1187"/>
      <c r="I49" s="1187"/>
      <c r="J49" s="660"/>
    </row>
    <row r="50" spans="1:10" s="1297" customFormat="1">
      <c r="A50" s="1123"/>
      <c r="B50" s="1387" t="s">
        <v>2178</v>
      </c>
      <c r="C50" s="1448"/>
      <c r="D50" s="1382" t="s">
        <v>19</v>
      </c>
      <c r="E50" s="1124"/>
      <c r="F50" s="1124"/>
      <c r="G50" s="1186"/>
      <c r="H50" s="1187"/>
      <c r="I50" s="1187"/>
      <c r="J50" s="660"/>
    </row>
    <row r="51" spans="1:10" s="1297" customFormat="1">
      <c r="A51" s="1123"/>
      <c r="B51" s="1388" t="s">
        <v>680</v>
      </c>
      <c r="C51" s="1448"/>
      <c r="D51" s="1382" t="s">
        <v>19</v>
      </c>
      <c r="E51" s="1124"/>
      <c r="F51" s="1124"/>
      <c r="G51" s="1186"/>
      <c r="H51" s="1187"/>
      <c r="I51" s="1187"/>
      <c r="J51" s="660"/>
    </row>
    <row r="52" spans="1:10" s="1297" customFormat="1">
      <c r="A52" s="1242">
        <v>1.9</v>
      </c>
      <c r="B52" s="1338" t="s">
        <v>2195</v>
      </c>
      <c r="C52" s="1447"/>
      <c r="D52" s="1379"/>
      <c r="E52" s="1379"/>
      <c r="F52" s="1379"/>
      <c r="G52" s="1379"/>
      <c r="H52" s="1379"/>
      <c r="I52" s="1234"/>
      <c r="J52" s="1251"/>
    </row>
    <row r="53" spans="1:10" s="1297" customFormat="1">
      <c r="A53" s="1123"/>
      <c r="B53" s="1337" t="s">
        <v>2228</v>
      </c>
      <c r="C53" s="1448"/>
      <c r="D53" s="1382" t="s">
        <v>43</v>
      </c>
      <c r="E53" s="1124"/>
      <c r="F53" s="1124"/>
      <c r="G53" s="1186"/>
      <c r="H53" s="1187"/>
      <c r="I53" s="1187"/>
      <c r="J53" s="660"/>
    </row>
    <row r="54" spans="1:10" s="1297" customFormat="1">
      <c r="A54" s="1336"/>
      <c r="B54" s="1337" t="s">
        <v>2229</v>
      </c>
      <c r="C54" s="1446"/>
      <c r="D54" s="1382" t="s">
        <v>43</v>
      </c>
      <c r="E54" s="1192"/>
      <c r="F54" s="1192"/>
      <c r="G54" s="1186"/>
      <c r="H54" s="1187"/>
      <c r="I54" s="1187"/>
      <c r="J54" s="660"/>
    </row>
    <row r="55" spans="1:10" s="1297" customFormat="1">
      <c r="A55" s="1123"/>
      <c r="B55" s="1337" t="s">
        <v>2230</v>
      </c>
      <c r="C55" s="1448"/>
      <c r="D55" s="1382" t="s">
        <v>43</v>
      </c>
      <c r="E55" s="1124"/>
      <c r="F55" s="1124"/>
      <c r="G55" s="1186"/>
      <c r="H55" s="1187"/>
      <c r="I55" s="1187"/>
      <c r="J55" s="660"/>
    </row>
    <row r="56" spans="1:10" s="1297" customFormat="1">
      <c r="A56" s="1389">
        <v>1.1000000000000001</v>
      </c>
      <c r="B56" s="1386" t="s">
        <v>2207</v>
      </c>
      <c r="C56" s="1448"/>
      <c r="D56" s="1382" t="s">
        <v>14</v>
      </c>
      <c r="E56" s="1124"/>
      <c r="F56" s="1124"/>
      <c r="G56" s="1186"/>
      <c r="H56" s="1187"/>
      <c r="I56" s="1187"/>
      <c r="J56" s="660"/>
    </row>
    <row r="57" spans="1:10" s="1297" customFormat="1">
      <c r="A57" s="1389">
        <v>1.1100000000000001</v>
      </c>
      <c r="B57" s="1386" t="s">
        <v>1674</v>
      </c>
      <c r="C57" s="1448"/>
      <c r="D57" s="1382" t="s">
        <v>16</v>
      </c>
      <c r="E57" s="1124"/>
      <c r="F57" s="1124"/>
      <c r="G57" s="1186"/>
      <c r="H57" s="1187"/>
      <c r="I57" s="1187"/>
      <c r="J57" s="660"/>
    </row>
    <row r="58" spans="1:10" s="1297" customFormat="1">
      <c r="A58" s="1389">
        <v>1.1200000000000001</v>
      </c>
      <c r="B58" s="1386" t="s">
        <v>1675</v>
      </c>
      <c r="C58" s="1448"/>
      <c r="D58" s="1382" t="s">
        <v>16</v>
      </c>
      <c r="E58" s="1124"/>
      <c r="F58" s="1124"/>
      <c r="G58" s="1186"/>
      <c r="H58" s="1187"/>
      <c r="I58" s="1187"/>
      <c r="J58" s="660"/>
    </row>
    <row r="59" spans="1:10" s="1297" customFormat="1">
      <c r="A59" s="1389">
        <v>1.1299999999999999</v>
      </c>
      <c r="B59" s="1337" t="s">
        <v>2196</v>
      </c>
      <c r="C59" s="1448"/>
      <c r="D59" s="1390" t="s">
        <v>16</v>
      </c>
      <c r="E59" s="1124"/>
      <c r="F59" s="1124"/>
      <c r="G59" s="1186"/>
      <c r="H59" s="1187"/>
      <c r="I59" s="1187"/>
      <c r="J59" s="660"/>
    </row>
    <row r="60" spans="1:10" s="1297" customFormat="1">
      <c r="A60" s="1389">
        <v>1.1399999999999999</v>
      </c>
      <c r="B60" s="1391" t="s">
        <v>2197</v>
      </c>
      <c r="C60" s="1448"/>
      <c r="D60" s="1382"/>
      <c r="E60" s="1124"/>
      <c r="F60" s="1124"/>
      <c r="G60" s="1186"/>
      <c r="H60" s="1187"/>
      <c r="I60" s="1187"/>
      <c r="J60" s="660"/>
    </row>
    <row r="61" spans="1:10" s="1297" customFormat="1">
      <c r="A61" s="1123"/>
      <c r="B61" s="1386" t="s">
        <v>2219</v>
      </c>
      <c r="C61" s="1448"/>
      <c r="D61" s="1382" t="s">
        <v>19</v>
      </c>
      <c r="E61" s="1124"/>
      <c r="F61" s="1124"/>
      <c r="G61" s="1186"/>
      <c r="H61" s="1187"/>
      <c r="I61" s="1187"/>
      <c r="J61" s="660"/>
    </row>
    <row r="62" spans="1:10" s="1297" customFormat="1">
      <c r="A62" s="1123"/>
      <c r="B62" s="1386" t="s">
        <v>2198</v>
      </c>
      <c r="C62" s="1448"/>
      <c r="D62" s="1382" t="s">
        <v>19</v>
      </c>
      <c r="E62" s="1124"/>
      <c r="F62" s="1124"/>
      <c r="G62" s="1186"/>
      <c r="H62" s="1187"/>
      <c r="I62" s="1187"/>
      <c r="J62" s="660"/>
    </row>
    <row r="63" spans="1:10" s="1297" customFormat="1">
      <c r="A63" s="1123"/>
      <c r="B63" s="1386" t="s">
        <v>2209</v>
      </c>
      <c r="C63" s="1448"/>
      <c r="D63" s="1382" t="s">
        <v>19</v>
      </c>
      <c r="E63" s="1124"/>
      <c r="F63" s="1124"/>
      <c r="G63" s="1186"/>
      <c r="H63" s="1187"/>
      <c r="I63" s="1187"/>
      <c r="J63" s="660"/>
    </row>
    <row r="64" spans="1:10" s="1297" customFormat="1">
      <c r="A64" s="1123"/>
      <c r="B64" s="1386" t="s">
        <v>2200</v>
      </c>
      <c r="C64" s="1448"/>
      <c r="D64" s="1382" t="s">
        <v>19</v>
      </c>
      <c r="E64" s="1124"/>
      <c r="F64" s="1124"/>
      <c r="G64" s="1186"/>
      <c r="H64" s="1187"/>
      <c r="I64" s="1187"/>
      <c r="J64" s="660"/>
    </row>
    <row r="65" spans="1:10" s="1297" customFormat="1">
      <c r="A65" s="1123"/>
      <c r="B65" s="1386" t="s">
        <v>2208</v>
      </c>
      <c r="C65" s="1448"/>
      <c r="D65" s="1382" t="s">
        <v>19</v>
      </c>
      <c r="E65" s="1124"/>
      <c r="F65" s="1124"/>
      <c r="G65" s="1186"/>
      <c r="H65" s="1187"/>
      <c r="I65" s="1187"/>
      <c r="J65" s="660"/>
    </row>
    <row r="66" spans="1:10" s="1297" customFormat="1">
      <c r="A66" s="1123"/>
      <c r="B66" s="1386" t="s">
        <v>2201</v>
      </c>
      <c r="C66" s="1448"/>
      <c r="D66" s="1382" t="s">
        <v>19</v>
      </c>
      <c r="E66" s="1124"/>
      <c r="F66" s="1124"/>
      <c r="G66" s="1186"/>
      <c r="H66" s="1187"/>
      <c r="I66" s="1187"/>
      <c r="J66" s="660"/>
    </row>
    <row r="67" spans="1:10" s="1297" customFormat="1">
      <c r="A67" s="1123"/>
      <c r="B67" s="1386" t="s">
        <v>2211</v>
      </c>
      <c r="C67" s="1448"/>
      <c r="D67" s="1382" t="s">
        <v>19</v>
      </c>
      <c r="E67" s="1124"/>
      <c r="F67" s="1124"/>
      <c r="G67" s="1186"/>
      <c r="H67" s="1187"/>
      <c r="I67" s="1187"/>
      <c r="J67" s="660"/>
    </row>
    <row r="68" spans="1:10" s="1297" customFormat="1">
      <c r="A68" s="1123"/>
      <c r="B68" s="1392" t="s">
        <v>2220</v>
      </c>
      <c r="C68" s="1448"/>
      <c r="D68" s="1382" t="s">
        <v>19</v>
      </c>
      <c r="E68" s="1124"/>
      <c r="F68" s="1124"/>
      <c r="G68" s="1186"/>
      <c r="H68" s="1187"/>
      <c r="I68" s="1187"/>
      <c r="J68" s="660"/>
    </row>
    <row r="69" spans="1:10" s="1297" customFormat="1">
      <c r="A69" s="1123"/>
      <c r="B69" s="1386" t="s">
        <v>2199</v>
      </c>
      <c r="C69" s="1448"/>
      <c r="D69" s="1382" t="s">
        <v>19</v>
      </c>
      <c r="E69" s="1124"/>
      <c r="F69" s="1124"/>
      <c r="G69" s="1186"/>
      <c r="H69" s="1187"/>
      <c r="I69" s="1187"/>
      <c r="J69" s="660"/>
    </row>
    <row r="70" spans="1:10" s="1297" customFormat="1">
      <c r="A70" s="1123"/>
      <c r="B70" s="1386" t="s">
        <v>2218</v>
      </c>
      <c r="C70" s="1448"/>
      <c r="D70" s="1382" t="s">
        <v>19</v>
      </c>
      <c r="E70" s="1124"/>
      <c r="F70" s="1124"/>
      <c r="G70" s="1186"/>
      <c r="H70" s="1187"/>
      <c r="I70" s="1187"/>
      <c r="J70" s="660"/>
    </row>
    <row r="71" spans="1:10" s="1297" customFormat="1">
      <c r="A71" s="1123"/>
      <c r="B71" s="1386" t="s">
        <v>2210</v>
      </c>
      <c r="C71" s="1448"/>
      <c r="D71" s="1382" t="s">
        <v>19</v>
      </c>
      <c r="E71" s="1124"/>
      <c r="F71" s="1124"/>
      <c r="G71" s="1186"/>
      <c r="H71" s="1187"/>
      <c r="I71" s="1187"/>
      <c r="J71" s="660"/>
    </row>
    <row r="72" spans="1:10" s="1297" customFormat="1">
      <c r="A72" s="1123"/>
      <c r="B72" s="1386" t="s">
        <v>2202</v>
      </c>
      <c r="C72" s="1448"/>
      <c r="D72" s="1382" t="s">
        <v>19</v>
      </c>
      <c r="E72" s="1124"/>
      <c r="F72" s="1124"/>
      <c r="G72" s="1186"/>
      <c r="H72" s="1187"/>
      <c r="I72" s="1187"/>
      <c r="J72" s="660"/>
    </row>
    <row r="73" spans="1:10" s="1297" customFormat="1">
      <c r="A73" s="1123"/>
      <c r="B73" s="1386" t="s">
        <v>2216</v>
      </c>
      <c r="C73" s="1448"/>
      <c r="D73" s="1382" t="s">
        <v>19</v>
      </c>
      <c r="E73" s="1124"/>
      <c r="F73" s="1124"/>
      <c r="G73" s="1186"/>
      <c r="H73" s="1187"/>
      <c r="I73" s="1187"/>
      <c r="J73" s="660"/>
    </row>
    <row r="74" spans="1:10" s="1297" customFormat="1">
      <c r="A74" s="1123"/>
      <c r="B74" s="1386" t="s">
        <v>2217</v>
      </c>
      <c r="C74" s="1448"/>
      <c r="D74" s="1382" t="s">
        <v>19</v>
      </c>
      <c r="E74" s="1124"/>
      <c r="F74" s="1124"/>
      <c r="G74" s="1186"/>
      <c r="H74" s="1187"/>
      <c r="I74" s="1187"/>
      <c r="J74" s="660"/>
    </row>
    <row r="75" spans="1:10" s="1297" customFormat="1">
      <c r="A75" s="1123"/>
      <c r="B75" s="1386" t="s">
        <v>2203</v>
      </c>
      <c r="C75" s="1448"/>
      <c r="D75" s="1382" t="s">
        <v>19</v>
      </c>
      <c r="E75" s="1124"/>
      <c r="F75" s="1124"/>
      <c r="G75" s="1186"/>
      <c r="H75" s="1187"/>
      <c r="I75" s="1187"/>
      <c r="J75" s="660"/>
    </row>
    <row r="76" spans="1:10" s="1297" customFormat="1">
      <c r="A76" s="1123"/>
      <c r="B76" s="1386" t="s">
        <v>2212</v>
      </c>
      <c r="C76" s="1448"/>
      <c r="D76" s="1382" t="s">
        <v>19</v>
      </c>
      <c r="E76" s="1124"/>
      <c r="F76" s="1124"/>
      <c r="G76" s="1186"/>
      <c r="H76" s="1187"/>
      <c r="I76" s="1187"/>
      <c r="J76" s="660"/>
    </row>
    <row r="77" spans="1:10" s="1297" customFormat="1">
      <c r="A77" s="1123"/>
      <c r="B77" s="1386" t="s">
        <v>2213</v>
      </c>
      <c r="C77" s="1448"/>
      <c r="D77" s="1382" t="s">
        <v>19</v>
      </c>
      <c r="E77" s="1124"/>
      <c r="F77" s="1124"/>
      <c r="G77" s="1186"/>
      <c r="H77" s="1187"/>
      <c r="I77" s="1187"/>
      <c r="J77" s="660"/>
    </row>
    <row r="78" spans="1:10" s="1297" customFormat="1">
      <c r="A78" s="1123"/>
      <c r="B78" s="1386" t="s">
        <v>2215</v>
      </c>
      <c r="C78" s="1448"/>
      <c r="D78" s="1382" t="s">
        <v>19</v>
      </c>
      <c r="E78" s="1124"/>
      <c r="F78" s="1124"/>
      <c r="G78" s="1186"/>
      <c r="H78" s="1187"/>
      <c r="I78" s="1187"/>
      <c r="J78" s="660"/>
    </row>
    <row r="79" spans="1:10" s="1297" customFormat="1">
      <c r="A79" s="1123"/>
      <c r="B79" s="1386" t="s">
        <v>2204</v>
      </c>
      <c r="C79" s="1448"/>
      <c r="D79" s="1382" t="s">
        <v>15</v>
      </c>
      <c r="E79" s="1124"/>
      <c r="F79" s="1124"/>
      <c r="G79" s="1186"/>
      <c r="H79" s="1187"/>
      <c r="I79" s="1187"/>
      <c r="J79" s="660"/>
    </row>
    <row r="80" spans="1:10" s="1297" customFormat="1">
      <c r="A80" s="1123"/>
      <c r="B80" s="1387" t="s">
        <v>2214</v>
      </c>
      <c r="C80" s="1448"/>
      <c r="D80" s="1382" t="s">
        <v>15</v>
      </c>
      <c r="E80" s="1124"/>
      <c r="F80" s="1124"/>
      <c r="G80" s="1186"/>
      <c r="H80" s="1187"/>
      <c r="I80" s="1187"/>
      <c r="J80" s="660"/>
    </row>
    <row r="81" spans="1:12" s="1297" customFormat="1">
      <c r="A81" s="1123"/>
      <c r="B81" s="1386" t="s">
        <v>2205</v>
      </c>
      <c r="C81" s="1448"/>
      <c r="D81" s="1382" t="s">
        <v>16</v>
      </c>
      <c r="E81" s="1124"/>
      <c r="F81" s="1124"/>
      <c r="G81" s="1186"/>
      <c r="H81" s="1187"/>
      <c r="I81" s="1187"/>
      <c r="J81" s="660"/>
    </row>
    <row r="82" spans="1:12" s="1297" customFormat="1">
      <c r="A82" s="1123"/>
      <c r="B82" s="1386" t="s">
        <v>2206</v>
      </c>
      <c r="C82" s="1448"/>
      <c r="D82" s="1382" t="s">
        <v>16</v>
      </c>
      <c r="E82" s="1124"/>
      <c r="F82" s="1124"/>
      <c r="G82" s="1186"/>
      <c r="H82" s="1187"/>
      <c r="I82" s="1187"/>
      <c r="J82" s="660"/>
    </row>
    <row r="83" spans="1:12" s="5" customFormat="1">
      <c r="A83" s="832"/>
      <c r="B83" s="844" t="s">
        <v>2225</v>
      </c>
      <c r="C83" s="1449"/>
      <c r="D83" s="845"/>
      <c r="E83" s="837"/>
      <c r="F83" s="837"/>
      <c r="G83" s="837"/>
      <c r="H83" s="837"/>
      <c r="I83" s="837"/>
      <c r="J83" s="837"/>
      <c r="L83" s="1217"/>
    </row>
    <row r="84" spans="1:12" s="5" customFormat="1">
      <c r="A84" s="1180"/>
      <c r="B84" s="1286"/>
      <c r="C84" s="1450"/>
      <c r="D84" s="792"/>
      <c r="E84" s="1219"/>
      <c r="F84" s="1219"/>
      <c r="G84" s="1287"/>
      <c r="H84" s="1288"/>
      <c r="I84" s="1288"/>
      <c r="J84" s="1219"/>
    </row>
    <row r="85" spans="1:12">
      <c r="A85" s="1322">
        <v>2</v>
      </c>
      <c r="B85" s="1325" t="s">
        <v>2180</v>
      </c>
      <c r="C85" s="1451"/>
      <c r="D85" s="1332"/>
      <c r="E85" s="1333"/>
      <c r="F85" s="1324"/>
      <c r="G85" s="1327"/>
      <c r="H85" s="1339"/>
      <c r="I85" s="1339"/>
      <c r="J85" s="1333"/>
    </row>
    <row r="86" spans="1:12" s="1297" customFormat="1">
      <c r="A86" s="661">
        <v>2.1</v>
      </c>
      <c r="B86" s="919" t="s">
        <v>29</v>
      </c>
      <c r="C86" s="1437"/>
      <c r="D86" s="505"/>
      <c r="E86" s="489"/>
      <c r="F86" s="660"/>
      <c r="G86" s="672"/>
      <c r="H86" s="665"/>
      <c r="I86" s="665"/>
      <c r="J86" s="489"/>
    </row>
    <row r="87" spans="1:12" s="1297" customFormat="1">
      <c r="A87" s="661"/>
      <c r="B87" s="863" t="s">
        <v>430</v>
      </c>
      <c r="C87" s="1437"/>
      <c r="D87" s="505" t="s">
        <v>16</v>
      </c>
      <c r="E87" s="489"/>
      <c r="F87" s="660"/>
      <c r="G87" s="672"/>
      <c r="H87" s="665"/>
      <c r="I87" s="665"/>
      <c r="J87" s="489"/>
    </row>
    <row r="88" spans="1:12" s="1297" customFormat="1">
      <c r="A88" s="661"/>
      <c r="B88" s="863" t="s">
        <v>1786</v>
      </c>
      <c r="C88" s="1437"/>
      <c r="D88" s="505" t="s">
        <v>16</v>
      </c>
      <c r="E88" s="489"/>
      <c r="F88" s="660"/>
      <c r="G88" s="672"/>
      <c r="H88" s="665"/>
      <c r="I88" s="665"/>
      <c r="J88" s="489"/>
    </row>
    <row r="89" spans="1:12" s="1297" customFormat="1">
      <c r="A89" s="661"/>
      <c r="B89" s="863" t="s">
        <v>1788</v>
      </c>
      <c r="C89" s="1437"/>
      <c r="D89" s="505" t="s">
        <v>16</v>
      </c>
      <c r="E89" s="489"/>
      <c r="F89" s="660"/>
      <c r="G89" s="672"/>
      <c r="H89" s="665"/>
      <c r="I89" s="665"/>
      <c r="J89" s="489"/>
    </row>
    <row r="90" spans="1:12" s="1297" customFormat="1">
      <c r="A90" s="661"/>
      <c r="B90" s="863" t="s">
        <v>1787</v>
      </c>
      <c r="C90" s="1437"/>
      <c r="D90" s="505" t="s">
        <v>16</v>
      </c>
      <c r="E90" s="489"/>
      <c r="F90" s="660"/>
      <c r="G90" s="672"/>
      <c r="H90" s="665"/>
      <c r="I90" s="665"/>
      <c r="J90" s="489"/>
    </row>
    <row r="91" spans="1:12" s="1297" customFormat="1">
      <c r="A91" s="661"/>
      <c r="B91" s="863" t="s">
        <v>431</v>
      </c>
      <c r="C91" s="1437"/>
      <c r="D91" s="532" t="s">
        <v>16</v>
      </c>
      <c r="E91" s="489"/>
      <c r="F91" s="683"/>
      <c r="G91" s="672"/>
      <c r="H91" s="684"/>
      <c r="I91" s="684"/>
      <c r="J91" s="489"/>
    </row>
    <row r="92" spans="1:12" s="1297" customFormat="1">
      <c r="A92" s="661"/>
      <c r="B92" s="863" t="s">
        <v>1424</v>
      </c>
      <c r="C92" s="1437"/>
      <c r="D92" s="505" t="s">
        <v>16</v>
      </c>
      <c r="E92" s="489"/>
      <c r="F92" s="683"/>
      <c r="G92" s="672"/>
      <c r="H92" s="684"/>
      <c r="I92" s="684"/>
      <c r="J92" s="489"/>
    </row>
    <row r="93" spans="1:12" s="1297" customFormat="1">
      <c r="A93" s="661"/>
      <c r="B93" s="863" t="s">
        <v>30</v>
      </c>
      <c r="C93" s="1437"/>
      <c r="D93" s="505" t="s">
        <v>16</v>
      </c>
      <c r="E93" s="489"/>
      <c r="F93" s="660"/>
      <c r="G93" s="672"/>
      <c r="H93" s="665"/>
      <c r="I93" s="665"/>
      <c r="J93" s="489"/>
    </row>
    <row r="94" spans="1:12" s="1297" customFormat="1">
      <c r="A94" s="661">
        <v>2.2000000000000002</v>
      </c>
      <c r="B94" s="919" t="s">
        <v>31</v>
      </c>
      <c r="C94" s="1437"/>
      <c r="D94" s="874"/>
      <c r="E94" s="489"/>
      <c r="F94" s="660"/>
      <c r="G94" s="672"/>
      <c r="H94" s="665"/>
      <c r="I94" s="665"/>
      <c r="J94" s="489"/>
    </row>
    <row r="95" spans="1:12" s="1297" customFormat="1">
      <c r="A95" s="661"/>
      <c r="B95" s="919" t="s">
        <v>32</v>
      </c>
      <c r="C95" s="1437"/>
      <c r="D95" s="874"/>
      <c r="E95" s="489"/>
      <c r="F95" s="660"/>
      <c r="G95" s="672"/>
      <c r="H95" s="665"/>
      <c r="I95" s="665"/>
      <c r="J95" s="489"/>
    </row>
    <row r="96" spans="1:12" s="1297" customFormat="1">
      <c r="A96" s="661"/>
      <c r="B96" s="863" t="s">
        <v>433</v>
      </c>
      <c r="C96" s="1437"/>
      <c r="D96" s="874" t="s">
        <v>16</v>
      </c>
      <c r="E96" s="489"/>
      <c r="F96" s="660"/>
      <c r="G96" s="672"/>
      <c r="H96" s="665"/>
      <c r="I96" s="665"/>
      <c r="J96" s="489"/>
    </row>
    <row r="97" spans="1:10" s="1297" customFormat="1">
      <c r="A97" s="661"/>
      <c r="B97" s="863" t="s">
        <v>1428</v>
      </c>
      <c r="C97" s="1437"/>
      <c r="D97" s="874" t="s">
        <v>16</v>
      </c>
      <c r="E97" s="489"/>
      <c r="F97" s="660"/>
      <c r="G97" s="672"/>
      <c r="H97" s="665"/>
      <c r="I97" s="665"/>
      <c r="J97" s="489"/>
    </row>
    <row r="98" spans="1:10" s="1297" customFormat="1">
      <c r="A98" s="661"/>
      <c r="B98" s="863" t="s">
        <v>1661</v>
      </c>
      <c r="C98" s="1437"/>
      <c r="D98" s="874" t="s">
        <v>16</v>
      </c>
      <c r="E98" s="489"/>
      <c r="F98" s="660"/>
      <c r="G98" s="672"/>
      <c r="H98" s="665"/>
      <c r="I98" s="665"/>
      <c r="J98" s="660"/>
    </row>
    <row r="99" spans="1:10" s="1297" customFormat="1">
      <c r="A99" s="661"/>
      <c r="B99" s="863" t="s">
        <v>1373</v>
      </c>
      <c r="C99" s="1437"/>
      <c r="D99" s="874" t="s">
        <v>16</v>
      </c>
      <c r="E99" s="489"/>
      <c r="F99" s="660"/>
      <c r="G99" s="672"/>
      <c r="H99" s="665"/>
      <c r="I99" s="665"/>
      <c r="J99" s="489"/>
    </row>
    <row r="100" spans="1:10" s="1297" customFormat="1">
      <c r="A100" s="661"/>
      <c r="B100" s="863" t="s">
        <v>1460</v>
      </c>
      <c r="C100" s="1437"/>
      <c r="D100" s="505" t="s">
        <v>16</v>
      </c>
      <c r="E100" s="489"/>
      <c r="F100" s="660"/>
      <c r="G100" s="672"/>
      <c r="H100" s="665"/>
      <c r="I100" s="665"/>
      <c r="J100" s="489"/>
    </row>
    <row r="101" spans="1:10" s="1297" customFormat="1">
      <c r="A101" s="661"/>
      <c r="B101" s="863" t="s">
        <v>1634</v>
      </c>
      <c r="C101" s="1437"/>
      <c r="D101" s="874" t="s">
        <v>16</v>
      </c>
      <c r="E101" s="489"/>
      <c r="F101" s="660"/>
      <c r="G101" s="672"/>
      <c r="H101" s="665"/>
      <c r="I101" s="665"/>
      <c r="J101" s="489"/>
    </row>
    <row r="102" spans="1:10" s="1297" customFormat="1">
      <c r="A102" s="661"/>
      <c r="B102" s="863" t="s">
        <v>33</v>
      </c>
      <c r="C102" s="1437"/>
      <c r="D102" s="874" t="s">
        <v>14</v>
      </c>
      <c r="E102" s="489"/>
      <c r="F102" s="660"/>
      <c r="G102" s="672"/>
      <c r="H102" s="665"/>
      <c r="I102" s="665"/>
      <c r="J102" s="489"/>
    </row>
    <row r="103" spans="1:10" s="1297" customFormat="1">
      <c r="A103" s="661"/>
      <c r="B103" s="785" t="s">
        <v>34</v>
      </c>
      <c r="C103" s="1437"/>
      <c r="D103" s="505"/>
      <c r="E103" s="489"/>
      <c r="F103" s="660"/>
      <c r="G103" s="672"/>
      <c r="H103" s="665"/>
      <c r="I103" s="665"/>
      <c r="J103" s="489"/>
    </row>
    <row r="104" spans="1:10" s="1297" customFormat="1">
      <c r="A104" s="661"/>
      <c r="B104" s="927" t="s">
        <v>1415</v>
      </c>
      <c r="C104" s="1437"/>
      <c r="D104" s="874" t="s">
        <v>16</v>
      </c>
      <c r="E104" s="489"/>
      <c r="F104" s="660"/>
      <c r="G104" s="672"/>
      <c r="H104" s="665"/>
      <c r="I104" s="665"/>
      <c r="J104" s="489"/>
    </row>
    <row r="105" spans="1:10" s="1297" customFormat="1">
      <c r="A105" s="661"/>
      <c r="B105" s="863" t="s">
        <v>1390</v>
      </c>
      <c r="C105" s="1437"/>
      <c r="D105" s="874" t="s">
        <v>16</v>
      </c>
      <c r="E105" s="489"/>
      <c r="F105" s="660"/>
      <c r="G105" s="672"/>
      <c r="H105" s="665"/>
      <c r="I105" s="665"/>
      <c r="J105" s="489"/>
    </row>
    <row r="106" spans="1:10" s="1297" customFormat="1">
      <c r="A106" s="661"/>
      <c r="B106" s="863" t="s">
        <v>1427</v>
      </c>
      <c r="C106" s="1437"/>
      <c r="D106" s="874" t="s">
        <v>16</v>
      </c>
      <c r="E106" s="489"/>
      <c r="F106" s="660"/>
      <c r="G106" s="672"/>
      <c r="H106" s="665"/>
      <c r="I106" s="665"/>
      <c r="J106" s="489"/>
    </row>
    <row r="107" spans="1:10" s="1297" customFormat="1">
      <c r="A107" s="661"/>
      <c r="B107" s="863" t="s">
        <v>1372</v>
      </c>
      <c r="C107" s="1437"/>
      <c r="D107" s="874" t="s">
        <v>16</v>
      </c>
      <c r="E107" s="489"/>
      <c r="F107" s="660"/>
      <c r="G107" s="672"/>
      <c r="H107" s="665"/>
      <c r="I107" s="665"/>
      <c r="J107" s="489"/>
    </row>
    <row r="108" spans="1:10" s="1297" customFormat="1">
      <c r="A108" s="661"/>
      <c r="B108" s="863" t="s">
        <v>1832</v>
      </c>
      <c r="C108" s="1437"/>
      <c r="D108" s="874" t="s">
        <v>16</v>
      </c>
      <c r="E108" s="489"/>
      <c r="F108" s="660"/>
      <c r="G108" s="672"/>
      <c r="H108" s="665"/>
      <c r="I108" s="665"/>
      <c r="J108" s="489"/>
    </row>
    <row r="109" spans="1:10" s="1297" customFormat="1">
      <c r="A109" s="661"/>
      <c r="B109" s="863" t="s">
        <v>1831</v>
      </c>
      <c r="C109" s="1437"/>
      <c r="D109" s="874" t="s">
        <v>16</v>
      </c>
      <c r="E109" s="489"/>
      <c r="F109" s="660"/>
      <c r="G109" s="672"/>
      <c r="H109" s="665"/>
      <c r="I109" s="665"/>
      <c r="J109" s="489"/>
    </row>
    <row r="110" spans="1:10" s="1297" customFormat="1">
      <c r="A110" s="661">
        <v>2.2999999999999998</v>
      </c>
      <c r="B110" s="785" t="s">
        <v>35</v>
      </c>
      <c r="C110" s="1437"/>
      <c r="D110" s="505"/>
      <c r="E110" s="489"/>
      <c r="F110" s="660"/>
      <c r="G110" s="672"/>
      <c r="H110" s="665"/>
      <c r="I110" s="665"/>
      <c r="J110" s="489"/>
    </row>
    <row r="111" spans="1:10" s="1297" customFormat="1">
      <c r="A111" s="685"/>
      <c r="B111" s="862" t="s">
        <v>1414</v>
      </c>
      <c r="C111" s="1437"/>
      <c r="D111" s="505" t="s">
        <v>16</v>
      </c>
      <c r="E111" s="489"/>
      <c r="F111" s="660"/>
      <c r="G111" s="672"/>
      <c r="H111" s="665"/>
      <c r="I111" s="665"/>
      <c r="J111" s="489"/>
    </row>
    <row r="112" spans="1:10" s="1297" customFormat="1">
      <c r="A112" s="518"/>
      <c r="B112" s="862" t="s">
        <v>1389</v>
      </c>
      <c r="C112" s="1437"/>
      <c r="D112" s="505" t="s">
        <v>16</v>
      </c>
      <c r="E112" s="489"/>
      <c r="F112" s="660"/>
      <c r="G112" s="672"/>
      <c r="H112" s="665"/>
      <c r="I112" s="665"/>
      <c r="J112" s="489"/>
    </row>
    <row r="113" spans="1:10" s="1297" customFormat="1">
      <c r="A113" s="518"/>
      <c r="B113" s="862" t="s">
        <v>1830</v>
      </c>
      <c r="C113" s="1437"/>
      <c r="D113" s="505" t="s">
        <v>16</v>
      </c>
      <c r="E113" s="489"/>
      <c r="F113" s="660"/>
      <c r="G113" s="672"/>
      <c r="H113" s="665"/>
      <c r="I113" s="665"/>
      <c r="J113" s="489"/>
    </row>
    <row r="114" spans="1:10" s="1297" customFormat="1">
      <c r="A114" s="661">
        <v>2.4</v>
      </c>
      <c r="B114" s="919" t="s">
        <v>36</v>
      </c>
      <c r="C114" s="1437"/>
      <c r="D114" s="874"/>
      <c r="E114" s="489"/>
      <c r="F114" s="660"/>
      <c r="G114" s="672"/>
      <c r="H114" s="665"/>
      <c r="I114" s="665"/>
      <c r="J114" s="489"/>
    </row>
    <row r="115" spans="1:10" s="1297" customFormat="1">
      <c r="A115" s="685"/>
      <c r="B115" s="863" t="s">
        <v>37</v>
      </c>
      <c r="C115" s="1437"/>
      <c r="D115" s="874" t="s">
        <v>16</v>
      </c>
      <c r="E115" s="489"/>
      <c r="F115" s="660"/>
      <c r="G115" s="672"/>
      <c r="H115" s="665"/>
      <c r="I115" s="665"/>
      <c r="J115" s="489"/>
    </row>
    <row r="116" spans="1:10" s="1297" customFormat="1">
      <c r="A116" s="685"/>
      <c r="B116" s="863" t="s">
        <v>38</v>
      </c>
      <c r="C116" s="1437"/>
      <c r="D116" s="874" t="s">
        <v>16</v>
      </c>
      <c r="E116" s="489"/>
      <c r="F116" s="660"/>
      <c r="G116" s="672"/>
      <c r="H116" s="665"/>
      <c r="I116" s="665"/>
      <c r="J116" s="489"/>
    </row>
    <row r="117" spans="1:10" s="1297" customFormat="1">
      <c r="A117" s="685"/>
      <c r="B117" s="863" t="s">
        <v>458</v>
      </c>
      <c r="C117" s="1437"/>
      <c r="D117" s="874" t="s">
        <v>16</v>
      </c>
      <c r="E117" s="489"/>
      <c r="F117" s="660"/>
      <c r="G117" s="672"/>
      <c r="H117" s="665"/>
      <c r="I117" s="665"/>
      <c r="J117" s="489"/>
    </row>
    <row r="118" spans="1:10" s="1297" customFormat="1">
      <c r="A118" s="685"/>
      <c r="B118" s="862" t="s">
        <v>39</v>
      </c>
      <c r="C118" s="1437"/>
      <c r="D118" s="874" t="s">
        <v>16</v>
      </c>
      <c r="E118" s="489"/>
      <c r="F118" s="660"/>
      <c r="G118" s="672"/>
      <c r="H118" s="665"/>
      <c r="I118" s="665"/>
      <c r="J118" s="489"/>
    </row>
    <row r="119" spans="1:10" s="1297" customFormat="1">
      <c r="A119" s="661"/>
      <c r="B119" s="936" t="s">
        <v>1325</v>
      </c>
      <c r="C119" s="1452"/>
      <c r="D119" s="789"/>
      <c r="E119" s="530"/>
      <c r="F119" s="530"/>
      <c r="G119" s="931"/>
      <c r="H119" s="531"/>
      <c r="I119" s="531"/>
      <c r="J119" s="660"/>
    </row>
    <row r="120" spans="1:10" s="1297" customFormat="1">
      <c r="A120" s="661"/>
      <c r="B120" s="862" t="s">
        <v>1295</v>
      </c>
      <c r="C120" s="1452"/>
      <c r="D120" s="789" t="s">
        <v>16</v>
      </c>
      <c r="E120" s="530"/>
      <c r="F120" s="530"/>
      <c r="G120" s="931"/>
      <c r="H120" s="531"/>
      <c r="I120" s="531"/>
      <c r="J120" s="660"/>
    </row>
    <row r="121" spans="1:10" s="1297" customFormat="1">
      <c r="A121" s="661">
        <v>2.5</v>
      </c>
      <c r="B121" s="785" t="s">
        <v>1444</v>
      </c>
      <c r="C121" s="1437"/>
      <c r="D121" s="505"/>
      <c r="E121" s="489"/>
      <c r="F121" s="660"/>
      <c r="G121" s="672"/>
      <c r="H121" s="665"/>
      <c r="I121" s="665"/>
      <c r="J121" s="489"/>
    </row>
    <row r="122" spans="1:10" s="1297" customFormat="1">
      <c r="A122" s="685"/>
      <c r="B122" s="785" t="s">
        <v>1345</v>
      </c>
      <c r="C122" s="1437"/>
      <c r="D122" s="505"/>
      <c r="E122" s="489"/>
      <c r="F122" s="660"/>
      <c r="G122" s="672"/>
      <c r="H122" s="665"/>
      <c r="I122" s="665"/>
      <c r="J122" s="489"/>
    </row>
    <row r="123" spans="1:10" s="1297" customFormat="1">
      <c r="A123" s="661"/>
      <c r="B123" s="862" t="s">
        <v>1445</v>
      </c>
      <c r="C123" s="1437"/>
      <c r="D123" s="505" t="s">
        <v>14</v>
      </c>
      <c r="E123" s="489"/>
      <c r="F123" s="660"/>
      <c r="G123" s="672"/>
      <c r="H123" s="665"/>
      <c r="I123" s="665"/>
      <c r="J123" s="489"/>
    </row>
    <row r="124" spans="1:10" s="1297" customFormat="1">
      <c r="A124" s="685"/>
      <c r="B124" s="862" t="s">
        <v>1397</v>
      </c>
      <c r="C124" s="1437"/>
      <c r="D124" s="505" t="s">
        <v>19</v>
      </c>
      <c r="E124" s="489"/>
      <c r="F124" s="660"/>
      <c r="G124" s="672"/>
      <c r="H124" s="665"/>
      <c r="I124" s="665"/>
      <c r="J124" s="489"/>
    </row>
    <row r="125" spans="1:10" s="1297" customFormat="1">
      <c r="A125" s="661"/>
      <c r="B125" s="862" t="s">
        <v>1397</v>
      </c>
      <c r="C125" s="1437"/>
      <c r="D125" s="505" t="s">
        <v>19</v>
      </c>
      <c r="E125" s="489"/>
      <c r="F125" s="660"/>
      <c r="G125" s="672"/>
      <c r="H125" s="665"/>
      <c r="I125" s="665"/>
      <c r="J125" s="660"/>
    </row>
    <row r="126" spans="1:10" s="1297" customFormat="1">
      <c r="A126" s="685"/>
      <c r="B126" s="862" t="s">
        <v>1398</v>
      </c>
      <c r="C126" s="1437"/>
      <c r="D126" s="505" t="s">
        <v>19</v>
      </c>
      <c r="E126" s="489"/>
      <c r="F126" s="660"/>
      <c r="G126" s="672"/>
      <c r="H126" s="665"/>
      <c r="I126" s="665"/>
      <c r="J126" s="489"/>
    </row>
    <row r="127" spans="1:10" s="1297" customFormat="1">
      <c r="A127" s="661"/>
      <c r="B127" s="862" t="s">
        <v>1398</v>
      </c>
      <c r="C127" s="1437"/>
      <c r="D127" s="505" t="s">
        <v>19</v>
      </c>
      <c r="E127" s="489"/>
      <c r="F127" s="660"/>
      <c r="G127" s="672"/>
      <c r="H127" s="665"/>
      <c r="I127" s="665"/>
      <c r="J127" s="660"/>
    </row>
    <row r="128" spans="1:10" s="1297" customFormat="1">
      <c r="A128" s="685"/>
      <c r="B128" s="862" t="s">
        <v>1756</v>
      </c>
      <c r="C128" s="1437"/>
      <c r="D128" s="505" t="s">
        <v>16</v>
      </c>
      <c r="E128" s="489"/>
      <c r="F128" s="660"/>
      <c r="G128" s="672"/>
      <c r="H128" s="665"/>
      <c r="I128" s="665"/>
      <c r="J128" s="489"/>
    </row>
    <row r="129" spans="1:10" s="1297" customFormat="1">
      <c r="A129" s="661"/>
      <c r="B129" s="862" t="s">
        <v>1756</v>
      </c>
      <c r="C129" s="1437"/>
      <c r="D129" s="505" t="s">
        <v>16</v>
      </c>
      <c r="E129" s="489"/>
      <c r="F129" s="660"/>
      <c r="G129" s="672"/>
      <c r="H129" s="665"/>
      <c r="I129" s="665"/>
      <c r="J129" s="660"/>
    </row>
    <row r="130" spans="1:10" s="1297" customFormat="1">
      <c r="A130" s="661"/>
      <c r="B130" s="862" t="s">
        <v>1397</v>
      </c>
      <c r="C130" s="1437"/>
      <c r="D130" s="505" t="s">
        <v>19</v>
      </c>
      <c r="E130" s="489"/>
      <c r="F130" s="660"/>
      <c r="G130" s="672"/>
      <c r="H130" s="665"/>
      <c r="I130" s="665"/>
      <c r="J130" s="489"/>
    </row>
    <row r="131" spans="1:10" s="1297" customFormat="1">
      <c r="A131" s="661"/>
      <c r="B131" s="862" t="s">
        <v>1398</v>
      </c>
      <c r="C131" s="1437"/>
      <c r="D131" s="505" t="s">
        <v>19</v>
      </c>
      <c r="E131" s="489"/>
      <c r="F131" s="660"/>
      <c r="G131" s="672"/>
      <c r="H131" s="665"/>
      <c r="I131" s="665"/>
      <c r="J131" s="489"/>
    </row>
    <row r="132" spans="1:10" s="1297" customFormat="1">
      <c r="A132" s="661"/>
      <c r="B132" s="862" t="s">
        <v>1756</v>
      </c>
      <c r="C132" s="1437"/>
      <c r="D132" s="505" t="s">
        <v>16</v>
      </c>
      <c r="E132" s="489"/>
      <c r="F132" s="660"/>
      <c r="G132" s="672"/>
      <c r="H132" s="665"/>
      <c r="I132" s="665"/>
      <c r="J132" s="489"/>
    </row>
    <row r="133" spans="1:10" s="1297" customFormat="1">
      <c r="A133" s="661"/>
      <c r="B133" s="785" t="s">
        <v>2236</v>
      </c>
      <c r="C133" s="1437"/>
      <c r="D133" s="505"/>
      <c r="E133" s="489"/>
      <c r="F133" s="660"/>
      <c r="G133" s="672"/>
      <c r="H133" s="665"/>
      <c r="I133" s="665"/>
      <c r="J133" s="489"/>
    </row>
    <row r="134" spans="1:10" s="1297" customFormat="1">
      <c r="A134" s="685"/>
      <c r="B134" s="862" t="s">
        <v>1786</v>
      </c>
      <c r="C134" s="1437"/>
      <c r="D134" s="505" t="s">
        <v>16</v>
      </c>
      <c r="E134" s="489"/>
      <c r="F134" s="660"/>
      <c r="G134" s="672"/>
      <c r="H134" s="665"/>
      <c r="I134" s="665"/>
      <c r="J134" s="489"/>
    </row>
    <row r="135" spans="1:10" s="1297" customFormat="1">
      <c r="A135" s="685"/>
      <c r="B135" s="862" t="s">
        <v>1463</v>
      </c>
      <c r="C135" s="1437"/>
      <c r="D135" s="505" t="s">
        <v>73</v>
      </c>
      <c r="E135" s="489"/>
      <c r="F135" s="660"/>
      <c r="G135" s="489"/>
      <c r="H135" s="665"/>
      <c r="I135" s="665"/>
      <c r="J135" s="489"/>
    </row>
    <row r="136" spans="1:10" s="1297" customFormat="1">
      <c r="A136" s="685"/>
      <c r="B136" s="862" t="s">
        <v>1613</v>
      </c>
      <c r="C136" s="1437"/>
      <c r="D136" s="505" t="s">
        <v>73</v>
      </c>
      <c r="E136" s="489"/>
      <c r="F136" s="660"/>
      <c r="G136" s="489"/>
      <c r="H136" s="665"/>
      <c r="I136" s="665"/>
      <c r="J136" s="489"/>
    </row>
    <row r="137" spans="1:10" s="1297" customFormat="1">
      <c r="A137" s="685"/>
      <c r="B137" s="862" t="s">
        <v>448</v>
      </c>
      <c r="C137" s="1437"/>
      <c r="D137" s="505" t="s">
        <v>449</v>
      </c>
      <c r="E137" s="490"/>
      <c r="F137" s="660"/>
      <c r="G137" s="507"/>
      <c r="H137" s="665"/>
      <c r="I137" s="665"/>
      <c r="J137" s="489"/>
    </row>
    <row r="138" spans="1:10" s="1297" customFormat="1">
      <c r="A138" s="685"/>
      <c r="B138" s="785" t="s">
        <v>1334</v>
      </c>
      <c r="C138" s="1437"/>
      <c r="D138" s="505"/>
      <c r="E138" s="489"/>
      <c r="F138" s="660"/>
      <c r="G138" s="672"/>
      <c r="H138" s="665"/>
      <c r="I138" s="665"/>
      <c r="J138" s="489"/>
    </row>
    <row r="139" spans="1:10" s="1297" customFormat="1">
      <c r="A139" s="685"/>
      <c r="B139" s="862" t="s">
        <v>1616</v>
      </c>
      <c r="C139" s="1437"/>
      <c r="D139" s="505" t="s">
        <v>16</v>
      </c>
      <c r="E139" s="489"/>
      <c r="F139" s="660"/>
      <c r="G139" s="672"/>
      <c r="H139" s="665"/>
      <c r="I139" s="665"/>
      <c r="J139" s="489"/>
    </row>
    <row r="140" spans="1:10" s="1297" customFormat="1">
      <c r="A140" s="685"/>
      <c r="B140" s="862" t="s">
        <v>1445</v>
      </c>
      <c r="C140" s="1437"/>
      <c r="D140" s="505" t="s">
        <v>14</v>
      </c>
      <c r="E140" s="489"/>
      <c r="F140" s="660"/>
      <c r="G140" s="672"/>
      <c r="H140" s="665"/>
      <c r="I140" s="665"/>
      <c r="J140" s="489"/>
    </row>
    <row r="141" spans="1:10" s="1297" customFormat="1">
      <c r="A141" s="685"/>
      <c r="B141" s="862" t="s">
        <v>1397</v>
      </c>
      <c r="C141" s="1437"/>
      <c r="D141" s="505" t="s">
        <v>19</v>
      </c>
      <c r="E141" s="489"/>
      <c r="F141" s="660"/>
      <c r="G141" s="672"/>
      <c r="H141" s="665"/>
      <c r="I141" s="665"/>
      <c r="J141" s="489"/>
    </row>
    <row r="142" spans="1:10" s="1297" customFormat="1">
      <c r="A142" s="685"/>
      <c r="B142" s="862" t="s">
        <v>1398</v>
      </c>
      <c r="C142" s="1437"/>
      <c r="D142" s="505" t="s">
        <v>19</v>
      </c>
      <c r="E142" s="489"/>
      <c r="F142" s="660"/>
      <c r="G142" s="672"/>
      <c r="H142" s="665"/>
      <c r="I142" s="665"/>
      <c r="J142" s="489"/>
    </row>
    <row r="143" spans="1:10" s="1297" customFormat="1">
      <c r="A143" s="685"/>
      <c r="B143" s="862" t="s">
        <v>1756</v>
      </c>
      <c r="C143" s="1437"/>
      <c r="D143" s="505" t="s">
        <v>16</v>
      </c>
      <c r="E143" s="489"/>
      <c r="F143" s="660"/>
      <c r="G143" s="672"/>
      <c r="H143" s="665"/>
      <c r="I143" s="665"/>
      <c r="J143" s="489"/>
    </row>
    <row r="144" spans="1:10" s="1297" customFormat="1">
      <c r="A144" s="661"/>
      <c r="B144" s="785" t="s">
        <v>1336</v>
      </c>
      <c r="C144" s="1437"/>
      <c r="D144" s="505"/>
      <c r="E144" s="489"/>
      <c r="F144" s="660"/>
      <c r="G144" s="672"/>
      <c r="H144" s="665"/>
      <c r="I144" s="665"/>
      <c r="J144" s="489"/>
    </row>
    <row r="145" spans="1:10" s="1297" customFormat="1">
      <c r="A145" s="685"/>
      <c r="B145" s="862" t="s">
        <v>1616</v>
      </c>
      <c r="C145" s="1437"/>
      <c r="D145" s="505" t="s">
        <v>16</v>
      </c>
      <c r="E145" s="489"/>
      <c r="F145" s="660"/>
      <c r="G145" s="672"/>
      <c r="H145" s="665"/>
      <c r="I145" s="665"/>
      <c r="J145" s="489"/>
    </row>
    <row r="146" spans="1:10" s="1297" customFormat="1">
      <c r="A146" s="685"/>
      <c r="B146" s="862" t="s">
        <v>1615</v>
      </c>
      <c r="C146" s="1437"/>
      <c r="D146" s="505" t="s">
        <v>14</v>
      </c>
      <c r="E146" s="489"/>
      <c r="F146" s="660"/>
      <c r="G146" s="672"/>
      <c r="H146" s="665"/>
      <c r="I146" s="665"/>
      <c r="J146" s="489"/>
    </row>
    <row r="147" spans="1:10" s="1297" customFormat="1">
      <c r="A147" s="685"/>
      <c r="B147" s="862" t="s">
        <v>1397</v>
      </c>
      <c r="C147" s="1437"/>
      <c r="D147" s="505" t="s">
        <v>19</v>
      </c>
      <c r="E147" s="489"/>
      <c r="F147" s="660"/>
      <c r="G147" s="672"/>
      <c r="H147" s="665"/>
      <c r="I147" s="665"/>
      <c r="J147" s="489"/>
    </row>
    <row r="148" spans="1:10" s="1297" customFormat="1">
      <c r="A148" s="685"/>
      <c r="B148" s="862" t="s">
        <v>1398</v>
      </c>
      <c r="C148" s="1437"/>
      <c r="D148" s="505" t="s">
        <v>19</v>
      </c>
      <c r="E148" s="489"/>
      <c r="F148" s="660"/>
      <c r="G148" s="672"/>
      <c r="H148" s="665"/>
      <c r="I148" s="665"/>
      <c r="J148" s="489"/>
    </row>
    <row r="149" spans="1:10" s="1297" customFormat="1">
      <c r="A149" s="685"/>
      <c r="B149" s="862" t="s">
        <v>1756</v>
      </c>
      <c r="C149" s="1437"/>
      <c r="D149" s="505" t="s">
        <v>16</v>
      </c>
      <c r="E149" s="489"/>
      <c r="F149" s="660"/>
      <c r="G149" s="672"/>
      <c r="H149" s="665"/>
      <c r="I149" s="665"/>
      <c r="J149" s="489"/>
    </row>
    <row r="150" spans="1:10" s="1297" customFormat="1">
      <c r="A150" s="661"/>
      <c r="B150" s="785" t="s">
        <v>2237</v>
      </c>
      <c r="C150" s="1437"/>
      <c r="D150" s="505"/>
      <c r="E150" s="489"/>
      <c r="F150" s="660"/>
      <c r="G150" s="672"/>
      <c r="H150" s="665"/>
      <c r="I150" s="665"/>
      <c r="J150" s="489"/>
    </row>
    <row r="151" spans="1:10" s="1297" customFormat="1">
      <c r="A151" s="685"/>
      <c r="B151" s="862" t="s">
        <v>1790</v>
      </c>
      <c r="C151" s="1437"/>
      <c r="D151" s="505" t="s">
        <v>16</v>
      </c>
      <c r="E151" s="489"/>
      <c r="F151" s="660"/>
      <c r="G151" s="672"/>
      <c r="H151" s="665"/>
      <c r="I151" s="665"/>
      <c r="J151" s="489"/>
    </row>
    <row r="152" spans="1:10" s="1297" customFormat="1">
      <c r="A152" s="685"/>
      <c r="B152" s="862" t="s">
        <v>1397</v>
      </c>
      <c r="C152" s="1437"/>
      <c r="D152" s="505" t="s">
        <v>19</v>
      </c>
      <c r="E152" s="489"/>
      <c r="F152" s="660"/>
      <c r="G152" s="672"/>
      <c r="H152" s="665"/>
      <c r="I152" s="665"/>
      <c r="J152" s="489"/>
    </row>
    <row r="153" spans="1:10" s="1297" customFormat="1">
      <c r="A153" s="685"/>
      <c r="B153" s="862" t="s">
        <v>1398</v>
      </c>
      <c r="C153" s="1437"/>
      <c r="D153" s="505" t="s">
        <v>19</v>
      </c>
      <c r="E153" s="489"/>
      <c r="F153" s="660"/>
      <c r="G153" s="672"/>
      <c r="H153" s="665"/>
      <c r="I153" s="665"/>
      <c r="J153" s="489"/>
    </row>
    <row r="154" spans="1:10" s="1297" customFormat="1">
      <c r="A154" s="685"/>
      <c r="B154" s="862" t="s">
        <v>1756</v>
      </c>
      <c r="C154" s="1437"/>
      <c r="D154" s="505" t="s">
        <v>16</v>
      </c>
      <c r="E154" s="489"/>
      <c r="F154" s="660"/>
      <c r="G154" s="672"/>
      <c r="H154" s="665"/>
      <c r="I154" s="665"/>
      <c r="J154" s="489"/>
    </row>
    <row r="155" spans="1:10" s="1297" customFormat="1">
      <c r="A155" s="685"/>
      <c r="B155" s="785" t="s">
        <v>1341</v>
      </c>
      <c r="C155" s="1437"/>
      <c r="D155" s="505"/>
      <c r="E155" s="489"/>
      <c r="F155" s="660"/>
      <c r="G155" s="672"/>
      <c r="H155" s="665"/>
      <c r="I155" s="665"/>
      <c r="J155" s="489"/>
    </row>
    <row r="156" spans="1:10" s="1297" customFormat="1">
      <c r="A156" s="685"/>
      <c r="B156" s="862" t="s">
        <v>1789</v>
      </c>
      <c r="C156" s="1437"/>
      <c r="D156" s="505" t="s">
        <v>16</v>
      </c>
      <c r="E156" s="489"/>
      <c r="F156" s="660"/>
      <c r="G156" s="672"/>
      <c r="H156" s="665"/>
      <c r="I156" s="665"/>
      <c r="J156" s="489"/>
    </row>
    <row r="157" spans="1:10" s="1297" customFormat="1">
      <c r="A157" s="685"/>
      <c r="B157" s="862" t="s">
        <v>1397</v>
      </c>
      <c r="C157" s="1437"/>
      <c r="D157" s="505" t="s">
        <v>19</v>
      </c>
      <c r="E157" s="489"/>
      <c r="F157" s="660"/>
      <c r="G157" s="672"/>
      <c r="H157" s="665"/>
      <c r="I157" s="665"/>
      <c r="J157" s="489"/>
    </row>
    <row r="158" spans="1:10" s="1297" customFormat="1">
      <c r="A158" s="685"/>
      <c r="B158" s="862" t="s">
        <v>1398</v>
      </c>
      <c r="C158" s="1437"/>
      <c r="D158" s="505" t="s">
        <v>19</v>
      </c>
      <c r="E158" s="489"/>
      <c r="F158" s="660"/>
      <c r="G158" s="672"/>
      <c r="H158" s="665"/>
      <c r="I158" s="665"/>
      <c r="J158" s="489"/>
    </row>
    <row r="159" spans="1:10" s="1297" customFormat="1">
      <c r="A159" s="685"/>
      <c r="B159" s="862" t="s">
        <v>1756</v>
      </c>
      <c r="C159" s="1437"/>
      <c r="D159" s="505" t="s">
        <v>16</v>
      </c>
      <c r="E159" s="489"/>
      <c r="F159" s="660"/>
      <c r="G159" s="672"/>
      <c r="H159" s="665"/>
      <c r="I159" s="665"/>
      <c r="J159" s="489"/>
    </row>
    <row r="160" spans="1:10" s="1297" customFormat="1">
      <c r="A160" s="661"/>
      <c r="B160" s="785" t="s">
        <v>2238</v>
      </c>
      <c r="C160" s="1437"/>
      <c r="D160" s="505"/>
      <c r="E160" s="489"/>
      <c r="F160" s="489"/>
      <c r="G160" s="507"/>
      <c r="H160" s="490"/>
      <c r="I160" s="490"/>
      <c r="J160" s="489"/>
    </row>
    <row r="161" spans="1:10" s="1297" customFormat="1">
      <c r="A161" s="685"/>
      <c r="B161" s="862" t="s">
        <v>1789</v>
      </c>
      <c r="C161" s="1437"/>
      <c r="D161" s="505" t="s">
        <v>16</v>
      </c>
      <c r="E161" s="489"/>
      <c r="F161" s="660"/>
      <c r="G161" s="672"/>
      <c r="H161" s="665"/>
      <c r="I161" s="665"/>
      <c r="J161" s="489"/>
    </row>
    <row r="162" spans="1:10" s="1297" customFormat="1">
      <c r="A162" s="685"/>
      <c r="B162" s="862" t="s">
        <v>1397</v>
      </c>
      <c r="C162" s="1437"/>
      <c r="D162" s="505" t="s">
        <v>19</v>
      </c>
      <c r="E162" s="489"/>
      <c r="F162" s="660"/>
      <c r="G162" s="672"/>
      <c r="H162" s="665"/>
      <c r="I162" s="665"/>
      <c r="J162" s="489"/>
    </row>
    <row r="163" spans="1:10" s="1297" customFormat="1">
      <c r="A163" s="685"/>
      <c r="B163" s="862" t="s">
        <v>1398</v>
      </c>
      <c r="C163" s="1437"/>
      <c r="D163" s="505" t="s">
        <v>19</v>
      </c>
      <c r="E163" s="489"/>
      <c r="F163" s="660"/>
      <c r="G163" s="672"/>
      <c r="H163" s="665"/>
      <c r="I163" s="665"/>
      <c r="J163" s="489"/>
    </row>
    <row r="164" spans="1:10" s="1297" customFormat="1">
      <c r="A164" s="685"/>
      <c r="B164" s="862" t="s">
        <v>1756</v>
      </c>
      <c r="C164" s="1437"/>
      <c r="D164" s="505" t="s">
        <v>16</v>
      </c>
      <c r="E164" s="489"/>
      <c r="F164" s="660"/>
      <c r="G164" s="672"/>
      <c r="H164" s="665"/>
      <c r="I164" s="665"/>
      <c r="J164" s="489"/>
    </row>
    <row r="165" spans="1:10" s="1297" customFormat="1">
      <c r="A165" s="661"/>
      <c r="B165" s="785" t="s">
        <v>1411</v>
      </c>
      <c r="C165" s="1437"/>
      <c r="D165" s="505"/>
      <c r="E165" s="489"/>
      <c r="F165" s="660"/>
      <c r="G165" s="672"/>
      <c r="H165" s="665"/>
      <c r="I165" s="665"/>
      <c r="J165" s="489"/>
    </row>
    <row r="166" spans="1:10" s="1297" customFormat="1">
      <c r="A166" s="661"/>
      <c r="B166" s="862" t="s">
        <v>1397</v>
      </c>
      <c r="C166" s="1437"/>
      <c r="D166" s="505" t="s">
        <v>19</v>
      </c>
      <c r="E166" s="489"/>
      <c r="F166" s="660"/>
      <c r="G166" s="672"/>
      <c r="H166" s="665"/>
      <c r="I166" s="665"/>
      <c r="J166" s="489"/>
    </row>
    <row r="167" spans="1:10" s="1297" customFormat="1">
      <c r="A167" s="661"/>
      <c r="B167" s="862" t="s">
        <v>1398</v>
      </c>
      <c r="C167" s="1437"/>
      <c r="D167" s="505" t="s">
        <v>19</v>
      </c>
      <c r="E167" s="489"/>
      <c r="F167" s="660"/>
      <c r="G167" s="672"/>
      <c r="H167" s="665"/>
      <c r="I167" s="665"/>
      <c r="J167" s="489"/>
    </row>
    <row r="168" spans="1:10" s="1297" customFormat="1">
      <c r="A168" s="661"/>
      <c r="B168" s="862" t="s">
        <v>1756</v>
      </c>
      <c r="C168" s="1437"/>
      <c r="D168" s="505" t="s">
        <v>16</v>
      </c>
      <c r="E168" s="489"/>
      <c r="F168" s="660"/>
      <c r="G168" s="672"/>
      <c r="H168" s="665"/>
      <c r="I168" s="665"/>
      <c r="J168" s="489"/>
    </row>
    <row r="169" spans="1:10" s="1297" customFormat="1">
      <c r="A169" s="661">
        <v>2.6</v>
      </c>
      <c r="B169" s="785" t="s">
        <v>2234</v>
      </c>
      <c r="C169" s="1437"/>
      <c r="D169" s="505"/>
      <c r="E169" s="489"/>
      <c r="F169" s="660"/>
      <c r="G169" s="672"/>
      <c r="H169" s="665"/>
      <c r="I169" s="665"/>
      <c r="J169" s="489"/>
    </row>
    <row r="170" spans="1:10" s="1297" customFormat="1">
      <c r="A170" s="1377">
        <f>'Sannitary ware'!A7</f>
        <v>1</v>
      </c>
      <c r="B170" s="863" t="str">
        <f>'Sannitary ware'!B7</f>
        <v xml:space="preserve"> - โถสุขภัณฑ์ฟลัชวาล์ว</v>
      </c>
      <c r="C170" s="1437"/>
      <c r="D170" s="874" t="s">
        <v>15</v>
      </c>
      <c r="E170" s="1395"/>
      <c r="F170" s="660"/>
      <c r="G170" s="1396"/>
      <c r="H170" s="665"/>
      <c r="I170" s="665"/>
      <c r="J170" s="660"/>
    </row>
    <row r="171" spans="1:10" s="1297" customFormat="1">
      <c r="A171" s="1377">
        <f>'Sannitary ware'!A8</f>
        <v>1</v>
      </c>
      <c r="B171" s="863" t="str">
        <f>'Sannitary ware'!B8</f>
        <v xml:space="preserve">     • STOP VALVE 1/2" </v>
      </c>
      <c r="C171" s="1437"/>
      <c r="D171" s="874" t="s">
        <v>27</v>
      </c>
      <c r="E171" s="1395"/>
      <c r="F171" s="660"/>
      <c r="G171" s="1396"/>
      <c r="H171" s="665"/>
      <c r="I171" s="665"/>
      <c r="J171" s="660"/>
    </row>
    <row r="172" spans="1:10" s="1297" customFormat="1">
      <c r="A172" s="1377" t="str">
        <f>'Sannitary ware'!A9</f>
        <v>1'</v>
      </c>
      <c r="B172" s="863" t="str">
        <f>'Sannitary ware'!B9</f>
        <v xml:space="preserve"> - โถสุขภัณฑ์ฟลัชวาล์ว  (ห้องน้ำผู้พิการ)</v>
      </c>
      <c r="C172" s="1437"/>
      <c r="D172" s="874" t="s">
        <v>15</v>
      </c>
      <c r="E172" s="1395"/>
      <c r="F172" s="660"/>
      <c r="G172" s="1396"/>
      <c r="H172" s="665"/>
      <c r="I172" s="665"/>
      <c r="J172" s="660"/>
    </row>
    <row r="173" spans="1:10" s="1297" customFormat="1">
      <c r="A173" s="1377" t="str">
        <f>'Sannitary ware'!A10</f>
        <v>1'</v>
      </c>
      <c r="B173" s="863" t="str">
        <f>'Sannitary ware'!B10</f>
        <v xml:space="preserve">     • STOP VALVE 1/2" </v>
      </c>
      <c r="C173" s="1437"/>
      <c r="D173" s="874" t="s">
        <v>27</v>
      </c>
      <c r="E173" s="1395"/>
      <c r="F173" s="660"/>
      <c r="G173" s="1396"/>
      <c r="H173" s="665"/>
      <c r="I173" s="665"/>
      <c r="J173" s="489"/>
    </row>
    <row r="174" spans="1:10" s="1297" customFormat="1">
      <c r="A174" s="1377">
        <f>'Sannitary ware'!A11</f>
        <v>2</v>
      </c>
      <c r="B174" s="863" t="str">
        <f>'Sannitary ware'!B11</f>
        <v xml:space="preserve"> - สายชำระพร้อมสต๊อปวาล์ว</v>
      </c>
      <c r="C174" s="1437"/>
      <c r="D174" s="874" t="s">
        <v>15</v>
      </c>
      <c r="E174" s="1395"/>
      <c r="F174" s="660"/>
      <c r="G174" s="1396"/>
      <c r="H174" s="665"/>
      <c r="I174" s="665"/>
      <c r="J174" s="660"/>
    </row>
    <row r="175" spans="1:10" s="1297" customFormat="1">
      <c r="A175" s="1377">
        <f>'Sannitary ware'!A12</f>
        <v>3</v>
      </c>
      <c r="B175" s="863" t="str">
        <f>'Sannitary ware'!B12</f>
        <v xml:space="preserve"> - โถปัสสาวะชายพร้อมฟลัชวาล์ว</v>
      </c>
      <c r="C175" s="1437"/>
      <c r="D175" s="874" t="s">
        <v>15</v>
      </c>
      <c r="E175" s="1395"/>
      <c r="F175" s="660"/>
      <c r="G175" s="1396"/>
      <c r="H175" s="665"/>
      <c r="I175" s="665"/>
      <c r="J175" s="660"/>
    </row>
    <row r="176" spans="1:10" s="1297" customFormat="1">
      <c r="A176" s="1377">
        <f>'Sannitary ware'!A13</f>
        <v>4</v>
      </c>
      <c r="B176" s="863" t="str">
        <f>'Sannitary ware'!B13</f>
        <v xml:space="preserve"> - อ่างล้างหน้าแบบฝังเคาน์เตอร์ </v>
      </c>
      <c r="C176" s="1437"/>
      <c r="D176" s="874" t="s">
        <v>15</v>
      </c>
      <c r="E176" s="1701"/>
      <c r="F176" s="1683"/>
      <c r="G176" s="1701"/>
      <c r="H176" s="1683"/>
      <c r="I176" s="1683"/>
      <c r="J176" s="660"/>
    </row>
    <row r="177" spans="1:10" s="1297" customFormat="1">
      <c r="A177" s="1377">
        <f>'Sannitary ware'!A14</f>
        <v>4</v>
      </c>
      <c r="B177" s="863" t="str">
        <f>'Sannitary ware'!B14</f>
        <v xml:space="preserve">     • ก๊อกน้ำเดี่ยวอ่างล้างหน้า </v>
      </c>
      <c r="C177" s="1437"/>
      <c r="D177" s="874" t="s">
        <v>15</v>
      </c>
      <c r="E177" s="1702"/>
      <c r="F177" s="1684"/>
      <c r="G177" s="1702"/>
      <c r="H177" s="1684"/>
      <c r="I177" s="1684"/>
      <c r="J177" s="660"/>
    </row>
    <row r="178" spans="1:10" s="1297" customFormat="1">
      <c r="A178" s="1377">
        <f>'Sannitary ware'!A15</f>
        <v>4</v>
      </c>
      <c r="B178" s="863" t="str">
        <f>'Sannitary ware'!B15</f>
        <v xml:space="preserve">     • ท่อน้ำทิ้งอ่างล้างหน้า </v>
      </c>
      <c r="C178" s="1437"/>
      <c r="D178" s="874" t="s">
        <v>15</v>
      </c>
      <c r="E178" s="1702"/>
      <c r="F178" s="1684"/>
      <c r="G178" s="1702"/>
      <c r="H178" s="1684"/>
      <c r="I178" s="1684"/>
      <c r="J178" s="660"/>
    </row>
    <row r="179" spans="1:10" s="1297" customFormat="1">
      <c r="A179" s="1377">
        <f>'Sannitary ware'!A16</f>
        <v>4</v>
      </c>
      <c r="B179" s="863" t="str">
        <f>'Sannitary ware'!B16</f>
        <v xml:space="preserve">     • สะดืออ่างล้างหน้าแบบกด </v>
      </c>
      <c r="C179" s="1437"/>
      <c r="D179" s="874" t="s">
        <v>15</v>
      </c>
      <c r="E179" s="1702"/>
      <c r="F179" s="1684"/>
      <c r="G179" s="1702"/>
      <c r="H179" s="1684"/>
      <c r="I179" s="1684"/>
      <c r="J179" s="660"/>
    </row>
    <row r="180" spans="1:10" s="1297" customFormat="1">
      <c r="A180" s="1377">
        <f>'Sannitary ware'!A17</f>
        <v>4</v>
      </c>
      <c r="B180" s="863" t="str">
        <f>'Sannitary ware'!B17</f>
        <v xml:space="preserve">     • สายน้ำดีอ่างล้างหน้าสแตนเลสถักยาว 16" </v>
      </c>
      <c r="C180" s="1437"/>
      <c r="D180" s="874" t="s">
        <v>15</v>
      </c>
      <c r="E180" s="1702"/>
      <c r="F180" s="1684"/>
      <c r="G180" s="1702"/>
      <c r="H180" s="1684"/>
      <c r="I180" s="1684"/>
      <c r="J180" s="922"/>
    </row>
    <row r="181" spans="1:10" s="1297" customFormat="1">
      <c r="A181" s="1377">
        <f>'Sannitary ware'!A18</f>
        <v>4</v>
      </c>
      <c r="B181" s="863" t="str">
        <f>'Sannitary ware'!B18</f>
        <v xml:space="preserve">     • STOP VALVE 1/2" </v>
      </c>
      <c r="C181" s="1437"/>
      <c r="D181" s="874" t="s">
        <v>27</v>
      </c>
      <c r="E181" s="1703"/>
      <c r="F181" s="1685"/>
      <c r="G181" s="1703"/>
      <c r="H181" s="1685"/>
      <c r="I181" s="1685"/>
      <c r="J181" s="660"/>
    </row>
    <row r="182" spans="1:10" s="1297" customFormat="1">
      <c r="A182" s="1377" t="str">
        <f>'Sannitary ware'!A19</f>
        <v>4'</v>
      </c>
      <c r="B182" s="863" t="str">
        <f>'Sannitary ware'!B19</f>
        <v xml:space="preserve"> - อ่างล้างหน้าแบบแขวนผนัง (ห้องน้ำผู้พิการ)</v>
      </c>
      <c r="C182" s="1437"/>
      <c r="D182" s="874" t="s">
        <v>15</v>
      </c>
      <c r="E182" s="1701"/>
      <c r="F182" s="1683"/>
      <c r="G182" s="1701"/>
      <c r="H182" s="1683"/>
      <c r="I182" s="1683"/>
      <c r="J182" s="660"/>
    </row>
    <row r="183" spans="1:10" s="1297" customFormat="1">
      <c r="A183" s="1377" t="str">
        <f>'Sannitary ware'!A20</f>
        <v>4'</v>
      </c>
      <c r="B183" s="863" t="str">
        <f>'Sannitary ware'!B20</f>
        <v xml:space="preserve">     • ก๊อกน้ำเดี่ยวอ่างล้างหน้า </v>
      </c>
      <c r="C183" s="1437"/>
      <c r="D183" s="874" t="s">
        <v>15</v>
      </c>
      <c r="E183" s="1702"/>
      <c r="F183" s="1684"/>
      <c r="G183" s="1702"/>
      <c r="H183" s="1684"/>
      <c r="I183" s="1684"/>
      <c r="J183" s="660"/>
    </row>
    <row r="184" spans="1:10" s="1297" customFormat="1">
      <c r="A184" s="1377" t="str">
        <f>'Sannitary ware'!A21</f>
        <v>4'</v>
      </c>
      <c r="B184" s="863" t="str">
        <f>'Sannitary ware'!B21</f>
        <v xml:space="preserve">     • ท่อน้ำทิ้งอ่างล้างหน้า </v>
      </c>
      <c r="C184" s="1437"/>
      <c r="D184" s="874" t="s">
        <v>15</v>
      </c>
      <c r="E184" s="1702"/>
      <c r="F184" s="1684"/>
      <c r="G184" s="1702"/>
      <c r="H184" s="1684"/>
      <c r="I184" s="1684"/>
      <c r="J184" s="489"/>
    </row>
    <row r="185" spans="1:10" s="1297" customFormat="1">
      <c r="A185" s="1377" t="str">
        <f>'Sannitary ware'!A22</f>
        <v>4'</v>
      </c>
      <c r="B185" s="863" t="str">
        <f>'Sannitary ware'!B22</f>
        <v xml:space="preserve">     • สะดืออ่างล้างหน้าแบบกด </v>
      </c>
      <c r="C185" s="1437"/>
      <c r="D185" s="874" t="s">
        <v>15</v>
      </c>
      <c r="E185" s="1702"/>
      <c r="F185" s="1684"/>
      <c r="G185" s="1702"/>
      <c r="H185" s="1684"/>
      <c r="I185" s="1684"/>
      <c r="J185" s="489"/>
    </row>
    <row r="186" spans="1:10" s="1297" customFormat="1">
      <c r="A186" s="1377" t="str">
        <f>'Sannitary ware'!A23</f>
        <v>4'</v>
      </c>
      <c r="B186" s="863" t="str">
        <f>'Sannitary ware'!B23</f>
        <v xml:space="preserve">     • สายน้ำดีอ่างล้างหน้าสแตนเลสถักยาว 16" </v>
      </c>
      <c r="C186" s="1437"/>
      <c r="D186" s="874" t="s">
        <v>15</v>
      </c>
      <c r="E186" s="1702"/>
      <c r="F186" s="1684"/>
      <c r="G186" s="1702"/>
      <c r="H186" s="1684"/>
      <c r="I186" s="1684"/>
      <c r="J186" s="489"/>
    </row>
    <row r="187" spans="1:10" s="1297" customFormat="1">
      <c r="A187" s="1377" t="str">
        <f>'Sannitary ware'!A24</f>
        <v>4'</v>
      </c>
      <c r="B187" s="863" t="str">
        <f>'Sannitary ware'!B24</f>
        <v xml:space="preserve">     • STOP VALVE 1/2" </v>
      </c>
      <c r="C187" s="1437"/>
      <c r="D187" s="874" t="s">
        <v>27</v>
      </c>
      <c r="E187" s="1703"/>
      <c r="F187" s="1685"/>
      <c r="G187" s="1703"/>
      <c r="H187" s="1685"/>
      <c r="I187" s="1685"/>
      <c r="J187" s="489"/>
    </row>
    <row r="188" spans="1:10" s="1297" customFormat="1">
      <c r="A188" s="1377">
        <f>'Sannitary ware'!A25</f>
        <v>5</v>
      </c>
      <c r="B188" s="863" t="str">
        <f>'Sannitary ware'!B25</f>
        <v xml:space="preserve"> - บานกระจกเงาหนา 6 มม. ขนาด 4.10  x 1.00 ม.</v>
      </c>
      <c r="C188" s="1437"/>
      <c r="D188" s="505" t="s">
        <v>15</v>
      </c>
      <c r="E188" s="1395"/>
      <c r="F188" s="660"/>
      <c r="G188" s="1396"/>
      <c r="H188" s="665"/>
      <c r="I188" s="665"/>
      <c r="J188" s="660"/>
    </row>
    <row r="189" spans="1:10" s="1297" customFormat="1">
      <c r="A189" s="1377">
        <f>'Sannitary ware'!A26</f>
        <v>5</v>
      </c>
      <c r="B189" s="863" t="str">
        <f>'Sannitary ware'!B26</f>
        <v xml:space="preserve"> - บานกระจกเงาหนา 6 มม. ขนาด 2.90  x 1.00 ม.</v>
      </c>
      <c r="C189" s="1437"/>
      <c r="D189" s="505" t="s">
        <v>15</v>
      </c>
      <c r="E189" s="1395"/>
      <c r="F189" s="660"/>
      <c r="G189" s="1396"/>
      <c r="H189" s="665"/>
      <c r="I189" s="665"/>
      <c r="J189" s="660"/>
    </row>
    <row r="190" spans="1:10" s="1297" customFormat="1">
      <c r="A190" s="1377">
        <f>'Sannitary ware'!A27</f>
        <v>5</v>
      </c>
      <c r="B190" s="863" t="str">
        <f>'Sannitary ware'!B27</f>
        <v xml:space="preserve"> - บานกระจกเงาหนา 6 มม. ขนาด 3.50  x 1.00 ม.</v>
      </c>
      <c r="C190" s="1437"/>
      <c r="D190" s="505" t="s">
        <v>15</v>
      </c>
      <c r="E190" s="1395"/>
      <c r="F190" s="660"/>
      <c r="G190" s="1396"/>
      <c r="H190" s="665"/>
      <c r="I190" s="665"/>
      <c r="J190" s="660"/>
    </row>
    <row r="191" spans="1:10" s="1297" customFormat="1">
      <c r="A191" s="1377">
        <f>'Sannitary ware'!A28</f>
        <v>5</v>
      </c>
      <c r="B191" s="863" t="str">
        <f>'Sannitary ware'!B28</f>
        <v xml:space="preserve"> - บานกระจกเงาหนา 6 มม. ขนาด 8.70  x 1.00 ม.</v>
      </c>
      <c r="C191" s="1437"/>
      <c r="D191" s="505" t="s">
        <v>15</v>
      </c>
      <c r="E191" s="1395"/>
      <c r="F191" s="660"/>
      <c r="G191" s="1396"/>
      <c r="H191" s="665"/>
      <c r="I191" s="665"/>
      <c r="J191" s="660"/>
    </row>
    <row r="192" spans="1:10" s="1297" customFormat="1">
      <c r="A192" s="1377">
        <f>'Sannitary ware'!R26</f>
        <v>5</v>
      </c>
      <c r="B192" s="863" t="str">
        <f>'Sannitary ware'!S26</f>
        <v xml:space="preserve"> - บานกระจกเงาหนา 6 มม. ขนาด 2.80  x 1.00 ม.</v>
      </c>
      <c r="C192" s="1437"/>
      <c r="D192" s="874" t="s">
        <v>15</v>
      </c>
      <c r="E192" s="1395"/>
      <c r="F192" s="660"/>
      <c r="G192" s="1396"/>
      <c r="H192" s="665"/>
      <c r="I192" s="665"/>
      <c r="J192" s="660"/>
    </row>
    <row r="193" spans="1:10" s="1297" customFormat="1">
      <c r="A193" s="1377">
        <f>'Sannitary ware'!R27</f>
        <v>5</v>
      </c>
      <c r="B193" s="863" t="str">
        <f>'Sannitary ware'!S27</f>
        <v xml:space="preserve"> - บานกระจกเงาหนา 6 มม. ขนาด 3.00  x 1.00 ม.</v>
      </c>
      <c r="C193" s="1437"/>
      <c r="D193" s="874" t="s">
        <v>15</v>
      </c>
      <c r="E193" s="1395"/>
      <c r="F193" s="660"/>
      <c r="G193" s="1396"/>
      <c r="H193" s="665"/>
      <c r="I193" s="665"/>
      <c r="J193" s="660"/>
    </row>
    <row r="194" spans="1:10" s="1297" customFormat="1">
      <c r="A194" s="1377">
        <f>'Sannitary ware'!R28</f>
        <v>5</v>
      </c>
      <c r="B194" s="863" t="str">
        <f>'Sannitary ware'!S28</f>
        <v xml:space="preserve"> - บานกระจกเงาหนา 6 มม. ขนาด 3.70  x 1.00 ม.</v>
      </c>
      <c r="C194" s="1437"/>
      <c r="D194" s="874" t="s">
        <v>15</v>
      </c>
      <c r="E194" s="1395"/>
      <c r="F194" s="660"/>
      <c r="G194" s="1396"/>
      <c r="H194" s="665"/>
      <c r="I194" s="665"/>
      <c r="J194" s="660"/>
    </row>
    <row r="195" spans="1:10" s="1297" customFormat="1">
      <c r="A195" s="1377">
        <f>'Sannitary ware'!R29</f>
        <v>5</v>
      </c>
      <c r="B195" s="863" t="str">
        <f>'Sannitary ware'!S29</f>
        <v xml:space="preserve"> - บานกระจกเงาหนา 6 มม. ขนาด 5.60  x 1.00 ม. </v>
      </c>
      <c r="C195" s="1437"/>
      <c r="D195" s="874" t="s">
        <v>15</v>
      </c>
      <c r="E195" s="1395"/>
      <c r="F195" s="660"/>
      <c r="G195" s="1396"/>
      <c r="H195" s="665"/>
      <c r="I195" s="665"/>
      <c r="J195" s="660"/>
    </row>
    <row r="196" spans="1:10" s="1297" customFormat="1">
      <c r="A196" s="1377">
        <f>'Sannitary ware'!A29</f>
        <v>5</v>
      </c>
      <c r="B196" s="863" t="str">
        <f>'Sannitary ware'!B29</f>
        <v xml:space="preserve"> - บานกระจกเงาหนา 6 มม. ขนาด 0.60  x 1.00 ม. (ห้องน้ำผู้พิการ)</v>
      </c>
      <c r="C196" s="1437"/>
      <c r="D196" s="505" t="s">
        <v>15</v>
      </c>
      <c r="E196" s="1395"/>
      <c r="F196" s="660"/>
      <c r="G196" s="1396"/>
      <c r="H196" s="665"/>
      <c r="I196" s="665"/>
      <c r="J196" s="660"/>
    </row>
    <row r="197" spans="1:10" s="1297" customFormat="1">
      <c r="A197" s="1377">
        <f>'Sannitary ware'!R25</f>
        <v>5</v>
      </c>
      <c r="B197" s="863" t="str">
        <f>'Sannitary ware'!S25</f>
        <v xml:space="preserve"> - บานกระจกเงาหนา 6 มม. ขนาด 1.00  x 1.00 ม.(ห้องน้ำผู้พิการ)</v>
      </c>
      <c r="C197" s="1437"/>
      <c r="D197" s="874" t="s">
        <v>15</v>
      </c>
      <c r="E197" s="1395"/>
      <c r="F197" s="660"/>
      <c r="G197" s="1396"/>
      <c r="H197" s="665"/>
      <c r="I197" s="665"/>
      <c r="J197" s="660"/>
    </row>
    <row r="198" spans="1:10" s="1297" customFormat="1">
      <c r="A198" s="1377">
        <f>'Sannitary ware'!A30</f>
        <v>6</v>
      </c>
      <c r="B198" s="863" t="str">
        <f>'Sannitary ware'!B30</f>
        <v xml:space="preserve"> - ราวจับตัวแอล</v>
      </c>
      <c r="C198" s="1437"/>
      <c r="D198" s="505" t="s">
        <v>15</v>
      </c>
      <c r="E198" s="1395"/>
      <c r="F198" s="660"/>
      <c r="G198" s="1396"/>
      <c r="H198" s="665"/>
      <c r="I198" s="665"/>
      <c r="J198" s="660"/>
    </row>
    <row r="199" spans="1:10" s="1297" customFormat="1">
      <c r="A199" s="1377" t="str">
        <f>'Sannitary ware'!A31</f>
        <v>6'</v>
      </c>
      <c r="B199" s="863" t="str">
        <f>'Sannitary ware'!B31</f>
        <v xml:space="preserve"> - ราวจับตัวที</v>
      </c>
      <c r="C199" s="1437"/>
      <c r="D199" s="505" t="s">
        <v>15</v>
      </c>
      <c r="E199" s="1395"/>
      <c r="F199" s="660"/>
      <c r="G199" s="1396"/>
      <c r="H199" s="665"/>
      <c r="I199" s="665"/>
      <c r="J199" s="660"/>
    </row>
    <row r="200" spans="1:10" s="1297" customFormat="1">
      <c r="A200" s="1377">
        <f>'Sannitary ware'!R34</f>
        <v>9</v>
      </c>
      <c r="B200" s="863" t="str">
        <f>'Sannitary ware'!S34</f>
        <v xml:space="preserve"> - ฝักบัว</v>
      </c>
      <c r="C200" s="1437"/>
      <c r="D200" s="874" t="s">
        <v>15</v>
      </c>
      <c r="E200" s="1395"/>
      <c r="F200" s="660"/>
      <c r="G200" s="1396"/>
      <c r="H200" s="665"/>
      <c r="I200" s="665"/>
      <c r="J200" s="660"/>
    </row>
    <row r="201" spans="1:10" s="1297" customFormat="1">
      <c r="A201" s="1377">
        <f>'Sannitary ware'!I18</f>
        <v>6</v>
      </c>
      <c r="B201" s="863" t="str">
        <f>'Sannitary ware'!J18</f>
        <v xml:space="preserve"> - ชุดฝักบัวก้านแข็งพร้อมฝักบัวสายอ่อน </v>
      </c>
      <c r="C201" s="1437"/>
      <c r="D201" s="874" t="s">
        <v>27</v>
      </c>
      <c r="E201" s="1395"/>
      <c r="F201" s="660"/>
      <c r="G201" s="1396"/>
      <c r="H201" s="665"/>
      <c r="I201" s="665"/>
      <c r="J201" s="660"/>
    </row>
    <row r="202" spans="1:10" s="1297" customFormat="1">
      <c r="A202" s="1377">
        <f>'Sannitary ware'!A32</f>
        <v>7</v>
      </c>
      <c r="B202" s="863" t="str">
        <f>'Sannitary ware'!B32</f>
        <v xml:space="preserve"> - ที่ใส่กระดาษชำระ (ห้องผู้พิการ,ห้อง VIP)</v>
      </c>
      <c r="C202" s="1437"/>
      <c r="D202" s="505" t="s">
        <v>15</v>
      </c>
      <c r="E202" s="1395"/>
      <c r="F202" s="660"/>
      <c r="G202" s="1396"/>
      <c r="H202" s="665"/>
      <c r="I202" s="665"/>
      <c r="J202" s="660"/>
    </row>
    <row r="203" spans="1:10" s="1297" customFormat="1">
      <c r="A203" s="1377">
        <f>'Sannitary ware'!R32</f>
        <v>7</v>
      </c>
      <c r="B203" s="863" t="str">
        <f>'Sannitary ware'!S32</f>
        <v xml:space="preserve"> - ที่ใส่กระดาษชำระ (ห้องผู้พิการ)</v>
      </c>
      <c r="C203" s="1437"/>
      <c r="D203" s="874" t="s">
        <v>15</v>
      </c>
      <c r="E203" s="1395"/>
      <c r="F203" s="660"/>
      <c r="G203" s="1396"/>
      <c r="H203" s="665"/>
      <c r="I203" s="665"/>
      <c r="J203" s="660"/>
    </row>
    <row r="204" spans="1:10" s="1297" customFormat="1">
      <c r="A204" s="1377">
        <f>'Sannitary ware'!I19</f>
        <v>7</v>
      </c>
      <c r="B204" s="863" t="str">
        <f>'Sannitary ware'!J19</f>
        <v xml:space="preserve"> - ที่วางสบู่ </v>
      </c>
      <c r="C204" s="1437"/>
      <c r="D204" s="874" t="s">
        <v>15</v>
      </c>
      <c r="E204" s="1395"/>
      <c r="F204" s="660"/>
      <c r="G204" s="1396"/>
      <c r="H204" s="665"/>
      <c r="I204" s="665"/>
      <c r="J204" s="660"/>
    </row>
    <row r="205" spans="1:10" s="1297" customFormat="1">
      <c r="A205" s="1377">
        <f>'Sannitary ware'!R35</f>
        <v>10</v>
      </c>
      <c r="B205" s="863" t="str">
        <f>'Sannitary ware'!S35</f>
        <v xml:space="preserve"> - ก็อกอ่างล้างมือ</v>
      </c>
      <c r="C205" s="1437"/>
      <c r="D205" s="874" t="s">
        <v>15</v>
      </c>
      <c r="E205" s="1395"/>
      <c r="F205" s="660"/>
      <c r="G205" s="1396"/>
      <c r="H205" s="665"/>
      <c r="I205" s="665"/>
      <c r="J205" s="660"/>
    </row>
    <row r="206" spans="1:10" s="1297" customFormat="1">
      <c r="A206" s="1377">
        <f>'Sannitary ware'!A33</f>
        <v>8</v>
      </c>
      <c r="B206" s="863" t="str">
        <f>'Sannitary ware'!B33</f>
        <v xml:space="preserve"> - ก๊อกล้างพื้น </v>
      </c>
      <c r="C206" s="1437"/>
      <c r="D206" s="505" t="s">
        <v>15</v>
      </c>
      <c r="E206" s="1395"/>
      <c r="F206" s="660"/>
      <c r="G206" s="1396"/>
      <c r="H206" s="665"/>
      <c r="I206" s="665"/>
      <c r="J206" s="660"/>
    </row>
    <row r="207" spans="1:10" s="1297" customFormat="1">
      <c r="A207" s="1377"/>
      <c r="B207" s="863" t="str">
        <f>'Sannitary ware'!B34</f>
        <v xml:space="preserve"> - ตะแกรงระบายน้ำที่พื้น </v>
      </c>
      <c r="C207" s="1437"/>
      <c r="D207" s="505" t="s">
        <v>15</v>
      </c>
      <c r="E207" s="1395"/>
      <c r="F207" s="660"/>
      <c r="G207" s="1396"/>
      <c r="H207" s="665"/>
      <c r="I207" s="665"/>
      <c r="J207" s="660"/>
    </row>
    <row r="208" spans="1:10" s="1297" customFormat="1">
      <c r="A208" s="1377" t="str">
        <f>'Sannitary ware'!A35</f>
        <v>P</v>
      </c>
      <c r="B208" s="863" t="str">
        <f>'Sannitary ware'!B35</f>
        <v xml:space="preserve"> - ชุดผนังห้องน้ำสำเร็จรูป </v>
      </c>
      <c r="C208" s="1437"/>
      <c r="D208" s="505" t="s">
        <v>15</v>
      </c>
      <c r="E208" s="1395"/>
      <c r="F208" s="660"/>
      <c r="G208" s="1396"/>
      <c r="H208" s="665"/>
      <c r="I208" s="665"/>
      <c r="J208" s="660"/>
    </row>
    <row r="209" spans="1:10" s="1297" customFormat="1">
      <c r="A209" s="1377"/>
      <c r="B209" s="863" t="str">
        <f>'Sannitary ware'!B37</f>
        <v xml:space="preserve"> - TOP หินแกรนิตสีดำ</v>
      </c>
      <c r="C209" s="1437"/>
      <c r="D209" s="505" t="s">
        <v>16</v>
      </c>
      <c r="E209" s="1395"/>
      <c r="F209" s="660"/>
      <c r="G209" s="1396"/>
      <c r="H209" s="665"/>
      <c r="I209" s="665"/>
      <c r="J209" s="660"/>
    </row>
    <row r="210" spans="1:10" s="1297" customFormat="1">
      <c r="A210" s="685"/>
      <c r="B210" s="863" t="str">
        <f>'Sannitary ware'!S39</f>
        <v xml:space="preserve"> - TOP หินแกรนิตสีดำจีน หนา 25 มม.</v>
      </c>
      <c r="C210" s="1437"/>
      <c r="D210" s="505" t="s">
        <v>16</v>
      </c>
      <c r="E210" s="1395"/>
      <c r="F210" s="660"/>
      <c r="G210" s="1396"/>
      <c r="H210" s="665"/>
      <c r="I210" s="665"/>
      <c r="J210" s="660"/>
    </row>
    <row r="211" spans="1:10" s="1297" customFormat="1">
      <c r="A211" s="1377"/>
      <c r="B211" s="863" t="str">
        <f>'Sannitary ware'!B38</f>
        <v xml:space="preserve"> - งานหล่อเคาน์เตอร์</v>
      </c>
      <c r="C211" s="1437"/>
      <c r="D211" s="874" t="s">
        <v>14</v>
      </c>
      <c r="E211" s="1395"/>
      <c r="F211" s="660"/>
      <c r="G211" s="1396"/>
      <c r="H211" s="665"/>
      <c r="I211" s="665"/>
      <c r="J211" s="660"/>
    </row>
    <row r="212" spans="1:10" s="1297" customFormat="1">
      <c r="A212" s="1378"/>
      <c r="B212" s="863" t="s">
        <v>453</v>
      </c>
      <c r="C212" s="1453"/>
      <c r="D212" s="505" t="s">
        <v>42</v>
      </c>
      <c r="E212" s="489"/>
      <c r="F212" s="660"/>
      <c r="G212" s="672"/>
      <c r="H212" s="660"/>
      <c r="I212" s="665"/>
      <c r="J212" s="660"/>
    </row>
    <row r="213" spans="1:10" s="1297" customFormat="1">
      <c r="A213" s="1378"/>
      <c r="B213" s="863" t="s">
        <v>454</v>
      </c>
      <c r="C213" s="1453"/>
      <c r="D213" s="505" t="s">
        <v>43</v>
      </c>
      <c r="E213" s="489"/>
      <c r="F213" s="660"/>
      <c r="G213" s="672"/>
      <c r="H213" s="660"/>
      <c r="I213" s="665"/>
      <c r="J213" s="660"/>
    </row>
    <row r="214" spans="1:10" s="1297" customFormat="1">
      <c r="A214" s="1378"/>
      <c r="B214" s="863" t="s">
        <v>455</v>
      </c>
      <c r="C214" s="1454"/>
      <c r="D214" s="505" t="s">
        <v>43</v>
      </c>
      <c r="E214" s="489"/>
      <c r="F214" s="660"/>
      <c r="G214" s="672"/>
      <c r="H214" s="660"/>
      <c r="I214" s="665"/>
      <c r="J214" s="489"/>
    </row>
    <row r="215" spans="1:10" s="1297" customFormat="1">
      <c r="A215" s="1378"/>
      <c r="B215" s="863" t="s">
        <v>456</v>
      </c>
      <c r="C215" s="1455"/>
      <c r="D215" s="505" t="s">
        <v>19</v>
      </c>
      <c r="E215" s="489"/>
      <c r="F215" s="660"/>
      <c r="G215" s="672"/>
      <c r="H215" s="660"/>
      <c r="I215" s="665"/>
      <c r="J215" s="489"/>
    </row>
    <row r="216" spans="1:10" s="1297" customFormat="1">
      <c r="A216" s="1378"/>
      <c r="B216" s="863" t="s">
        <v>457</v>
      </c>
      <c r="C216" s="1454"/>
      <c r="D216" s="874" t="s">
        <v>16</v>
      </c>
      <c r="E216" s="489"/>
      <c r="F216" s="660"/>
      <c r="G216" s="672"/>
      <c r="H216" s="660"/>
      <c r="I216" s="665"/>
      <c r="J216" s="489"/>
    </row>
    <row r="217" spans="1:10" s="1297" customFormat="1">
      <c r="A217" s="661">
        <v>2.7</v>
      </c>
      <c r="B217" s="785" t="s">
        <v>47</v>
      </c>
      <c r="C217" s="1437"/>
      <c r="D217" s="505"/>
      <c r="E217" s="489"/>
      <c r="F217" s="660"/>
      <c r="G217" s="672"/>
      <c r="H217" s="665"/>
      <c r="I217" s="665"/>
      <c r="J217" s="489"/>
    </row>
    <row r="218" spans="1:10" s="1297" customFormat="1">
      <c r="A218" s="661"/>
      <c r="B218" s="785" t="s">
        <v>48</v>
      </c>
      <c r="C218" s="1437"/>
      <c r="D218" s="505"/>
      <c r="E218" s="489"/>
      <c r="F218" s="660"/>
      <c r="G218" s="672"/>
      <c r="H218" s="665"/>
      <c r="I218" s="665"/>
      <c r="J218" s="489"/>
    </row>
    <row r="219" spans="1:10" s="1297" customFormat="1" ht="48">
      <c r="A219" s="661"/>
      <c r="B219" s="924" t="str">
        <f>'Architecture '!DV14</f>
        <v xml:space="preserve"> - A.D1 ประตูบานเปิดสวิงคู่พร้อมช่องแสงติดตาย วงกบ 2"x4" อบสีดำ ลูกฟัก กระจกลามิเนตเขียวใสตัดแสง 6 มม. ขนาด 4.15 x 2.85 มม.</v>
      </c>
      <c r="C219" s="1456"/>
      <c r="D219" s="744" t="s">
        <v>15</v>
      </c>
      <c r="E219" s="527"/>
      <c r="F219" s="668"/>
      <c r="G219" s="669"/>
      <c r="H219" s="668"/>
      <c r="I219" s="670"/>
      <c r="J219" s="1376"/>
    </row>
    <row r="220" spans="1:10" s="1297" customFormat="1" ht="48">
      <c r="A220" s="661"/>
      <c r="B220" s="924" t="str">
        <f>'Architecture '!DV15</f>
        <v xml:space="preserve"> - A.D2 ประตูบานเปิดสวิงคู่พร้อมช่องแสงติดตาย วงกบ 2"x4" อบสีดำ ลูกฟัก กระจกลามิเนตใสตัดแสง 6 มม. ขนาด 5.40 x 2.85 มม.</v>
      </c>
      <c r="C220" s="1456"/>
      <c r="D220" s="744" t="s">
        <v>15</v>
      </c>
      <c r="E220" s="527"/>
      <c r="F220" s="668"/>
      <c r="G220" s="669"/>
      <c r="H220" s="668"/>
      <c r="I220" s="670"/>
      <c r="J220" s="1376"/>
    </row>
    <row r="221" spans="1:10" s="1297" customFormat="1" ht="48">
      <c r="A221" s="661"/>
      <c r="B221" s="924" t="str">
        <f>'Architecture '!DV16</f>
        <v xml:space="preserve"> - A.D3 ประตูบานเปิดสวิงคู่พร้อมช่องแสงติดตาย วงกบ 2"x4" อบสีดำ ลูกฟัก กระจกลามิเนตใสตัดแสง 6 มม. ขนาด 5.40 x 2.85 มม.</v>
      </c>
      <c r="C221" s="1456"/>
      <c r="D221" s="744" t="s">
        <v>15</v>
      </c>
      <c r="E221" s="527"/>
      <c r="F221" s="668"/>
      <c r="G221" s="669"/>
      <c r="H221" s="668"/>
      <c r="I221" s="670"/>
      <c r="J221" s="1376"/>
    </row>
    <row r="222" spans="1:10" s="1297" customFormat="1" ht="48">
      <c r="A222" s="661"/>
      <c r="B222" s="924" t="str">
        <f>'Architecture '!DV17</f>
        <v xml:space="preserve"> - A.D4 ประตูบานเปิดสวิงคู่พร้อมช่องแสงติดตาย วงกบ 2"x4" อบสีดำ ลูกฟัก กระจกลามิเนตใสตัดแสง 6 มม. ขนาด 2.10 x 2.85 มม.</v>
      </c>
      <c r="C222" s="1456"/>
      <c r="D222" s="744" t="s">
        <v>15</v>
      </c>
      <c r="E222" s="527"/>
      <c r="F222" s="668"/>
      <c r="G222" s="669"/>
      <c r="H222" s="668"/>
      <c r="I222" s="670"/>
      <c r="J222" s="1376"/>
    </row>
    <row r="223" spans="1:10" s="1297" customFormat="1" ht="48">
      <c r="A223" s="661"/>
      <c r="B223" s="924" t="str">
        <f>'Architecture '!DV18</f>
        <v xml:space="preserve"> - A.D5 ประตูบานเปิดเดี่ยวพร้อมเกล็ดระบายอากาศด้านล่าง วงกบ ขนาด 2"x5" ทำสีตามตัวอย่าง ขนาด 0.80 x 2.05 มม.</v>
      </c>
      <c r="C223" s="1456"/>
      <c r="D223" s="744" t="s">
        <v>15</v>
      </c>
      <c r="E223" s="527"/>
      <c r="F223" s="668"/>
      <c r="G223" s="669"/>
      <c r="H223" s="668"/>
      <c r="I223" s="670"/>
      <c r="J223" s="1376"/>
    </row>
    <row r="224" spans="1:10" s="1297" customFormat="1" ht="48">
      <c r="A224" s="661"/>
      <c r="B224" s="924" t="str">
        <f>'Architecture '!DV19</f>
        <v xml:space="preserve"> - A.D6 ประตูบานเปิดคู่พร้อมช่องแสงติดตาย วงกบ ขนาด 2"x4" ทำสีตามตัวอย่าง ลูกฟัก กระจกลามิเนตใสตัดแสง 6 มม. ขนาด 2.10 x 2.85 มม.</v>
      </c>
      <c r="C224" s="1456"/>
      <c r="D224" s="744" t="s">
        <v>15</v>
      </c>
      <c r="E224" s="527"/>
      <c r="F224" s="668"/>
      <c r="G224" s="669"/>
      <c r="H224" s="668"/>
      <c r="I224" s="670"/>
      <c r="J224" s="1376"/>
    </row>
    <row r="225" spans="1:10" s="1297" customFormat="1" ht="48">
      <c r="A225" s="661"/>
      <c r="B225" s="924" t="str">
        <f>'Architecture '!DV20</f>
        <v xml:space="preserve"> - A.D6.1 ประตูบานเปิดคู่พร้อมช่องแสงติดตาย วงกบ ขนาด 2"x4" ทำสีตามตัวอย่าง ลูกฟัก กระจกลามิเนตใสตัดแสง 6 มม. ขนาด 2.10 x 2.50 มม.</v>
      </c>
      <c r="C225" s="1456"/>
      <c r="D225" s="744" t="s">
        <v>15</v>
      </c>
      <c r="E225" s="527"/>
      <c r="F225" s="668"/>
      <c r="G225" s="669"/>
      <c r="H225" s="668"/>
      <c r="I225" s="670"/>
      <c r="J225" s="1376"/>
    </row>
    <row r="226" spans="1:10" s="1297" customFormat="1" ht="50.25" customHeight="1">
      <c r="A226" s="661"/>
      <c r="B226" s="924" t="str">
        <f>'Architecture '!DV21</f>
        <v xml:space="preserve"> - A.D7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1.90 x 2.05 มม.</v>
      </c>
      <c r="C226" s="1456"/>
      <c r="D226" s="744" t="s">
        <v>15</v>
      </c>
      <c r="E226" s="527"/>
      <c r="F226" s="668"/>
      <c r="G226" s="669"/>
      <c r="H226" s="668"/>
      <c r="I226" s="670"/>
      <c r="J226" s="1376"/>
    </row>
    <row r="227" spans="1:10" s="1297" customFormat="1" ht="48">
      <c r="A227" s="661"/>
      <c r="B227" s="924" t="str">
        <f>'Architecture '!DV22</f>
        <v xml:space="preserve"> - A.D8 ประตูบานเปิดสวิงคู่พร้อมช่องแสงติดตาย วงกบ 2"x4" อบสีดำ ลูกฟัก กระจกลามิเนตเขียวใสตัดแสง 6 มม. ขนาด 7.40 x 2.85 มม.</v>
      </c>
      <c r="C227" s="1456"/>
      <c r="D227" s="744" t="s">
        <v>15</v>
      </c>
      <c r="E227" s="527"/>
      <c r="F227" s="668"/>
      <c r="G227" s="669"/>
      <c r="H227" s="668"/>
      <c r="I227" s="670"/>
      <c r="J227" s="1376"/>
    </row>
    <row r="228" spans="1:10" s="1297" customFormat="1" ht="48">
      <c r="A228" s="661"/>
      <c r="B228" s="924" t="str">
        <f>'Architecture '!DV23</f>
        <v xml:space="preserve"> - A.D9 ประตูบานเปิดสวิงคู่พร้อมช่องแสงติดตาย วงกบ 2"x4" อบสีดำ ลูกฟัก กระจกลามิเนตใสตัดแสง 6 มม. ขนาด 2.10 x 2.50 มม.</v>
      </c>
      <c r="C228" s="1456"/>
      <c r="D228" s="744" t="s">
        <v>15</v>
      </c>
      <c r="E228" s="527"/>
      <c r="F228" s="668"/>
      <c r="G228" s="669"/>
      <c r="H228" s="668"/>
      <c r="I228" s="670"/>
      <c r="J228" s="1376"/>
    </row>
    <row r="229" spans="1:10" s="1297" customFormat="1" ht="48">
      <c r="A229" s="661"/>
      <c r="B229" s="924" t="str">
        <f>'Architecture '!DV24</f>
        <v xml:space="preserve"> - A.D9.1 ประตูบานเปิดสวิงคู่พร้อมช่องแสงติดตาย วงกบ 2"x4" อบสีดำ ลูกฟัก กระจกลามิเนตใสตัดแสง 6 มม. ขนาด 2.10 x 2.85 มม.</v>
      </c>
      <c r="C229" s="1456"/>
      <c r="D229" s="744" t="s">
        <v>15</v>
      </c>
      <c r="E229" s="527"/>
      <c r="F229" s="668"/>
      <c r="G229" s="669"/>
      <c r="H229" s="668"/>
      <c r="I229" s="670"/>
      <c r="J229" s="1376"/>
    </row>
    <row r="230" spans="1:10" s="1297" customFormat="1" ht="48">
      <c r="A230" s="661"/>
      <c r="B230" s="924" t="str">
        <f>'Architecture '!DV25</f>
        <v xml:space="preserve"> - A.D10 ประตูบานเปิดคู่สวิง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230" s="1456"/>
      <c r="D230" s="744" t="s">
        <v>15</v>
      </c>
      <c r="E230" s="527"/>
      <c r="F230" s="668"/>
      <c r="G230" s="669"/>
      <c r="H230" s="668"/>
      <c r="I230" s="670"/>
      <c r="J230" s="1376"/>
    </row>
    <row r="231" spans="1:10" s="1297" customFormat="1" ht="48">
      <c r="A231" s="661"/>
      <c r="B231" s="924" t="str">
        <f>'Architecture '!DV26</f>
        <v xml:space="preserve"> - A.D11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231" s="1456"/>
      <c r="D231" s="744" t="s">
        <v>15</v>
      </c>
      <c r="E231" s="527"/>
      <c r="F231" s="668"/>
      <c r="G231" s="669"/>
      <c r="H231" s="668"/>
      <c r="I231" s="670"/>
      <c r="J231" s="1376"/>
    </row>
    <row r="232" spans="1:10" s="1297" customFormat="1">
      <c r="A232" s="661"/>
      <c r="B232" s="925" t="str">
        <f>'Architecture '!DV27</f>
        <v xml:space="preserve"> - A.D12 ประตูบานเลื่อนสำเร็จรูป สีเทา (หรือเทียบเท่า) ขนาด 1.00 x 2.50 มม.</v>
      </c>
      <c r="C232" s="1456"/>
      <c r="D232" s="744" t="s">
        <v>15</v>
      </c>
      <c r="E232" s="527"/>
      <c r="F232" s="668"/>
      <c r="G232" s="669"/>
      <c r="H232" s="668"/>
      <c r="I232" s="670"/>
      <c r="J232" s="1376"/>
    </row>
    <row r="233" spans="1:10" s="1297" customFormat="1" ht="48">
      <c r="A233" s="661"/>
      <c r="B233" s="924" t="str">
        <f>'Architecture '!DV28</f>
        <v xml:space="preserve"> - A.D13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233" s="1456"/>
      <c r="D233" s="744" t="s">
        <v>15</v>
      </c>
      <c r="E233" s="527"/>
      <c r="F233" s="668"/>
      <c r="G233" s="669"/>
      <c r="H233" s="668"/>
      <c r="I233" s="670"/>
      <c r="J233" s="1376"/>
    </row>
    <row r="234" spans="1:10" s="1297" customFormat="1" ht="48">
      <c r="A234" s="661"/>
      <c r="B234" s="924" t="str">
        <f>'Architecture '!DV29</f>
        <v xml:space="preserve"> - A.D14 ประตูบานเปิดเดี่ยวพร้อมช่องแสงติดตาย วงกบ ขนาด 2"x4" ทำสีตามตัวอย่าง ลูกฟัก กระจกลามิเนตใส 6 มม. ขนาด 1.10 x 2.50 มม.</v>
      </c>
      <c r="C234" s="1456"/>
      <c r="D234" s="744" t="s">
        <v>15</v>
      </c>
      <c r="E234" s="527"/>
      <c r="F234" s="668"/>
      <c r="G234" s="669"/>
      <c r="H234" s="668"/>
      <c r="I234" s="670"/>
      <c r="J234" s="1376"/>
    </row>
    <row r="235" spans="1:10" s="1297" customFormat="1" ht="48">
      <c r="A235" s="661"/>
      <c r="B235" s="924" t="str">
        <f>'Architecture '!DV30</f>
        <v xml:space="preserve"> - A.D15 ประตูบานเปิดคู่พร้อมช่องแสงติดตาย วงกบ 2"x4" อบสีดำ ลูกฟัก กระจกลามิเนตใส 6 มม. ขนาด 5.40 x 2.50 มม.</v>
      </c>
      <c r="C235" s="1456"/>
      <c r="D235" s="744" t="s">
        <v>15</v>
      </c>
      <c r="E235" s="527"/>
      <c r="F235" s="668"/>
      <c r="G235" s="669"/>
      <c r="H235" s="668"/>
      <c r="I235" s="670"/>
      <c r="J235" s="1376"/>
    </row>
    <row r="236" spans="1:10" s="1297" customFormat="1" ht="48">
      <c r="A236" s="661"/>
      <c r="B236" s="924" t="s">
        <v>2548</v>
      </c>
      <c r="C236" s="1456"/>
      <c r="D236" s="744" t="s">
        <v>15</v>
      </c>
      <c r="E236" s="527"/>
      <c r="F236" s="668"/>
      <c r="G236" s="669"/>
      <c r="H236" s="668"/>
      <c r="I236" s="670"/>
      <c r="J236" s="1376"/>
    </row>
    <row r="237" spans="1:10" s="1297" customFormat="1" ht="48">
      <c r="A237" s="661"/>
      <c r="B237" s="924" t="str">
        <f>'Architecture '!DV190</f>
        <v xml:space="preserve"> - B.D1 ประตูบานเหล็กม้วน วงกบเหล็ก 2"x4" ทำสีตามตัวอย่าง พร้อมระบบมอเตอร์ไฟฟ้า ขนาด 5.50 x 2.50 มม.</v>
      </c>
      <c r="C237" s="1437"/>
      <c r="D237" s="505" t="s">
        <v>15</v>
      </c>
      <c r="E237" s="489"/>
      <c r="F237" s="660"/>
      <c r="G237" s="672"/>
      <c r="H237" s="660"/>
      <c r="I237" s="665"/>
      <c r="J237" s="1376"/>
    </row>
    <row r="238" spans="1:10" s="1297" customFormat="1" ht="49.5" customHeight="1">
      <c r="A238" s="661"/>
      <c r="B238" s="924" t="str">
        <f>'Architecture '!DV191</f>
        <v xml:space="preserve"> - B.D2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2.00 x 2.05 มม.</v>
      </c>
      <c r="C238" s="1456"/>
      <c r="D238" s="744" t="s">
        <v>15</v>
      </c>
      <c r="E238" s="527"/>
      <c r="F238" s="668"/>
      <c r="G238" s="669"/>
      <c r="H238" s="668"/>
      <c r="I238" s="670"/>
      <c r="J238" s="1376"/>
    </row>
    <row r="239" spans="1:10" s="1297" customFormat="1" ht="48">
      <c r="A239" s="661"/>
      <c r="B239" s="924" t="str">
        <f>'Architecture '!DV192</f>
        <v xml:space="preserve"> - B.D3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239" s="1456"/>
      <c r="D239" s="744" t="s">
        <v>15</v>
      </c>
      <c r="E239" s="527"/>
      <c r="F239" s="668"/>
      <c r="G239" s="669"/>
      <c r="H239" s="668"/>
      <c r="I239" s="670"/>
      <c r="J239" s="1376"/>
    </row>
    <row r="240" spans="1:10" s="1297" customFormat="1" ht="48" customHeight="1">
      <c r="A240" s="661"/>
      <c r="B240" s="924" t="str">
        <f>'Architecture '!DV251</f>
        <v xml:space="preserve"> - C.D1 ประตูกระจกบานเปลือยสวิงคู่พร้อมช่องแสงติดตาย กระจกลามิเนตเขียวใสตัดแสง 6 + 6 มม. ขนาด 8.10 x 5.60 มม.</v>
      </c>
      <c r="C240" s="1456"/>
      <c r="D240" s="744" t="s">
        <v>15</v>
      </c>
      <c r="E240" s="527"/>
      <c r="F240" s="668"/>
      <c r="G240" s="669"/>
      <c r="H240" s="668"/>
      <c r="I240" s="670"/>
      <c r="J240" s="1376"/>
    </row>
    <row r="241" spans="1:10" s="1297" customFormat="1" ht="48" customHeight="1">
      <c r="A241" s="661"/>
      <c r="B241" s="927" t="str">
        <f>'Architecture '!DV252</f>
        <v xml:space="preserve"> - C.D2 ประตูกระจกบานเปลือยสวิงคู่พร้อมช่องแสงติดตาย วงกบ 2"x4" อบสีดำ ลูกฟัก กระจกลามิเนตเขียวใส 3+3 มม. ขนาด 7.90 x 4.40 มม.</v>
      </c>
      <c r="C241" s="1456"/>
      <c r="D241" s="744" t="s">
        <v>15</v>
      </c>
      <c r="E241" s="527"/>
      <c r="F241" s="668"/>
      <c r="G241" s="669"/>
      <c r="H241" s="668"/>
      <c r="I241" s="670"/>
      <c r="J241" s="1376"/>
    </row>
    <row r="242" spans="1:10" s="1297" customFormat="1" ht="48" customHeight="1">
      <c r="A242" s="661"/>
      <c r="B242" s="927" t="str">
        <f>'Architecture '!DV253</f>
        <v xml:space="preserve"> - C.D3 ประตูกระจกบานเปลือยสวิงคู่พร้อมช่องแสงติดตาย วงกบ 2"x4" อบสีดำ ลูกฟัก กระจกลามิเนตเขียวใส 3+3 มม. ขนาด 2.10 x 4.40 มม.</v>
      </c>
      <c r="C242" s="1456"/>
      <c r="D242" s="744" t="s">
        <v>15</v>
      </c>
      <c r="E242" s="527"/>
      <c r="F242" s="668"/>
      <c r="G242" s="669"/>
      <c r="H242" s="668"/>
      <c r="I242" s="670"/>
      <c r="J242" s="1376"/>
    </row>
    <row r="243" spans="1:10" s="1297" customFormat="1" ht="51.75" customHeight="1">
      <c r="A243" s="661"/>
      <c r="B243" s="924" t="str">
        <f>'Architecture '!DV254</f>
        <v xml:space="preserve"> - C.D4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2.10 x 2.55 มม.</v>
      </c>
      <c r="C243" s="1456"/>
      <c r="D243" s="744" t="s">
        <v>15</v>
      </c>
      <c r="E243" s="527"/>
      <c r="F243" s="668"/>
      <c r="G243" s="669"/>
      <c r="H243" s="668"/>
      <c r="I243" s="670"/>
      <c r="J243" s="1376"/>
    </row>
    <row r="244" spans="1:10" s="1297" customFormat="1" ht="48">
      <c r="A244" s="661"/>
      <c r="B244" s="924" t="str">
        <f>'Architecture '!DV255</f>
        <v xml:space="preserve"> - C.D5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1.30 x 2.55 มม.</v>
      </c>
      <c r="C244" s="1456"/>
      <c r="D244" s="744" t="s">
        <v>15</v>
      </c>
      <c r="E244" s="527"/>
      <c r="F244" s="668"/>
      <c r="G244" s="669"/>
      <c r="H244" s="668"/>
      <c r="I244" s="670"/>
      <c r="J244" s="1376"/>
    </row>
    <row r="245" spans="1:10" s="1297" customFormat="1" ht="48">
      <c r="A245" s="661"/>
      <c r="B245" s="924" t="str">
        <f>'Architecture '!DV307</f>
        <v xml:space="preserve"> - D.D1 ประตูบานเปิดสวิงคู่พร้อมช่องแสงติดตาย วงกบ 2"x4" อบสีดำ ลูกฟัก กระจกลามิเนตเขียวใสตัดแสง 6 มม. ขนาด 7.40 x 2.85 มม.</v>
      </c>
      <c r="C245" s="1456"/>
      <c r="D245" s="744" t="s">
        <v>15</v>
      </c>
      <c r="E245" s="527"/>
      <c r="F245" s="668"/>
      <c r="G245" s="669"/>
      <c r="H245" s="668"/>
      <c r="I245" s="670"/>
      <c r="J245" s="1376"/>
    </row>
    <row r="246" spans="1:10" s="1297" customFormat="1" ht="48">
      <c r="A246" s="661"/>
      <c r="B246" s="924" t="str">
        <f>'Architecture '!DV308</f>
        <v xml:space="preserve"> - D.D2 ประตูบานเปิดสวิงคู่พร้อมช่องแสงติดตาย วงกบ 2"x4" อบสีดำ ลูกฟัก กระจกลามิเนตใส 6 มม. ขนาด 5.40 x 2.85 มม.</v>
      </c>
      <c r="C246" s="1456"/>
      <c r="D246" s="744" t="s">
        <v>15</v>
      </c>
      <c r="E246" s="527"/>
      <c r="F246" s="668"/>
      <c r="G246" s="669"/>
      <c r="H246" s="668"/>
      <c r="I246" s="670"/>
      <c r="J246" s="1376"/>
    </row>
    <row r="247" spans="1:10" s="1297" customFormat="1" ht="48">
      <c r="A247" s="661"/>
      <c r="B247" s="924" t="str">
        <f>'Architecture '!DV309</f>
        <v xml:space="preserve"> - D.D3 ประตูบานเปิดคู่พร้อมช่องแสงติดตาย วงกบ 2"x4" ทำสีตามตัวอย่าง ลูกฟัก กระจกลามิเนตใส 6 มม. ขนาด 5.40 x 2.85 มม.</v>
      </c>
      <c r="C247" s="1456"/>
      <c r="D247" s="744" t="s">
        <v>15</v>
      </c>
      <c r="E247" s="527"/>
      <c r="F247" s="668"/>
      <c r="G247" s="669"/>
      <c r="H247" s="668"/>
      <c r="I247" s="670"/>
      <c r="J247" s="1376"/>
    </row>
    <row r="248" spans="1:10" s="1297" customFormat="1" ht="48">
      <c r="A248" s="661"/>
      <c r="B248" s="924" t="str">
        <f>'Architecture '!DV310</f>
        <v xml:space="preserve"> - D.D3.1 ประตูบานเปิดคู่พร้อมช่องแสงติดตาย วงกบ 2"x4" ทำสีตามตัวอย่าง ลูกฟัก กระจกลามิเนตใส 6 มม. ขนาด 1.90 x 2.85 มม.</v>
      </c>
      <c r="C248" s="1456"/>
      <c r="D248" s="744" t="s">
        <v>15</v>
      </c>
      <c r="E248" s="527"/>
      <c r="F248" s="668"/>
      <c r="G248" s="669"/>
      <c r="H248" s="668"/>
      <c r="I248" s="670"/>
      <c r="J248" s="1376"/>
    </row>
    <row r="249" spans="1:10" s="1297" customFormat="1" ht="48">
      <c r="A249" s="661"/>
      <c r="B249" s="924" t="str">
        <f>'Architecture '!DV311</f>
        <v xml:space="preserve"> - D.D3.2 ประตูบานเปิดคู่พร้อมช่องแสงติดตาย วงกบ 2"x4" ทำสีตามตัวอย่าง ลูกฟัก กระจกลามิเนตใส 6 มม. ขนาด 1.90 x 2.85 มม.</v>
      </c>
      <c r="C249" s="1456"/>
      <c r="D249" s="744" t="s">
        <v>15</v>
      </c>
      <c r="E249" s="527"/>
      <c r="F249" s="668"/>
      <c r="G249" s="669"/>
      <c r="H249" s="670"/>
      <c r="I249" s="670"/>
      <c r="J249" s="1376"/>
    </row>
    <row r="250" spans="1:10" s="1297" customFormat="1" ht="48">
      <c r="A250" s="661"/>
      <c r="B250" s="924" t="str">
        <f>'Architecture '!DV312</f>
        <v xml:space="preserve"> - D.D4 ประตูบานเปิดคู่พร้อมช่องแสงติดตาย วงกบ 2"x4" ทำสีตามตัวอย่าง ลูกฟัก กระจกลามิเนตใส 6 มม. ขนาด 3.70 x 2.85 มม.</v>
      </c>
      <c r="C250" s="1456"/>
      <c r="D250" s="744" t="s">
        <v>15</v>
      </c>
      <c r="E250" s="527"/>
      <c r="F250" s="668"/>
      <c r="G250" s="669"/>
      <c r="H250" s="668"/>
      <c r="I250" s="670"/>
      <c r="J250" s="1376"/>
    </row>
    <row r="251" spans="1:10" s="1297" customFormat="1" ht="48">
      <c r="A251" s="661"/>
      <c r="B251" s="924" t="str">
        <f>'Architecture '!DV313</f>
        <v xml:space="preserve"> - D.D5 ประตูบานเปิดคู่พร้อมช่องแสงติดตาย วงกบ 2"x4" ทำสีตามตัวอย่าง ลูกฟัก กระจกลามิเนตใส 6 มม. ขนาด 7.00 x 2.85 มม.</v>
      </c>
      <c r="C251" s="1456"/>
      <c r="D251" s="744" t="s">
        <v>15</v>
      </c>
      <c r="E251" s="527"/>
      <c r="F251" s="668"/>
      <c r="G251" s="669"/>
      <c r="H251" s="668"/>
      <c r="I251" s="670"/>
      <c r="J251" s="1376"/>
    </row>
    <row r="252" spans="1:10" s="1297" customFormat="1" ht="48">
      <c r="A252" s="661"/>
      <c r="B252" s="924" t="str">
        <f>'Architecture '!DV314</f>
        <v xml:space="preserve"> - D.D6 ประตูบานเปิดคู่พร้อมช่องแสงติดตาย วงกบ 2"x4" อบสีดำ ลูกฟัก กระจกลามิเนตใส 6 มม. ขนาด 2.00 x 2.85 มม.</v>
      </c>
      <c r="C252" s="1456"/>
      <c r="D252" s="744" t="s">
        <v>15</v>
      </c>
      <c r="E252" s="527"/>
      <c r="F252" s="668"/>
      <c r="G252" s="669"/>
      <c r="H252" s="668"/>
      <c r="I252" s="670"/>
      <c r="J252" s="1376"/>
    </row>
    <row r="253" spans="1:10" s="1297" customFormat="1" ht="48">
      <c r="A253" s="661"/>
      <c r="B253" s="924" t="str">
        <f>'Architecture '!DV315</f>
        <v xml:space="preserve"> - D.D7 ประตูบานเปิดคู่พร้อมช่องแสงติดตาย วงกบ 2"x4" อบสีดำ ลูกฟัก กระจกลามิเนตใส 6 มม. ขนาด 5.65 x 2.85 มม.</v>
      </c>
      <c r="C253" s="1456"/>
      <c r="D253" s="744" t="s">
        <v>15</v>
      </c>
      <c r="E253" s="527"/>
      <c r="F253" s="668"/>
      <c r="G253" s="669"/>
      <c r="H253" s="668"/>
      <c r="I253" s="670"/>
      <c r="J253" s="1376"/>
    </row>
    <row r="254" spans="1:10" s="1297" customFormat="1" ht="48">
      <c r="A254" s="661"/>
      <c r="B254" s="924" t="str">
        <f>'Architecture '!DV316</f>
        <v xml:space="preserve"> - D.D8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2.00 x 2.50 มม.</v>
      </c>
      <c r="C254" s="1456"/>
      <c r="D254" s="744" t="s">
        <v>15</v>
      </c>
      <c r="E254" s="527"/>
      <c r="F254" s="668"/>
      <c r="G254" s="669"/>
      <c r="H254" s="668"/>
      <c r="I254" s="670"/>
      <c r="J254" s="1376"/>
    </row>
    <row r="255" spans="1:10" s="1297" customFormat="1" ht="48">
      <c r="A255" s="661"/>
      <c r="B255" s="826" t="str">
        <f>'Architecture '!DV317</f>
        <v xml:space="preserve"> - D.D8.1 ประตูบานเปิดคู่ ประตูเหล็กทนไฟตามมาตรฐาน มอก. ทนไฟไม่น้อยกว่า 2 ชม. วงกบเหล็ก มียางกันควันติดที่วงกบ 2''x4'' อบสี ขนาด 2.00 x 2.05 มม.</v>
      </c>
      <c r="C255" s="1456"/>
      <c r="D255" s="744" t="s">
        <v>15</v>
      </c>
      <c r="E255" s="527"/>
      <c r="F255" s="668"/>
      <c r="G255" s="669"/>
      <c r="H255" s="670"/>
      <c r="I255" s="670"/>
      <c r="J255" s="1376"/>
    </row>
    <row r="256" spans="1:10" s="1297" customFormat="1" ht="48">
      <c r="A256" s="661"/>
      <c r="B256" s="924" t="str">
        <f>'Architecture '!DV318</f>
        <v xml:space="preserve"> - D.D9 ประตูบานเปิดสวิงคู่พร้อมช่องแสงติดตาย วงกบ 2"x4" อบสีดำ ลูกฟัก กระจกลามิเนตใส 6 มม. ขนาด 2.10 x 2.85 มม.</v>
      </c>
      <c r="C256" s="1456"/>
      <c r="D256" s="744" t="s">
        <v>15</v>
      </c>
      <c r="E256" s="527"/>
      <c r="F256" s="668"/>
      <c r="G256" s="669"/>
      <c r="H256" s="668"/>
      <c r="I256" s="670"/>
      <c r="J256" s="1376"/>
    </row>
    <row r="257" spans="1:10" s="1297" customFormat="1" ht="48">
      <c r="A257" s="661"/>
      <c r="B257" s="924" t="str">
        <f>'Architecture '!DV319</f>
        <v xml:space="preserve"> - D.D9.1 ประตูบานเปิดสวิงคู่พร้อมช่องแสงติดตาย วงกบ 2"x4" อบสีดำ ลูกฟัก กระจกลามิเนตใส 6 มม. ขนาด 2.10 x 2.50 มม.</v>
      </c>
      <c r="C257" s="1456"/>
      <c r="D257" s="744" t="s">
        <v>15</v>
      </c>
      <c r="E257" s="527"/>
      <c r="F257" s="668"/>
      <c r="G257" s="669"/>
      <c r="H257" s="670"/>
      <c r="I257" s="670"/>
      <c r="J257" s="1376"/>
    </row>
    <row r="258" spans="1:10" s="1297" customFormat="1" ht="48">
      <c r="A258" s="661"/>
      <c r="B258" s="924" t="str">
        <f>'Architecture '!DV319</f>
        <v xml:space="preserve"> - D.D9.1 ประตูบานเปิดสวิงคู่พร้อมช่องแสงติดตาย วงกบ 2"x4" อบสีดำ ลูกฟัก กระจกลามิเนตใส 6 มม. ขนาด 2.10 x 2.50 มม.</v>
      </c>
      <c r="C258" s="1456"/>
      <c r="D258" s="744" t="s">
        <v>15</v>
      </c>
      <c r="E258" s="527"/>
      <c r="F258" s="668"/>
      <c r="G258" s="669"/>
      <c r="H258" s="670"/>
      <c r="I258" s="670"/>
      <c r="J258" s="1376"/>
    </row>
    <row r="259" spans="1:10" s="1297" customFormat="1" ht="48" customHeight="1">
      <c r="A259" s="661"/>
      <c r="B259" s="927" t="str">
        <f>'Architecture '!DV320</f>
        <v xml:space="preserve"> - D.D10 ประตูบานเปิดคู่พร้อมหน้าต่างบานกระทุ้งกระจกช่องแสง ประตูเหล็กทนไฟตามมาตรฐาน มอก. ทนไฟไม่น้อยกว่า 2 ชม. วงกบเหล็ก มียางกันควันติดที่วงกบ 2''x4'' อบสี ขนาด 4.55 x 2.40 มม.</v>
      </c>
      <c r="C259" s="1456"/>
      <c r="D259" s="744" t="s">
        <v>15</v>
      </c>
      <c r="E259" s="527"/>
      <c r="F259" s="668"/>
      <c r="G259" s="669"/>
      <c r="H259" s="668"/>
      <c r="I259" s="670"/>
      <c r="J259" s="1376"/>
    </row>
    <row r="260" spans="1:10" s="1297" customFormat="1" ht="48" customHeight="1">
      <c r="A260" s="661"/>
      <c r="B260" s="924" t="str">
        <f>'Architecture '!DV321</f>
        <v xml:space="preserve"> - D.D11 ประตูบานเปิดเดี่ยวพร้อมเกล็ดระบายอากาศด้านล่าง วงกบ ขนาด 2"x5" ทำสีตามตัวอย่าง ลูกฟัก กระจกฝ้า 6 มม. ขนาด 1.10 x 2.50 มม.</v>
      </c>
      <c r="C260" s="1456"/>
      <c r="D260" s="744" t="s">
        <v>15</v>
      </c>
      <c r="E260" s="527"/>
      <c r="F260" s="668"/>
      <c r="G260" s="669"/>
      <c r="H260" s="668"/>
      <c r="I260" s="670"/>
      <c r="J260" s="1376"/>
    </row>
    <row r="261" spans="1:10" s="1297" customFormat="1" ht="48">
      <c r="A261" s="661"/>
      <c r="B261" s="924" t="str">
        <f>'Architecture '!DV322</f>
        <v xml:space="preserve"> - D.D12 ประตูบานเลื่อนพร้อมเกล็ดระบายอากาศด้านล่าง วงกบ ขนาด 2"x5" ทำสีตามตัวอย่าง ขนาด 1.10 x 2.50 มม.</v>
      </c>
      <c r="C261" s="1456"/>
      <c r="D261" s="744" t="s">
        <v>15</v>
      </c>
      <c r="E261" s="527"/>
      <c r="F261" s="668"/>
      <c r="G261" s="669"/>
      <c r="H261" s="668"/>
      <c r="I261" s="670"/>
      <c r="J261" s="1376"/>
    </row>
    <row r="262" spans="1:10" s="1297" customFormat="1" ht="51.75" customHeight="1">
      <c r="A262" s="661"/>
      <c r="B262" s="924" t="str">
        <f>'Architecture '!DV323</f>
        <v xml:space="preserve"> - D.D13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262" s="1456"/>
      <c r="D262" s="744" t="s">
        <v>15</v>
      </c>
      <c r="E262" s="527"/>
      <c r="F262" s="668"/>
      <c r="G262" s="669"/>
      <c r="H262" s="670"/>
      <c r="I262" s="670"/>
      <c r="J262" s="1376"/>
    </row>
    <row r="263" spans="1:10" s="1297" customFormat="1" ht="55.5" customHeight="1">
      <c r="A263" s="661"/>
      <c r="B263" s="924" t="str">
        <f>'Architecture '!DV324</f>
        <v xml:space="preserve"> - D.D14 ประตูบานเปิดเดี่ยว ประตูเหล็กทนไฟตามมาตรฐาน มอก. ทนไฟไม่น้อยกว่า 2 ชม. วงกบเหล็ก มียางกันควันติดที่วงกบ 2''x4'' อบสี ขนาด 1.10 x 2.05 มม.</v>
      </c>
      <c r="C263" s="1456"/>
      <c r="D263" s="744" t="s">
        <v>15</v>
      </c>
      <c r="E263" s="527"/>
      <c r="F263" s="668"/>
      <c r="G263" s="669"/>
      <c r="H263" s="668"/>
      <c r="I263" s="670"/>
      <c r="J263" s="1376"/>
    </row>
    <row r="264" spans="1:10" s="1297" customFormat="1" ht="48">
      <c r="A264" s="661"/>
      <c r="B264" s="924" t="str">
        <f>'Architecture '!DV325</f>
        <v xml:space="preserve"> - D.D15 ประตูบานเปิดสวิงคู่พร้อมช่องแสงติดตาย วงกบ 2"x4" อบสีดำ ลูกฟัก กระจกลามิเนตใส 6 มม. ขนาด 5.40 x 2.50 มม.</v>
      </c>
      <c r="C264" s="1456"/>
      <c r="D264" s="744" t="s">
        <v>15</v>
      </c>
      <c r="E264" s="527"/>
      <c r="F264" s="668"/>
      <c r="G264" s="669"/>
      <c r="H264" s="670"/>
      <c r="I264" s="670"/>
      <c r="J264" s="1376"/>
    </row>
    <row r="265" spans="1:10" s="1297" customFormat="1" ht="48">
      <c r="A265" s="661"/>
      <c r="B265" s="924" t="str">
        <f>'Architecture '!DV326</f>
        <v xml:space="preserve"> - D.D16 ประตูบานเปิดเดี่ยวพร้อมช่องแสงติดตาย วงกบ 2"x4" ทำสีตามตัวอย่าง ลูกฟัก กระจกลามิเนตใส 6 มม. ขนาด 4.90 x 2.50 มม.</v>
      </c>
      <c r="C265" s="1456"/>
      <c r="D265" s="744" t="s">
        <v>15</v>
      </c>
      <c r="E265" s="527"/>
      <c r="F265" s="668"/>
      <c r="G265" s="669"/>
      <c r="H265" s="670"/>
      <c r="I265" s="670"/>
      <c r="J265" s="1376"/>
    </row>
    <row r="266" spans="1:10" s="1297" customFormat="1" ht="48">
      <c r="A266" s="661"/>
      <c r="B266" s="924" t="str">
        <f>'Architecture '!DV327</f>
        <v xml:space="preserve"> - D.D17 ประตูบานเปิดเดี่ยวพร้อมช่องแสงติดตาย วงกบ 2"x4" ทำสีตามตัวอย่าง ลูกฟัก กระจกลามิเนตใส 6 มม. ขนาด 5.30 x 2.50 มม.</v>
      </c>
      <c r="C266" s="1456"/>
      <c r="D266" s="744" t="s">
        <v>15</v>
      </c>
      <c r="E266" s="527"/>
      <c r="F266" s="668"/>
      <c r="G266" s="669"/>
      <c r="H266" s="670"/>
      <c r="I266" s="670"/>
      <c r="J266" s="1376"/>
    </row>
    <row r="267" spans="1:10" s="1297" customFormat="1" ht="48">
      <c r="A267" s="661"/>
      <c r="B267" s="924" t="str">
        <f>'Architecture '!DV328</f>
        <v xml:space="preserve"> - D.D18 ประตูบานเปิดเดี่ยวพร้อมช่องแสงติดตาย วงกบ 2"x4" ทำสีตามตัวอย่าง ลูกฟัก กระจกลามิเนตใส 6 มม. ขนาด 5.35 x 2.50 มม.</v>
      </c>
      <c r="C267" s="1456"/>
      <c r="D267" s="744" t="s">
        <v>15</v>
      </c>
      <c r="E267" s="527"/>
      <c r="F267" s="668"/>
      <c r="G267" s="669"/>
      <c r="H267" s="670"/>
      <c r="I267" s="670"/>
      <c r="J267" s="1376"/>
    </row>
    <row r="268" spans="1:10" s="1297" customFormat="1" ht="48">
      <c r="A268" s="661"/>
      <c r="B268" s="924" t="str">
        <f>'Architecture '!DV329</f>
        <v xml:space="preserve"> - D.D19 ประตูบานเลื่อนคู่พร้อมช่องแสงติดตาย วงกบ 2"x4" อบสีดำ ลูกฟัก กระจกลามิเนตใส 6 มม. ขนาด 23.10 x 2.50 มม.</v>
      </c>
      <c r="C268" s="1456"/>
      <c r="D268" s="744" t="s">
        <v>15</v>
      </c>
      <c r="E268" s="527"/>
      <c r="F268" s="668"/>
      <c r="G268" s="669"/>
      <c r="H268" s="670"/>
      <c r="I268" s="670"/>
      <c r="J268" s="1376"/>
    </row>
    <row r="269" spans="1:10" s="1297" customFormat="1">
      <c r="A269" s="661"/>
      <c r="B269" s="925" t="str">
        <f>'Architecture '!DV330</f>
        <v xml:space="preserve"> - D.D20 ประตูบานเปิดคู่ วงกบ 2"x4" ทำสีตามตัวอย่าง ขนาด 1.50 x 1.05 มม.</v>
      </c>
      <c r="C269" s="1456"/>
      <c r="D269" s="744" t="s">
        <v>15</v>
      </c>
      <c r="E269" s="527"/>
      <c r="F269" s="668"/>
      <c r="G269" s="669"/>
      <c r="H269" s="670"/>
      <c r="I269" s="670"/>
      <c r="J269" s="1376"/>
    </row>
    <row r="270" spans="1:10" s="1297" customFormat="1" ht="48">
      <c r="A270" s="661"/>
      <c r="B270" s="924" t="str">
        <f>'Architecture '!DV331</f>
        <v xml:space="preserve"> - D.D21 ประตูบานเลื่อนคู่พร้อมช่องแสงติดตาย วงกบ 2"x4" อบสีดำ ลูกฟัก กระจกลามิเนตใส 6 มม. ขนาด 6.70 x 2.50 มม.</v>
      </c>
      <c r="C270" s="1456"/>
      <c r="D270" s="744" t="s">
        <v>15</v>
      </c>
      <c r="E270" s="527"/>
      <c r="F270" s="668"/>
      <c r="G270" s="669"/>
      <c r="H270" s="670"/>
      <c r="I270" s="670"/>
      <c r="J270" s="1376"/>
    </row>
    <row r="271" spans="1:10" s="1297" customFormat="1" ht="48">
      <c r="A271" s="661"/>
      <c r="B271" s="924" t="str">
        <f>'Architecture '!DV332</f>
        <v xml:space="preserve"> - D.D22 ประตูบานเปิดเดี่ยวพร้อมช่องแสงติดตาย วงกบ 2"x4" ทำสีตามตัวอย่าง ลูกฟัก กระจกลามิเนตใส 6 มม. ขนาด 5.35 x 2.50 มม.</v>
      </c>
      <c r="C271" s="1456"/>
      <c r="D271" s="744" t="s">
        <v>15</v>
      </c>
      <c r="E271" s="527"/>
      <c r="F271" s="668"/>
      <c r="G271" s="669"/>
      <c r="H271" s="670"/>
      <c r="I271" s="670"/>
      <c r="J271" s="1376"/>
    </row>
    <row r="272" spans="1:10" s="1297" customFormat="1" ht="48">
      <c r="A272" s="661"/>
      <c r="B272" s="924" t="str">
        <f>'Architecture '!DV333</f>
        <v xml:space="preserve"> - D.D23 ประตูบานเหล็กม้วน วงกบเหล็ก 2"x4" ทำสีตามตัวอย่าง พร้อมระบบมอเตอร์ไฟฟ้า ขนาด 5.40 x 2.50 มม.</v>
      </c>
      <c r="C272" s="1456"/>
      <c r="D272" s="744" t="s">
        <v>15</v>
      </c>
      <c r="E272" s="527"/>
      <c r="F272" s="668"/>
      <c r="G272" s="669"/>
      <c r="H272" s="668"/>
      <c r="I272" s="670"/>
      <c r="J272" s="1376"/>
    </row>
    <row r="273" spans="1:10" s="1297" customFormat="1" ht="48">
      <c r="A273" s="661"/>
      <c r="B273" s="927" t="str">
        <f>'Architecture '!DV509</f>
        <v xml:space="preserve"> - E.D1 ประตูบานเหล็กม้วน วงกบเหล็ก 2"x4" ทำสีตามตัวอย่าง พร้อมระบบมอเตอร์ไฟฟ้า ขนาด 4.55 x 2.60 มม.</v>
      </c>
      <c r="C273" s="1456"/>
      <c r="D273" s="744" t="s">
        <v>15</v>
      </c>
      <c r="E273" s="527"/>
      <c r="F273" s="668"/>
      <c r="G273" s="669"/>
      <c r="H273" s="670"/>
      <c r="I273" s="670"/>
      <c r="J273" s="1376"/>
    </row>
    <row r="274" spans="1:10" s="1297" customFormat="1" ht="48">
      <c r="A274" s="661"/>
      <c r="B274" s="927" t="str">
        <f>'Architecture '!DV510</f>
        <v xml:space="preserve"> - E.D2 ประตูบานเหล็กม้วน วงกบเหล็ก 2"x4" ทำสีตามตัวอย่าง พร้อมระบบมอเตอร์ไฟฟ้า ขนาด 4.15 x 2.50 มม.</v>
      </c>
      <c r="C274" s="1456"/>
      <c r="D274" s="744" t="s">
        <v>15</v>
      </c>
      <c r="E274" s="527"/>
      <c r="F274" s="668"/>
      <c r="G274" s="669"/>
      <c r="H274" s="670"/>
      <c r="I274" s="670"/>
      <c r="J274" s="1376"/>
    </row>
    <row r="275" spans="1:10" s="1297" customFormat="1" ht="48">
      <c r="A275" s="661"/>
      <c r="B275" s="927" t="str">
        <f>'Architecture '!DV511</f>
        <v xml:space="preserve"> - E.D3 ประตูบานเหล็กม้วน วงกบเหล็ก 2"x4" ทำสีตามตัวอย่าง พร้อมระบบมอเตอร์ไฟฟ้า ขนาด 4.55 x 2.50 มม.</v>
      </c>
      <c r="C275" s="1456"/>
      <c r="D275" s="744" t="s">
        <v>15</v>
      </c>
      <c r="E275" s="527"/>
      <c r="F275" s="668"/>
      <c r="G275" s="669"/>
      <c r="H275" s="670"/>
      <c r="I275" s="670"/>
      <c r="J275" s="1376"/>
    </row>
    <row r="276" spans="1:10" s="1297" customFormat="1">
      <c r="A276" s="504"/>
      <c r="B276" s="862" t="s">
        <v>1855</v>
      </c>
      <c r="C276" s="1437"/>
      <c r="D276" s="510" t="s">
        <v>15</v>
      </c>
      <c r="E276" s="489"/>
      <c r="F276" s="660"/>
      <c r="G276" s="672"/>
      <c r="H276" s="660"/>
      <c r="I276" s="660"/>
      <c r="J276" s="1376"/>
    </row>
    <row r="277" spans="1:10" s="1297" customFormat="1">
      <c r="A277" s="661"/>
      <c r="B277" s="785" t="s">
        <v>49</v>
      </c>
      <c r="C277" s="1456"/>
      <c r="D277" s="744"/>
      <c r="E277" s="527"/>
      <c r="F277" s="668"/>
      <c r="G277" s="669"/>
      <c r="H277" s="668"/>
      <c r="I277" s="670"/>
      <c r="J277" s="506"/>
    </row>
    <row r="278" spans="1:10" s="1297" customFormat="1" ht="48">
      <c r="A278" s="661"/>
      <c r="B278" s="924" t="str">
        <f>'Architecture '!DV39</f>
        <v xml:space="preserve"> - A.W1 หน้าต่างบานเปิดพร้อมช่องแสงติดตาย วงกบ 2"x4" อบสีดำ ลูกฟัก กระจกลามิเนตเขียวใสตัดแสง 6 มม. ขนาด 5.10 x 1.65 มม.</v>
      </c>
      <c r="C278" s="1456"/>
      <c r="D278" s="744" t="s">
        <v>15</v>
      </c>
      <c r="E278" s="527"/>
      <c r="F278" s="668"/>
      <c r="G278" s="669"/>
      <c r="H278" s="668"/>
      <c r="I278" s="670"/>
      <c r="J278" s="1376"/>
    </row>
    <row r="279" spans="1:10" s="1297" customFormat="1" ht="48">
      <c r="A279" s="661"/>
      <c r="B279" s="924" t="str">
        <f>'Architecture '!DV40</f>
        <v xml:space="preserve"> - A.W1.1 หน้าต่างบานเปิดพร้อมช่องแสงติดตาย วงกบ 2"x4" อบสีดำ ลูกฟัก กระจกลามิเนตเขียวใสตัดแสง 6 มม. ขนาด 5.10 x 3.75 มม.</v>
      </c>
      <c r="C279" s="1456"/>
      <c r="D279" s="744" t="s">
        <v>15</v>
      </c>
      <c r="E279" s="527"/>
      <c r="F279" s="668"/>
      <c r="G279" s="669"/>
      <c r="H279" s="668"/>
      <c r="I279" s="670"/>
      <c r="J279" s="1376"/>
    </row>
    <row r="280" spans="1:10" s="1297" customFormat="1" ht="48">
      <c r="A280" s="661"/>
      <c r="B280" s="924" t="str">
        <f>'Architecture '!DV41</f>
        <v xml:space="preserve"> - A.W2 ช่องแสงติดตาย วงกบ 2"x4" อบสีดำ ลูกฟัก กระจกลามิเนตเขียวใสตัดแสง 6 มม. ขนาด 5.40 x 2.35 มม.</v>
      </c>
      <c r="C280" s="1456"/>
      <c r="D280" s="744" t="s">
        <v>15</v>
      </c>
      <c r="E280" s="527"/>
      <c r="F280" s="668"/>
      <c r="G280" s="669"/>
      <c r="H280" s="668"/>
      <c r="I280" s="670"/>
      <c r="J280" s="1376"/>
    </row>
    <row r="281" spans="1:10" s="1297" customFormat="1" ht="48">
      <c r="A281" s="661"/>
      <c r="B281" s="924" t="str">
        <f>'Architecture '!DV42</f>
        <v xml:space="preserve"> - A.W3 ช่องแสงติดตาย วงกบ 2"x4" อบสีดำ ลูกฟัก กระจกลามิเนตเขียวใสตัดแสง 6 มม. ขนาด 2.60 x 2.35 มม.</v>
      </c>
      <c r="C281" s="1456"/>
      <c r="D281" s="744" t="s">
        <v>15</v>
      </c>
      <c r="E281" s="527"/>
      <c r="F281" s="668"/>
      <c r="G281" s="669"/>
      <c r="H281" s="668"/>
      <c r="I281" s="670"/>
      <c r="J281" s="1376"/>
    </row>
    <row r="282" spans="1:10" s="1297" customFormat="1" ht="48">
      <c r="A282" s="661"/>
      <c r="B282" s="924" t="str">
        <f>'Architecture '!DV43</f>
        <v xml:space="preserve"> - A.W4 หน้าต่างบานกระทุ้งพร้อมช่องแสงติดตาย วงกบ 2"x4" อบสีดำ ลูกฟัก กระจกลามิเนตเขียวใสตัดแสง 6 มม. ขนาด 5.10 x 0.50 มม.</v>
      </c>
      <c r="C282" s="1456"/>
      <c r="D282" s="744" t="s">
        <v>15</v>
      </c>
      <c r="E282" s="527"/>
      <c r="F282" s="668"/>
      <c r="G282" s="669"/>
      <c r="H282" s="668"/>
      <c r="I282" s="670"/>
      <c r="J282" s="1376"/>
    </row>
    <row r="283" spans="1:10" s="1297" customFormat="1" ht="48">
      <c r="A283" s="661"/>
      <c r="B283" s="924" t="str">
        <f>'Architecture '!DV44</f>
        <v xml:space="preserve"> - A.W4.1 หน้าต่างบานกระทุ้งพร้อมช่องแสงติดตาย วงกบ 2"x4" อบสีดำ ลูกฟัก กระจกลามิเนตใส 6 มม. ขนาด 5.10 x 1.65 มม.</v>
      </c>
      <c r="C283" s="1456"/>
      <c r="D283" s="744" t="s">
        <v>15</v>
      </c>
      <c r="E283" s="527"/>
      <c r="F283" s="668"/>
      <c r="G283" s="669"/>
      <c r="H283" s="668"/>
      <c r="I283" s="670"/>
      <c r="J283" s="1376"/>
    </row>
    <row r="284" spans="1:10" s="1297" customFormat="1" ht="48">
      <c r="A284" s="661"/>
      <c r="B284" s="924" t="str">
        <f>'Architecture '!DV45</f>
        <v xml:space="preserve"> - A.W5 หน้าต่างบานกระทุ้งพร้อมช่องแสงติดตาย วงกบ 2"x4" อบสีดำ ลูกฟัก กระจกลามิเนตเขียวใสตัดแสง 6 มม. ขนาด 1.75 x 1.65 มม.</v>
      </c>
      <c r="C284" s="1456"/>
      <c r="D284" s="744" t="s">
        <v>15</v>
      </c>
      <c r="E284" s="527"/>
      <c r="F284" s="668"/>
      <c r="G284" s="669"/>
      <c r="H284" s="668"/>
      <c r="I284" s="670"/>
      <c r="J284" s="1376"/>
    </row>
    <row r="285" spans="1:10" s="1297" customFormat="1" ht="48">
      <c r="A285" s="504"/>
      <c r="B285" s="924" t="str">
        <f>'Architecture '!DV46</f>
        <v xml:space="preserve"> - A.W5.1 หน้าต่างบานกระทุ้งพร้อมช่องแสงติดตาย วงกบ 2"x4" ลูกฟัก กระจกลามิเนตเขียวใสตัดแสง 6 มม. ขนาด 1.75 x 3.75 มม.</v>
      </c>
      <c r="C285" s="1456"/>
      <c r="D285" s="744" t="s">
        <v>15</v>
      </c>
      <c r="E285" s="527"/>
      <c r="F285" s="668"/>
      <c r="G285" s="669"/>
      <c r="H285" s="668"/>
      <c r="I285" s="670"/>
      <c r="J285" s="1376"/>
    </row>
    <row r="286" spans="1:10" s="1297" customFormat="1" ht="48">
      <c r="A286" s="504"/>
      <c r="B286" s="924" t="str">
        <f>'Architecture '!DV47</f>
        <v xml:space="preserve"> - A.W6 ช่องแสงติดตายบานสลับ วงกบ 2"x4" อบสีดำ ลูกฟัก กระจกฝ้า 6 มม. ขนาด 2.30 x 0.65 มม.</v>
      </c>
      <c r="C286" s="1456"/>
      <c r="D286" s="744" t="s">
        <v>15</v>
      </c>
      <c r="E286" s="527"/>
      <c r="F286" s="668"/>
      <c r="G286" s="669"/>
      <c r="H286" s="668"/>
      <c r="I286" s="670"/>
      <c r="J286" s="1376"/>
    </row>
    <row r="287" spans="1:10" s="1297" customFormat="1" ht="48">
      <c r="A287" s="661"/>
      <c r="B287" s="924" t="str">
        <f>'Architecture '!DV48</f>
        <v xml:space="preserve"> - A.W6.1 ช่องแสงติดตายบานสลับ วงกบ 2"x4" อบสีดำ ลูกฟัก กระจกฝ้า 6 มม. ขนาด 2.30 x 0.85 มม.</v>
      </c>
      <c r="C287" s="1456"/>
      <c r="D287" s="744" t="s">
        <v>15</v>
      </c>
      <c r="E287" s="527"/>
      <c r="F287" s="668"/>
      <c r="G287" s="669"/>
      <c r="H287" s="668"/>
      <c r="I287" s="670"/>
      <c r="J287" s="1376"/>
    </row>
    <row r="288" spans="1:10" s="1297" customFormat="1" ht="48">
      <c r="A288" s="504"/>
      <c r="B288" s="924" t="str">
        <f>'Architecture '!DV49</f>
        <v xml:space="preserve"> - A.W7 ช่องแสงติดตายบานสลับ วงกบ 2"x4" อบสีดำ ลูกฟัก กระจกฝ้า 6 มม. ขนาด 1.70 x 0.65 มม.</v>
      </c>
      <c r="C288" s="1456"/>
      <c r="D288" s="744" t="s">
        <v>15</v>
      </c>
      <c r="E288" s="527"/>
      <c r="F288" s="668"/>
      <c r="G288" s="669"/>
      <c r="H288" s="668"/>
      <c r="I288" s="670"/>
      <c r="J288" s="1376"/>
    </row>
    <row r="289" spans="1:10" s="1297" customFormat="1" ht="48">
      <c r="A289" s="661"/>
      <c r="B289" s="924" t="str">
        <f>'Architecture '!DV50</f>
        <v xml:space="preserve"> - A.W7.1 ช่องแสงติดตายบานสลับ วงกบ 2"x4" อบสีดำ ลูกฟัก กระจกฝ้า 6 มม. ขนาด 1.70 x 0.85 มม.</v>
      </c>
      <c r="C289" s="1456"/>
      <c r="D289" s="744" t="s">
        <v>15</v>
      </c>
      <c r="E289" s="527"/>
      <c r="F289" s="668"/>
      <c r="G289" s="669"/>
      <c r="H289" s="668"/>
      <c r="I289" s="670"/>
      <c r="J289" s="1376"/>
    </row>
    <row r="290" spans="1:10" s="1297" customFormat="1" ht="48">
      <c r="A290" s="661"/>
      <c r="B290" s="924" t="str">
        <f>'Architecture '!DV51</f>
        <v xml:space="preserve"> - A.W8 หน้าต่างบานเปิดพร้อมช่องแสงติดตาย วงกบ 2"x4" อบสีดำ ลูกฟัก กระจกลามิเนตเขียวใสตัดแสง 6 มม. ขนาด 3.42 x 1.65 มม.</v>
      </c>
      <c r="C290" s="1456"/>
      <c r="D290" s="744" t="s">
        <v>15</v>
      </c>
      <c r="E290" s="527"/>
      <c r="F290" s="668"/>
      <c r="G290" s="669"/>
      <c r="H290" s="668"/>
      <c r="I290" s="670"/>
      <c r="J290" s="1376"/>
    </row>
    <row r="291" spans="1:10" s="1297" customFormat="1" ht="27.75" customHeight="1">
      <c r="A291" s="661"/>
      <c r="B291" s="924" t="str">
        <f>'Architecture '!DV52</f>
        <v xml:space="preserve"> - A.W9 ช่องแสงติดตาย วงกบ 2"x4" อบสีดำ ลูกฟัก กระจกลามิเนตใส 6 มม. ขนาด 3.80 x 0.50 มม.</v>
      </c>
      <c r="C291" s="1456"/>
      <c r="D291" s="744" t="s">
        <v>15</v>
      </c>
      <c r="E291" s="527"/>
      <c r="F291" s="668"/>
      <c r="G291" s="669"/>
      <c r="H291" s="668"/>
      <c r="I291" s="670"/>
      <c r="J291" s="1376"/>
    </row>
    <row r="292" spans="1:10" s="1297" customFormat="1" ht="48">
      <c r="A292" s="504"/>
      <c r="B292" s="924" t="str">
        <f>'Architecture '!DV53</f>
        <v xml:space="preserve"> - A.W10 หน้าต่างบานเปิดพร้อมช่องแสงติดตาย วงกบ 2"x4" อบสีดำ ลูกฟัก กระจกลามิเนตเขียวใสตัดแสง 6 มม. ขนาด 1.90 x 3.75 มม.</v>
      </c>
      <c r="C292" s="1456"/>
      <c r="D292" s="744" t="s">
        <v>15</v>
      </c>
      <c r="E292" s="527"/>
      <c r="F292" s="668"/>
      <c r="G292" s="669"/>
      <c r="H292" s="668"/>
      <c r="I292" s="670"/>
      <c r="J292" s="1376"/>
    </row>
    <row r="293" spans="1:10" s="1297" customFormat="1" ht="48">
      <c r="A293" s="661"/>
      <c r="B293" s="924" t="str">
        <f>'Architecture '!DV54</f>
        <v xml:space="preserve"> - A.W10.1 หน้าต่างบานเปิดพร้อมช่องแสงติดตาย วงกบ 2"x4" อบสีดำ ลูกฟัก กระจกลามิเนตเขียวใสตัดแสง 6 มม. ขนาด 1.90 x 1.65 มม.</v>
      </c>
      <c r="C293" s="1456"/>
      <c r="D293" s="744" t="s">
        <v>15</v>
      </c>
      <c r="E293" s="527"/>
      <c r="F293" s="668"/>
      <c r="G293" s="669"/>
      <c r="H293" s="668"/>
      <c r="I293" s="670"/>
      <c r="J293" s="1376"/>
    </row>
    <row r="294" spans="1:10" s="1297" customFormat="1" ht="48">
      <c r="A294" s="661"/>
      <c r="B294" s="924" t="str">
        <f>'Architecture '!DV55</f>
        <v xml:space="preserve"> - A.W10.2 หน้าต่างบานเปิด วงกบ 2"x4" อบสีดำ ลูกฟัก กระจกลามิเนตเขียวใสตัดแสง 6 มม. ขนาด 1.90 x 1.05 มม.</v>
      </c>
      <c r="C294" s="1456"/>
      <c r="D294" s="744" t="s">
        <v>15</v>
      </c>
      <c r="E294" s="527"/>
      <c r="F294" s="668"/>
      <c r="G294" s="669"/>
      <c r="H294" s="668"/>
      <c r="I294" s="670"/>
      <c r="J294" s="1376"/>
    </row>
    <row r="295" spans="1:10" s="1297" customFormat="1" ht="29.25" customHeight="1">
      <c r="A295" s="661"/>
      <c r="B295" s="924" t="str">
        <f>'Architecture '!DV56</f>
        <v xml:space="preserve"> - A.W11 ช่องแสงติดตาย วงกบ 2"x4" อบสีดำ ลูกฟัก กระจกลามิเนตใส 6 มม. ขนาด 5.40 x 0.50 มม.</v>
      </c>
      <c r="C295" s="1456"/>
      <c r="D295" s="744" t="s">
        <v>15</v>
      </c>
      <c r="E295" s="527"/>
      <c r="F295" s="668"/>
      <c r="G295" s="669"/>
      <c r="H295" s="668"/>
      <c r="I295" s="670"/>
      <c r="J295" s="1376"/>
    </row>
    <row r="296" spans="1:10" s="1297" customFormat="1" ht="48">
      <c r="A296" s="504"/>
      <c r="B296" s="924" t="str">
        <f>'Architecture '!DV57</f>
        <v xml:space="preserve"> - A.W12 ช่องแสงติดตาย วงกบ 2"x4" อบสีดำ ลูกฟัก กระจกลามิเนตใส 6 มม. ขนาด 7.50 x 2.85 มม.</v>
      </c>
      <c r="C296" s="1456"/>
      <c r="D296" s="744" t="s">
        <v>15</v>
      </c>
      <c r="E296" s="527"/>
      <c r="F296" s="668"/>
      <c r="G296" s="669"/>
      <c r="H296" s="668"/>
      <c r="I296" s="670"/>
      <c r="J296" s="1376"/>
    </row>
    <row r="297" spans="1:10" s="1297" customFormat="1" ht="48">
      <c r="A297" s="661"/>
      <c r="B297" s="924" t="str">
        <f>'Architecture '!DV58</f>
        <v xml:space="preserve"> - A.W13 หน้าต่างบานเปิดพร้อมช่องแสงติดตาย วงกบ 2"x4" อบสีดำ ลูกฟัก กระจกลามิเนตเขียวใสตัดแสง 6 มม. ขนาด 4.26 x 1.65 มม.</v>
      </c>
      <c r="C297" s="1456"/>
      <c r="D297" s="744" t="s">
        <v>15</v>
      </c>
      <c r="E297" s="527"/>
      <c r="F297" s="668"/>
      <c r="G297" s="669"/>
      <c r="H297" s="668"/>
      <c r="I297" s="670"/>
      <c r="J297" s="1376"/>
    </row>
    <row r="298" spans="1:10" s="1297" customFormat="1" ht="48">
      <c r="A298" s="661"/>
      <c r="B298" s="924" t="str">
        <f>'Architecture '!DV59</f>
        <v xml:space="preserve"> - A.W14 หน้าต่างบานกระทุ้งพร้อมช่องแสงติดตาย วงกบ 2"x4" อบสีดำ ลูกฟัก กระจกลามิเนตเขียวใสตัดแสง 6 มม. ขนาด 2.00 x 1.65 มม.</v>
      </c>
      <c r="C298" s="1456"/>
      <c r="D298" s="744" t="s">
        <v>15</v>
      </c>
      <c r="E298" s="527"/>
      <c r="F298" s="668"/>
      <c r="G298" s="669"/>
      <c r="H298" s="668"/>
      <c r="I298" s="670"/>
      <c r="J298" s="1376"/>
    </row>
    <row r="299" spans="1:10" s="1297" customFormat="1" ht="48">
      <c r="A299" s="661"/>
      <c r="B299" s="924" t="str">
        <f>'Architecture '!DV60</f>
        <v xml:space="preserve"> - A.W15 หน้าต่างบานเปิดพร้อมช่องแสงติดตาย วงกบ 2"x4" อบสีดำ ลูกฟัก กระจกลามิเนตเขียวใสตัดแสง 6 มม. ขนาด 7.40 x 2.10 มม.</v>
      </c>
      <c r="C299" s="1456"/>
      <c r="D299" s="744" t="s">
        <v>15</v>
      </c>
      <c r="E299" s="527"/>
      <c r="F299" s="668"/>
      <c r="G299" s="669"/>
      <c r="H299" s="668"/>
      <c r="I299" s="670"/>
      <c r="J299" s="1376"/>
    </row>
    <row r="300" spans="1:10" s="1297" customFormat="1" ht="30.75" customHeight="1">
      <c r="A300" s="504"/>
      <c r="B300" s="924" t="str">
        <f>'Architecture '!DV61</f>
        <v xml:space="preserve"> - A.W16 ช่องแสงติดตาย วงกบ 2"x4" อบสีดำ ลูกฟัก กระจกลามิเนตใส 6 มม. ขนาด 7.20 x 2.35 มม.</v>
      </c>
      <c r="C300" s="1456"/>
      <c r="D300" s="744" t="s">
        <v>15</v>
      </c>
      <c r="E300" s="527"/>
      <c r="F300" s="668"/>
      <c r="G300" s="669"/>
      <c r="H300" s="668"/>
      <c r="I300" s="670"/>
      <c r="J300" s="1376"/>
    </row>
    <row r="301" spans="1:10" s="1297" customFormat="1" ht="48">
      <c r="A301" s="661"/>
      <c r="B301" s="924" t="str">
        <f>'Architecture '!DV62</f>
        <v xml:space="preserve"> - A.W17 หน้าต่างบานเปิดพร้อมช่องแสงติดตาย วงกบ 2"x4" อบสีดำ ลูกฟัก กระจกลามิเนตเขียวใสตัดแสง 6 มม. ขนาด 0.89 x 1.65 มม.</v>
      </c>
      <c r="C301" s="1456"/>
      <c r="D301" s="744" t="s">
        <v>15</v>
      </c>
      <c r="E301" s="527"/>
      <c r="F301" s="668"/>
      <c r="G301" s="669"/>
      <c r="H301" s="668"/>
      <c r="I301" s="670"/>
      <c r="J301" s="1376"/>
    </row>
    <row r="302" spans="1:10" s="1297" customFormat="1" ht="48">
      <c r="A302" s="661"/>
      <c r="B302" s="924" t="str">
        <f>'Architecture '!DV195</f>
        <v xml:space="preserve"> - B.W1 หน้าต่างบานเปิดพร้อมช่องแสงติดตาย วงกบ 2"x4" อบสีดำ ลูกฟัก กระจกลามิเนตเขียวใสตัดแสง 6 มม. ขนาด 5.10 x 1.65 มม.</v>
      </c>
      <c r="C302" s="1456"/>
      <c r="D302" s="744" t="s">
        <v>15</v>
      </c>
      <c r="E302" s="527"/>
      <c r="F302" s="668"/>
      <c r="G302" s="669"/>
      <c r="H302" s="668"/>
      <c r="I302" s="670"/>
      <c r="J302" s="1376"/>
    </row>
    <row r="303" spans="1:10" s="1297" customFormat="1" ht="48">
      <c r="A303" s="661"/>
      <c r="B303" s="924" t="str">
        <f>'Architecture '!DV196</f>
        <v xml:space="preserve"> - B.W2 หน้าต่างบานกระทุ้งพร้อมช่องแสงติดตาย วงกบ 2"x4" อบสีดำ ลูกฟัก กระจกลามิเนตเขียวใสตัดแสง 6 มม. ขนาด 5.10 x 1.65 มม.</v>
      </c>
      <c r="C303" s="1456"/>
      <c r="D303" s="744" t="s">
        <v>15</v>
      </c>
      <c r="E303" s="527"/>
      <c r="F303" s="668"/>
      <c r="G303" s="669"/>
      <c r="H303" s="668"/>
      <c r="I303" s="670"/>
      <c r="J303" s="1376"/>
    </row>
    <row r="304" spans="1:10" s="1297" customFormat="1" ht="48">
      <c r="A304" s="661"/>
      <c r="B304" s="924" t="str">
        <f>'Architecture '!DV197</f>
        <v xml:space="preserve"> - B.W3 ช่องแสงติดตายบานสลับ วงกบ 2"x4" อบสีดำ ลูกฟัก กระจกลามิเนตเขียวใสตัดแสง 6 มม. ขนาด 2.30 x 0.60 มม.</v>
      </c>
      <c r="C304" s="1456"/>
      <c r="D304" s="744" t="s">
        <v>15</v>
      </c>
      <c r="E304" s="527"/>
      <c r="F304" s="668"/>
      <c r="G304" s="669"/>
      <c r="H304" s="668"/>
      <c r="I304" s="670"/>
      <c r="J304" s="1376"/>
    </row>
    <row r="305" spans="1:15" s="1297" customFormat="1">
      <c r="A305" s="661"/>
      <c r="B305" s="925" t="str">
        <f>'Architecture '!DV198</f>
        <v xml:space="preserve"> - B.W4 ช่องแสงบานเกล็ด วงกบ 2"x4" อบสีขาวควันบุหรี่ ขนาด 5.60 x 1.20 มม.</v>
      </c>
      <c r="C305" s="1456"/>
      <c r="D305" s="744" t="s">
        <v>15</v>
      </c>
      <c r="E305" s="527"/>
      <c r="F305" s="668"/>
      <c r="G305" s="669"/>
      <c r="H305" s="668"/>
      <c r="I305" s="670"/>
      <c r="J305" s="1376"/>
      <c r="O305" s="1384"/>
    </row>
    <row r="306" spans="1:15" s="1297" customFormat="1">
      <c r="A306" s="661"/>
      <c r="B306" s="925" t="str">
        <f>'Architecture '!DV199</f>
        <v xml:space="preserve"> - B.W5 ช่องแสงติดตาย วงกบ 2"x4" อบสีดำ ลูกฟัก กระจกใส 6 มม. ขนาด 5.60 x 0.80 มม.</v>
      </c>
      <c r="C306" s="1456"/>
      <c r="D306" s="744" t="s">
        <v>15</v>
      </c>
      <c r="E306" s="527"/>
      <c r="F306" s="668"/>
      <c r="G306" s="669"/>
      <c r="H306" s="668"/>
      <c r="I306" s="670"/>
      <c r="J306" s="1376"/>
    </row>
    <row r="307" spans="1:15" s="1297" customFormat="1" ht="48">
      <c r="A307" s="661"/>
      <c r="B307" s="924" t="str">
        <f>'Architecture '!DV263</f>
        <v xml:space="preserve"> - C.W1 หน้าต่างบานกระทุ้งพร้อมช่องแสงติดตาย วงกบ 2"x4" อบสีดำ ลูกฟัก กระจกลามิเนตเขียวใสตัดแสง 6 มม. ขนาด 7.90 x 3.85 มม.</v>
      </c>
      <c r="C307" s="1456"/>
      <c r="D307" s="744" t="s">
        <v>15</v>
      </c>
      <c r="E307" s="527"/>
      <c r="F307" s="668"/>
      <c r="G307" s="669"/>
      <c r="H307" s="668"/>
      <c r="I307" s="670"/>
      <c r="J307" s="1376"/>
    </row>
    <row r="308" spans="1:15" s="1297" customFormat="1" ht="48">
      <c r="A308" s="661"/>
      <c r="B308" s="924" t="str">
        <f>'Architecture '!DV264</f>
        <v xml:space="preserve"> - C.W2 ช่องแสงติดตาย วงกบ 2"x4" อบสีดำ ลูกฟัก กระจกลามิเนตเขียวใส 6 มม. ขนาด 7.90 x 3.85 มม.</v>
      </c>
      <c r="C308" s="1456"/>
      <c r="D308" s="744" t="s">
        <v>15</v>
      </c>
      <c r="E308" s="527"/>
      <c r="F308" s="668"/>
      <c r="G308" s="669"/>
      <c r="H308" s="668"/>
      <c r="I308" s="670"/>
      <c r="J308" s="1376"/>
    </row>
    <row r="309" spans="1:15" s="1297" customFormat="1" ht="48">
      <c r="A309" s="661"/>
      <c r="B309" s="924" t="str">
        <f>'Architecture '!DV265</f>
        <v xml:space="preserve"> - C.W3 ช่องแสงกระจกบานเปลือยติดตาย  กระจกลามิเนตเขียวใสตัดแสง 6+6 มม. ขนาด 8.10 x 4.40 มม.</v>
      </c>
      <c r="C309" s="1456"/>
      <c r="D309" s="744" t="s">
        <v>15</v>
      </c>
      <c r="E309" s="527"/>
      <c r="F309" s="668"/>
      <c r="G309" s="669"/>
      <c r="H309" s="668"/>
      <c r="I309" s="670"/>
      <c r="J309" s="1376"/>
    </row>
    <row r="310" spans="1:15" s="1297" customFormat="1" ht="48">
      <c r="A310" s="661"/>
      <c r="B310" s="924" t="str">
        <f>'Architecture '!DV266</f>
        <v xml:space="preserve"> - C.W3.1 ช่องแสงกระจกบานเปลือยติดตาย  กระจกลามิเนตเขียวใสตัดแสง 6+6 มม. ขนาด 8.10 x 5.60 มม.</v>
      </c>
      <c r="C310" s="1456"/>
      <c r="D310" s="744" t="s">
        <v>15</v>
      </c>
      <c r="E310" s="527"/>
      <c r="F310" s="668"/>
      <c r="G310" s="669"/>
      <c r="H310" s="668"/>
      <c r="I310" s="670"/>
      <c r="J310" s="1376"/>
    </row>
    <row r="311" spans="1:15" s="1297" customFormat="1">
      <c r="A311" s="661"/>
      <c r="B311" s="925" t="str">
        <f>'Architecture '!DV267</f>
        <v xml:space="preserve"> - C.W4 ช่องแสงบานเกล็ดอลูมิเนียม วงกบ 2"x4" อบสีดำ ขนาด 1.80 x 1.25 มม.</v>
      </c>
      <c r="C311" s="1456"/>
      <c r="D311" s="744" t="s">
        <v>15</v>
      </c>
      <c r="E311" s="527"/>
      <c r="F311" s="668"/>
      <c r="G311" s="669"/>
      <c r="H311" s="668"/>
      <c r="I311" s="670"/>
      <c r="J311" s="1376"/>
    </row>
    <row r="312" spans="1:15" s="1297" customFormat="1" ht="48">
      <c r="A312" s="661"/>
      <c r="B312" s="924" t="str">
        <f>'Architecture '!DV351</f>
        <v xml:space="preserve"> - D.W1 หน้าต่างบานกระทุ้งพร้อมช่องแสงติดตาย วงกบ 2"x4" อบสีดำ ลูกฟัก กระจกลามิเนตเขียวใสตัดแสง 6 มม. ขนาด 5.10 x 2.40 มม.</v>
      </c>
      <c r="C312" s="1456"/>
      <c r="D312" s="744" t="s">
        <v>15</v>
      </c>
      <c r="E312" s="527"/>
      <c r="F312" s="668"/>
      <c r="G312" s="669"/>
      <c r="H312" s="668"/>
      <c r="I312" s="670"/>
      <c r="J312" s="1376"/>
    </row>
    <row r="313" spans="1:15" s="1297" customFormat="1" ht="48">
      <c r="A313" s="661"/>
      <c r="B313" s="924" t="str">
        <f>'Architecture '!DV352</f>
        <v xml:space="preserve"> - D.W2 หน้าต่างบานเปิดพร้อมช่องแสงติดตาย วงกบ 2"x4" อบสีดำ ลูกฟัก กระจกลามิเนตใส 6 มม. ขนาด 4.26 x 1.65 มม.</v>
      </c>
      <c r="C313" s="1456"/>
      <c r="D313" s="744" t="s">
        <v>15</v>
      </c>
      <c r="E313" s="527"/>
      <c r="F313" s="668"/>
      <c r="G313" s="669"/>
      <c r="H313" s="670"/>
      <c r="I313" s="670"/>
      <c r="J313" s="1376"/>
    </row>
    <row r="314" spans="1:15" s="1297" customFormat="1" ht="48">
      <c r="A314" s="661"/>
      <c r="B314" s="924" t="str">
        <f>'Architecture '!DV353</f>
        <v xml:space="preserve"> - D.W2.1 หน้าต่างบานเปิดพร้อมช่องแสงติดตาย วงกบ 2"x4" อบสีดำ ลูกฟัก กระจกลามิเนตเขียวใสตัดแสง 6 มม. ขนาด 5.05 x 1.65 มม.</v>
      </c>
      <c r="C314" s="1456"/>
      <c r="D314" s="744" t="s">
        <v>15</v>
      </c>
      <c r="E314" s="527"/>
      <c r="F314" s="668"/>
      <c r="G314" s="669"/>
      <c r="H314" s="670"/>
      <c r="I314" s="670"/>
      <c r="J314" s="1376"/>
    </row>
    <row r="315" spans="1:15" s="1297" customFormat="1">
      <c r="A315" s="661"/>
      <c r="B315" s="925" t="str">
        <f>'Architecture '!DV354</f>
        <v xml:space="preserve"> - D.W3 ช่องแสงเกล็ดอลูมิเนียม วงกบ 2"x4" อบสีขาวควันบุหรี่ ขนาด 5.10 x 2.45 มม.</v>
      </c>
      <c r="C315" s="1456"/>
      <c r="D315" s="744" t="s">
        <v>15</v>
      </c>
      <c r="E315" s="527"/>
      <c r="F315" s="668"/>
      <c r="G315" s="669"/>
      <c r="H315" s="668"/>
      <c r="I315" s="670"/>
      <c r="J315" s="1376"/>
    </row>
    <row r="316" spans="1:15" s="1297" customFormat="1" ht="48">
      <c r="A316" s="661"/>
      <c r="B316" s="924" t="str">
        <f>'Architecture '!DV355</f>
        <v xml:space="preserve"> - D.W4 หน้าต่างบานกระทุ้งพร้อมช่องแสงติดตาย วงกบ 2"x4" อบสีดำ ลูกฟัก กระจกลามิเนตเขียวใสตัดแสง 6 มม. ขนาด 5.10 x 1.65 มม.</v>
      </c>
      <c r="C316" s="1456"/>
      <c r="D316" s="744" t="s">
        <v>15</v>
      </c>
      <c r="E316" s="527"/>
      <c r="F316" s="668"/>
      <c r="G316" s="669"/>
      <c r="H316" s="670"/>
      <c r="I316" s="670"/>
      <c r="J316" s="1376"/>
    </row>
    <row r="317" spans="1:15" s="1297" customFormat="1" ht="48">
      <c r="A317" s="504"/>
      <c r="B317" s="924" t="str">
        <f>'Architecture '!DV356</f>
        <v xml:space="preserve"> - D.W5 หน้าต่างบานเปิดพร้อมช่องแสงติดตาย วงกบ 2"x4" อบสีดำ ลูกฟัก กระจกลามิเนตเขียวใสตัดแสง 6 มม. ขนาด 5.10 x 3.75 มม.</v>
      </c>
      <c r="C317" s="1456"/>
      <c r="D317" s="744" t="s">
        <v>15</v>
      </c>
      <c r="E317" s="527"/>
      <c r="F317" s="668"/>
      <c r="G317" s="669"/>
      <c r="H317" s="668"/>
      <c r="I317" s="670"/>
      <c r="J317" s="1376"/>
    </row>
    <row r="318" spans="1:15" s="1297" customFormat="1" ht="48">
      <c r="A318" s="504"/>
      <c r="B318" s="924" t="str">
        <f>'Architecture '!DV357</f>
        <v xml:space="preserve"> - D.W6 หน้าต่างบานเปิดพร้อมช่องแสงติดตาย วงกบ 2"x4" อบสีดำ ลูกฟัก กระจกลามิเนตเขียวใสตัดแสง 6 มม. ขนาด 1.79 x 3.75 มม.</v>
      </c>
      <c r="C318" s="1456"/>
      <c r="D318" s="744" t="s">
        <v>15</v>
      </c>
      <c r="E318" s="527"/>
      <c r="F318" s="668"/>
      <c r="G318" s="669"/>
      <c r="H318" s="668"/>
      <c r="I318" s="670"/>
      <c r="J318" s="1376"/>
    </row>
    <row r="319" spans="1:15" s="1297" customFormat="1" ht="48">
      <c r="A319" s="661"/>
      <c r="B319" s="924" t="str">
        <f>'Architecture '!DV358</f>
        <v xml:space="preserve"> - D.W6.1 หน้าต่างบานเปิดพร้อมช่องแสงติดตาย วงกบ 2"x4" อบสีดำ ลูกฟัก กระจกลามิเนตเขียวใสตัดแสง 6 มม. ขนาด 1.79 x 1.65 มม.</v>
      </c>
      <c r="C319" s="1456"/>
      <c r="D319" s="744" t="s">
        <v>15</v>
      </c>
      <c r="E319" s="527"/>
      <c r="F319" s="668"/>
      <c r="G319" s="669"/>
      <c r="H319" s="670"/>
      <c r="I319" s="670"/>
      <c r="J319" s="1376"/>
    </row>
    <row r="320" spans="1:15" s="1297" customFormat="1" ht="48">
      <c r="A320" s="661"/>
      <c r="B320" s="826" t="str">
        <f>'Architecture '!DV359</f>
        <v xml:space="preserve"> - D.W6.2 หน้าต่างบานเปิด วงกบ 2"x4" อบสีดำ ลูกฟัก กระจกลามิเนตเขียวใสตัดแสง 6 มม. ขนาด 1.79 x 1.05 มม.</v>
      </c>
      <c r="C320" s="1456"/>
      <c r="D320" s="744" t="s">
        <v>15</v>
      </c>
      <c r="E320" s="527"/>
      <c r="F320" s="668"/>
      <c r="G320" s="669"/>
      <c r="H320" s="670"/>
      <c r="I320" s="670"/>
      <c r="J320" s="1376"/>
    </row>
    <row r="321" spans="1:10" s="1297" customFormat="1" ht="48">
      <c r="A321" s="504"/>
      <c r="B321" s="924" t="str">
        <f>'Architecture '!DV360</f>
        <v xml:space="preserve"> - D.W7 หน้าต่างช่องแสงติดตายบานสลับ วงกบ 2"x5" อบสีดำ ลูกฟัก กระจกลามิเนตฝ้า 6 มม. ขนาด 2.30 x 0.65 มม.</v>
      </c>
      <c r="C321" s="1456"/>
      <c r="D321" s="744" t="s">
        <v>15</v>
      </c>
      <c r="E321" s="527"/>
      <c r="F321" s="668"/>
      <c r="G321" s="669"/>
      <c r="H321" s="668"/>
      <c r="I321" s="670"/>
      <c r="J321" s="1376"/>
    </row>
    <row r="322" spans="1:10" s="1297" customFormat="1" ht="48">
      <c r="A322" s="504"/>
      <c r="B322" s="924" t="str">
        <f>'Architecture '!DV361</f>
        <v xml:space="preserve"> - D.W7.1 หน้าต่างช่องแสงติดตายบานสลับ วงกบ 2"x5" อบสีดำ ลูกฟัก กระจกลามิเนตฝ้า 6 มม. ขนาด 1.18 x 0.65 มม.</v>
      </c>
      <c r="C322" s="1456"/>
      <c r="D322" s="744" t="s">
        <v>15</v>
      </c>
      <c r="E322" s="527"/>
      <c r="F322" s="668"/>
      <c r="G322" s="669"/>
      <c r="H322" s="668"/>
      <c r="I322" s="670"/>
      <c r="J322" s="1376"/>
    </row>
    <row r="323" spans="1:10" s="1297" customFormat="1" ht="48">
      <c r="A323" s="661"/>
      <c r="B323" s="924" t="str">
        <f>'Architecture '!DV362</f>
        <v xml:space="preserve"> - D.W7.2 หน้าต่างช่องแสงติดตายบานสลับ วงกบ 2"x5" อบสีดำ ลูกฟัก กระจกลามิเนตฝ้า 6 มม. ขนาด 2.30 x 0.85 มม.</v>
      </c>
      <c r="C323" s="1456"/>
      <c r="D323" s="744" t="s">
        <v>15</v>
      </c>
      <c r="E323" s="527"/>
      <c r="F323" s="668"/>
      <c r="G323" s="669"/>
      <c r="H323" s="670"/>
      <c r="I323" s="670"/>
      <c r="J323" s="1376"/>
    </row>
    <row r="324" spans="1:10" s="1297" customFormat="1" ht="48">
      <c r="A324" s="661"/>
      <c r="B324" s="924" t="str">
        <f>'Architecture '!DV363</f>
        <v xml:space="preserve"> - D.W7.3 หน้าต่างช่องแสงติดตายบานสลับ วงกบ 2"x5" อบสีดำ ลูกฟัก กระจกลามิเนตฝ้า 6 มม. ขนาด 1.18 x 0.85 มม.</v>
      </c>
      <c r="C324" s="1456"/>
      <c r="D324" s="744" t="s">
        <v>15</v>
      </c>
      <c r="E324" s="527"/>
      <c r="F324" s="668"/>
      <c r="G324" s="669"/>
      <c r="H324" s="670"/>
      <c r="I324" s="670"/>
      <c r="J324" s="1376"/>
    </row>
    <row r="325" spans="1:10" s="1297" customFormat="1" ht="48">
      <c r="A325" s="504"/>
      <c r="B325" s="924" t="str">
        <f>'Architecture '!DV364</f>
        <v xml:space="preserve"> - D.W8 หน้าต่างบานกระทุ้งพร้อมช่องแสงติดตาย วงกบ 2"x4" อบสีดำ ลูกฟัก กระจกลามิเนตเขียวใสตัดแสง 6 มม. ขนาด 1.80 x 2.45 มม.</v>
      </c>
      <c r="C325" s="1456"/>
      <c r="D325" s="744" t="s">
        <v>15</v>
      </c>
      <c r="E325" s="527"/>
      <c r="F325" s="668"/>
      <c r="G325" s="669"/>
      <c r="H325" s="668"/>
      <c r="I325" s="670"/>
      <c r="J325" s="1376"/>
    </row>
    <row r="326" spans="1:10" s="1297" customFormat="1" ht="48">
      <c r="A326" s="504"/>
      <c r="B326" s="924" t="str">
        <f>'Architecture '!DV365</f>
        <v xml:space="preserve"> - D.W9 หน้าต่างบานกระทุ้ง วงกบ 2"x4" อบสีดำ ลูกฟัก กระจกลามิเนตเขียวใสตัดแสง 6 มม. ขนาด 2.58 x 0.60 มม.</v>
      </c>
      <c r="C326" s="1456"/>
      <c r="D326" s="744" t="s">
        <v>15</v>
      </c>
      <c r="E326" s="527"/>
      <c r="F326" s="668"/>
      <c r="G326" s="669"/>
      <c r="H326" s="668"/>
      <c r="I326" s="670"/>
      <c r="J326" s="1376"/>
    </row>
    <row r="327" spans="1:10" s="1297" customFormat="1" ht="48">
      <c r="A327" s="504"/>
      <c r="B327" s="924" t="str">
        <f>'Architecture '!DV366</f>
        <v xml:space="preserve"> - D.W9.1 หน้าต่างบานกระทุ้ง วงกบ 2"x4" อบสีดำ ลูกฟัก กระจกลามิเนตเขียวใสตัดแสง 6 มม. ขนาด 4.26 x 0.60 มม.</v>
      </c>
      <c r="C327" s="1456"/>
      <c r="D327" s="744" t="s">
        <v>15</v>
      </c>
      <c r="E327" s="527"/>
      <c r="F327" s="668"/>
      <c r="G327" s="669"/>
      <c r="H327" s="668"/>
      <c r="I327" s="670"/>
      <c r="J327" s="1376"/>
    </row>
    <row r="328" spans="1:10" s="1297" customFormat="1" ht="48">
      <c r="A328" s="661"/>
      <c r="B328" s="924" t="str">
        <f>'Architecture '!DV367</f>
        <v xml:space="preserve"> - D.W10 หน้าต่างบานกระทุ้งพร้อมช่องแสงติดตาย วงกบ 2"x4" อบสีดำ ลูกฟัก กระจกลามิเนตเขียวใสตัดแสง 6 มม. ขนาด 1.80 x 1.65 มม.</v>
      </c>
      <c r="C328" s="1456"/>
      <c r="D328" s="744" t="s">
        <v>15</v>
      </c>
      <c r="E328" s="527"/>
      <c r="F328" s="668"/>
      <c r="G328" s="669"/>
      <c r="H328" s="670"/>
      <c r="I328" s="670"/>
      <c r="J328" s="1376"/>
    </row>
    <row r="329" spans="1:10" s="1297" customFormat="1" ht="48">
      <c r="A329" s="661"/>
      <c r="B329" s="924" t="str">
        <f>'Architecture '!DV368</f>
        <v xml:space="preserve"> - D.W11 หน้าต่างบานกระทุ้งพร้อมช่องแสงติดตาย วงกบ 2"x4" อบสีดำ ลูกฟัก กระจกลามิเนตเขียวใสตัดแสง 6 มม. ขนาด 2.50 x 1.65 มม.</v>
      </c>
      <c r="C329" s="1456"/>
      <c r="D329" s="744" t="s">
        <v>15</v>
      </c>
      <c r="E329" s="527"/>
      <c r="F329" s="668"/>
      <c r="G329" s="669"/>
      <c r="H329" s="670"/>
      <c r="I329" s="670"/>
      <c r="J329" s="1376"/>
    </row>
    <row r="330" spans="1:10" s="1297" customFormat="1" ht="48">
      <c r="A330" s="661"/>
      <c r="B330" s="924" t="str">
        <f>'Architecture '!DV369</f>
        <v xml:space="preserve"> - D.W12 หน้าต่างบานกระทุ้งพร้อมช่องแสงติดตาย วงกบ 2"x4" อบสีดำ ลูกฟัก กระจกลามิเนตเขียวใสตัดแสง 6 มม. ขนาด 1.50 x 1.65 มม.</v>
      </c>
      <c r="C330" s="1456"/>
      <c r="D330" s="744" t="s">
        <v>15</v>
      </c>
      <c r="E330" s="527"/>
      <c r="F330" s="668"/>
      <c r="G330" s="669"/>
      <c r="H330" s="670"/>
      <c r="I330" s="670"/>
      <c r="J330" s="1376"/>
    </row>
    <row r="331" spans="1:10" s="1297" customFormat="1">
      <c r="A331" s="504"/>
      <c r="B331" s="925" t="str">
        <f>'Architecture '!DV370</f>
        <v xml:space="preserve"> - D.W13 ช่องแสงเกล็ดอลูมิเนียม วงกบ 2"x4" อบสีขาวควันบุหรี่ ขนาด 6.73 x 2.45 มม.</v>
      </c>
      <c r="C331" s="1456"/>
      <c r="D331" s="744" t="s">
        <v>15</v>
      </c>
      <c r="E331" s="527"/>
      <c r="F331" s="668"/>
      <c r="G331" s="669"/>
      <c r="H331" s="668"/>
      <c r="I331" s="670"/>
      <c r="J331" s="1376"/>
    </row>
    <row r="332" spans="1:10" s="1297" customFormat="1" ht="48">
      <c r="A332" s="504"/>
      <c r="B332" s="924" t="str">
        <f>'Architecture '!DV371</f>
        <v xml:space="preserve"> - D.W14 ช่องแสงติดตาย วงกบ 2"x4" อบสีดำ ลูกฟัก กระจกลามิเนตใส 6 มม. ขนาด 5.40 x 0.65 มม.</v>
      </c>
      <c r="C332" s="1456"/>
      <c r="D332" s="744" t="s">
        <v>15</v>
      </c>
      <c r="E332" s="527"/>
      <c r="F332" s="668"/>
      <c r="G332" s="669"/>
      <c r="H332" s="668"/>
      <c r="I332" s="670"/>
      <c r="J332" s="1376"/>
    </row>
    <row r="333" spans="1:10" s="1297" customFormat="1" ht="48">
      <c r="A333" s="504"/>
      <c r="B333" s="924" t="str">
        <f>'Architecture '!DV372</f>
        <v xml:space="preserve"> - D.W15 หน้าต่างช่องแสงติดตาย วงกบ 2"x4"  อบสีดำ ลูกฟัก กระจกลามิเนตเขียวใสตัดแสง 6 มม. ขนาด 7.50 x 2.85 มม.</v>
      </c>
      <c r="C333" s="1456"/>
      <c r="D333" s="744" t="s">
        <v>15</v>
      </c>
      <c r="E333" s="527"/>
      <c r="F333" s="668"/>
      <c r="G333" s="669"/>
      <c r="H333" s="668"/>
      <c r="I333" s="670"/>
      <c r="J333" s="1376"/>
    </row>
    <row r="334" spans="1:10" s="1297" customFormat="1" ht="48">
      <c r="A334" s="661"/>
      <c r="B334" s="924" t="str">
        <f>'Architecture '!DV373</f>
        <v xml:space="preserve"> - D.W16 หน้าต่างบานกระทุ้ง วงกบ 2"x4" อบสีดำ ลูกฟัก กระจกลามิเนตเขียวใสตัดแสง 6 มม. ขนาด 2.20 x 0.50 มม.</v>
      </c>
      <c r="C334" s="1456"/>
      <c r="D334" s="744" t="s">
        <v>15</v>
      </c>
      <c r="E334" s="527"/>
      <c r="F334" s="668"/>
      <c r="G334" s="669"/>
      <c r="H334" s="670"/>
      <c r="I334" s="670"/>
      <c r="J334" s="1376"/>
    </row>
    <row r="335" spans="1:10" s="1297" customFormat="1" ht="48">
      <c r="A335" s="661"/>
      <c r="B335" s="924" t="str">
        <f>'Architecture '!DV374</f>
        <v xml:space="preserve"> - D.W17 หน้าต่างช่องแสงติดตาย วงกบ 2"x4" อบสีดำ ลูกฟัก กระจกลามิเนตใส 6 มม. ขนาด 6.35 x 2.50 มม.</v>
      </c>
      <c r="C335" s="1456"/>
      <c r="D335" s="744" t="s">
        <v>15</v>
      </c>
      <c r="E335" s="527"/>
      <c r="F335" s="668"/>
      <c r="G335" s="669"/>
      <c r="H335" s="670"/>
      <c r="I335" s="670"/>
      <c r="J335" s="1376"/>
    </row>
    <row r="336" spans="1:10" s="1297" customFormat="1" ht="48">
      <c r="A336" s="661"/>
      <c r="B336" s="924" t="str">
        <f>'Architecture '!DV375</f>
        <v xml:space="preserve"> - D.W18 หน้าต่างช่องแสงติดตาย วงกบ 2"x4" อบสีดำ ลูกฟัก กระจกลามิเนตใส 6 มม. ขนาด 12.00 x 2.50 มม.</v>
      </c>
      <c r="C336" s="1456"/>
      <c r="D336" s="744" t="s">
        <v>15</v>
      </c>
      <c r="E336" s="527"/>
      <c r="F336" s="668"/>
      <c r="G336" s="669"/>
      <c r="H336" s="670"/>
      <c r="I336" s="670"/>
      <c r="J336" s="1376"/>
    </row>
    <row r="337" spans="1:10" s="1297" customFormat="1" ht="48">
      <c r="A337" s="661"/>
      <c r="B337" s="924" t="str">
        <f>'Architecture '!DV376</f>
        <v xml:space="preserve"> - D.W19 หน้าต่างช่องแสงติดตาย วงกบ 2"x4" อบสีดำ ลูกฟัก กระจกลามิเนตใส 6 มม. ขนาด 5.40 x 2.50 มม.</v>
      </c>
      <c r="C337" s="1456"/>
      <c r="D337" s="744" t="s">
        <v>15</v>
      </c>
      <c r="E337" s="527"/>
      <c r="F337" s="668"/>
      <c r="G337" s="669"/>
      <c r="H337" s="670"/>
      <c r="I337" s="670"/>
      <c r="J337" s="1376"/>
    </row>
    <row r="338" spans="1:10" s="1297" customFormat="1" ht="48">
      <c r="A338" s="661"/>
      <c r="B338" s="924" t="str">
        <f>'Architecture '!DV377</f>
        <v xml:space="preserve"> - D.W20 หน้าต่างบานเปิดพร้อมช่องแสงติดตาย วงกบ 2"x4" อบสีดำ ลูกฟัก กระจกลามิเนตเขียวใสตัดแสง 6 มม. ขนาด 7.40 x 2.10 มม.</v>
      </c>
      <c r="C338" s="1456"/>
      <c r="D338" s="744" t="s">
        <v>15</v>
      </c>
      <c r="E338" s="527"/>
      <c r="F338" s="668"/>
      <c r="G338" s="669"/>
      <c r="H338" s="670"/>
      <c r="I338" s="670"/>
      <c r="J338" s="1376"/>
    </row>
    <row r="339" spans="1:10" s="1297" customFormat="1" ht="48">
      <c r="A339" s="661"/>
      <c r="B339" s="924" t="str">
        <f>'Architecture '!DV514</f>
        <v xml:space="preserve"> - E.W1 หน้าต่างบานกระทุ้งพร้อมช่องแสงติดตาย วงกบ 2"x4" อบสีดำ ลูกฟัก กระจกลามิเนตเขียวใสตัดแสง 6 มม. ขนาด 4.25 x 1.65 มม.</v>
      </c>
      <c r="C339" s="1456"/>
      <c r="D339" s="744" t="s">
        <v>15</v>
      </c>
      <c r="E339" s="527"/>
      <c r="F339" s="668"/>
      <c r="G339" s="669"/>
      <c r="H339" s="670"/>
      <c r="I339" s="670"/>
      <c r="J339" s="1376"/>
    </row>
    <row r="340" spans="1:10" s="1297" customFormat="1" ht="48">
      <c r="A340" s="661"/>
      <c r="B340" s="924" t="str">
        <f>'Architecture '!DV515</f>
        <v xml:space="preserve"> - E.W2 หน้าต่างบานเปิดพร้อมช่องแสงติดตาย วงกบ 2"x4" อบสีดำ ลูกฟัก กระจกลามิเนตเขียวใสตัดแสง 6 มม. ขนาด 4.25 x 1.65 มม.</v>
      </c>
      <c r="C340" s="1456"/>
      <c r="D340" s="744" t="s">
        <v>15</v>
      </c>
      <c r="E340" s="527"/>
      <c r="F340" s="668"/>
      <c r="G340" s="669"/>
      <c r="H340" s="670"/>
      <c r="I340" s="670"/>
      <c r="J340" s="1376"/>
    </row>
    <row r="341" spans="1:10" s="1297" customFormat="1">
      <c r="A341" s="661">
        <v>2.8</v>
      </c>
      <c r="B341" s="525" t="s">
        <v>382</v>
      </c>
      <c r="C341" s="1437"/>
      <c r="D341" s="505"/>
      <c r="E341" s="489"/>
      <c r="F341" s="660"/>
      <c r="G341" s="672"/>
      <c r="H341" s="665"/>
      <c r="I341" s="665"/>
      <c r="J341" s="489"/>
    </row>
    <row r="342" spans="1:10" s="1297" customFormat="1">
      <c r="A342" s="661"/>
      <c r="B342" s="927" t="s">
        <v>1856</v>
      </c>
      <c r="C342" s="1456"/>
      <c r="D342" s="526" t="s">
        <v>16</v>
      </c>
      <c r="E342" s="527"/>
      <c r="F342" s="527"/>
      <c r="G342" s="672"/>
      <c r="H342" s="528"/>
      <c r="I342" s="528"/>
      <c r="J342" s="489"/>
    </row>
    <row r="343" spans="1:10" s="1297" customFormat="1">
      <c r="A343" s="1216"/>
      <c r="B343" s="1397" t="s">
        <v>1843</v>
      </c>
      <c r="C343" s="1456"/>
      <c r="D343" s="526" t="s">
        <v>14</v>
      </c>
      <c r="E343" s="527"/>
      <c r="F343" s="527"/>
      <c r="G343" s="1228"/>
      <c r="H343" s="528"/>
      <c r="I343" s="528"/>
      <c r="J343" s="489"/>
    </row>
    <row r="344" spans="1:10" s="1297" customFormat="1">
      <c r="A344" s="1216"/>
      <c r="B344" s="1397" t="s">
        <v>1844</v>
      </c>
      <c r="C344" s="1456"/>
      <c r="D344" s="526" t="s">
        <v>14</v>
      </c>
      <c r="E344" s="527"/>
      <c r="F344" s="527"/>
      <c r="G344" s="1228"/>
      <c r="H344" s="528"/>
      <c r="I344" s="528"/>
      <c r="J344" s="489"/>
    </row>
    <row r="345" spans="1:10" s="1297" customFormat="1">
      <c r="A345" s="1216"/>
      <c r="B345" s="1397" t="s">
        <v>1845</v>
      </c>
      <c r="C345" s="1456"/>
      <c r="D345" s="526" t="s">
        <v>14</v>
      </c>
      <c r="E345" s="527"/>
      <c r="F345" s="527"/>
      <c r="G345" s="1228"/>
      <c r="H345" s="528"/>
      <c r="I345" s="528"/>
      <c r="J345" s="489"/>
    </row>
    <row r="346" spans="1:10" s="1297" customFormat="1">
      <c r="A346" s="1229"/>
      <c r="B346" s="1397" t="s">
        <v>1859</v>
      </c>
      <c r="C346" s="1456"/>
      <c r="D346" s="526" t="s">
        <v>14</v>
      </c>
      <c r="E346" s="527"/>
      <c r="F346" s="527"/>
      <c r="G346" s="1228"/>
      <c r="H346" s="528"/>
      <c r="I346" s="528"/>
      <c r="J346" s="489"/>
    </row>
    <row r="347" spans="1:10" s="1297" customFormat="1">
      <c r="A347" s="1229"/>
      <c r="B347" s="1397" t="s">
        <v>1860</v>
      </c>
      <c r="C347" s="1456"/>
      <c r="D347" s="789" t="s">
        <v>16</v>
      </c>
      <c r="E347" s="530"/>
      <c r="F347" s="530"/>
      <c r="G347" s="672"/>
      <c r="H347" s="531"/>
      <c r="I347" s="531"/>
      <c r="J347" s="489"/>
    </row>
    <row r="348" spans="1:10" s="1297" customFormat="1">
      <c r="A348" s="661"/>
      <c r="B348" s="785" t="s">
        <v>1652</v>
      </c>
      <c r="C348" s="1452"/>
      <c r="D348" s="518"/>
      <c r="E348" s="489"/>
      <c r="F348" s="530"/>
      <c r="G348" s="931"/>
      <c r="H348" s="531"/>
      <c r="I348" s="531"/>
      <c r="J348" s="527"/>
    </row>
    <row r="349" spans="1:10" s="1297" customFormat="1">
      <c r="A349" s="661"/>
      <c r="B349" s="862" t="s">
        <v>1295</v>
      </c>
      <c r="C349" s="1456"/>
      <c r="D349" s="744" t="s">
        <v>16</v>
      </c>
      <c r="E349" s="527"/>
      <c r="F349" s="668"/>
      <c r="G349" s="669"/>
      <c r="H349" s="670"/>
      <c r="I349" s="670"/>
      <c r="J349" s="527"/>
    </row>
    <row r="350" spans="1:10" s="1297" customFormat="1">
      <c r="A350" s="661"/>
      <c r="B350" s="785" t="s">
        <v>1277</v>
      </c>
      <c r="C350" s="1437"/>
      <c r="D350" s="505"/>
      <c r="E350" s="489"/>
      <c r="F350" s="489"/>
      <c r="G350" s="672"/>
      <c r="H350" s="490"/>
      <c r="I350" s="490"/>
      <c r="J350" s="527"/>
    </row>
    <row r="351" spans="1:10" s="1297" customFormat="1">
      <c r="A351" s="661"/>
      <c r="B351" s="927" t="s">
        <v>1365</v>
      </c>
      <c r="C351" s="1437"/>
      <c r="D351" s="526" t="s">
        <v>16</v>
      </c>
      <c r="E351" s="527"/>
      <c r="F351" s="527"/>
      <c r="G351" s="672"/>
      <c r="H351" s="528"/>
      <c r="I351" s="528"/>
      <c r="J351" s="527"/>
    </row>
    <row r="352" spans="1:10" s="1297" customFormat="1">
      <c r="A352" s="661">
        <v>2.9</v>
      </c>
      <c r="B352" s="525" t="s">
        <v>56</v>
      </c>
      <c r="C352" s="1437"/>
      <c r="D352" s="505"/>
      <c r="E352" s="489"/>
      <c r="F352" s="660"/>
      <c r="G352" s="672"/>
      <c r="H352" s="665"/>
      <c r="I352" s="665"/>
      <c r="J352" s="489"/>
    </row>
    <row r="353" spans="1:10" s="1297" customFormat="1">
      <c r="A353" s="661"/>
      <c r="B353" s="525" t="s">
        <v>2231</v>
      </c>
      <c r="C353" s="1437"/>
      <c r="D353" s="505"/>
      <c r="E353" s="489"/>
      <c r="F353" s="660"/>
      <c r="G353" s="672"/>
      <c r="H353" s="665"/>
      <c r="I353" s="665"/>
      <c r="J353" s="660"/>
    </row>
    <row r="354" spans="1:10" s="1297" customFormat="1">
      <c r="A354" s="661"/>
      <c r="B354" s="927" t="s">
        <v>1842</v>
      </c>
      <c r="C354" s="1456"/>
      <c r="D354" s="526" t="s">
        <v>16</v>
      </c>
      <c r="E354" s="527"/>
      <c r="F354" s="527"/>
      <c r="G354" s="669"/>
      <c r="H354" s="528"/>
      <c r="I354" s="528"/>
      <c r="J354" s="489"/>
    </row>
    <row r="355" spans="1:10" s="1297" customFormat="1">
      <c r="A355" s="1216"/>
      <c r="B355" s="1397" t="s">
        <v>1843</v>
      </c>
      <c r="C355" s="1456"/>
      <c r="D355" s="526" t="s">
        <v>14</v>
      </c>
      <c r="E355" s="527"/>
      <c r="F355" s="527"/>
      <c r="G355" s="1228"/>
      <c r="H355" s="528"/>
      <c r="I355" s="528"/>
      <c r="J355" s="489"/>
    </row>
    <row r="356" spans="1:10" s="1297" customFormat="1">
      <c r="A356" s="1216"/>
      <c r="B356" s="1397" t="s">
        <v>1844</v>
      </c>
      <c r="C356" s="1456"/>
      <c r="D356" s="526" t="s">
        <v>14</v>
      </c>
      <c r="E356" s="527"/>
      <c r="F356" s="527"/>
      <c r="G356" s="1228"/>
      <c r="H356" s="528"/>
      <c r="I356" s="528"/>
      <c r="J356" s="489"/>
    </row>
    <row r="357" spans="1:10" s="1297" customFormat="1">
      <c r="A357" s="1216"/>
      <c r="B357" s="1397" t="s">
        <v>1845</v>
      </c>
      <c r="C357" s="1456"/>
      <c r="D357" s="526" t="s">
        <v>14</v>
      </c>
      <c r="E357" s="527"/>
      <c r="F357" s="527"/>
      <c r="G357" s="1228"/>
      <c r="H357" s="528"/>
      <c r="I357" s="528"/>
      <c r="J357" s="489"/>
    </row>
    <row r="358" spans="1:10" s="1297" customFormat="1">
      <c r="A358" s="661"/>
      <c r="B358" s="862" t="s">
        <v>1370</v>
      </c>
      <c r="C358" s="1452"/>
      <c r="D358" s="518" t="s">
        <v>57</v>
      </c>
      <c r="E358" s="489"/>
      <c r="F358" s="530"/>
      <c r="G358" s="931"/>
      <c r="H358" s="531"/>
      <c r="I358" s="531"/>
      <c r="J358" s="489"/>
    </row>
    <row r="359" spans="1:10" s="1297" customFormat="1">
      <c r="A359" s="661"/>
      <c r="B359" s="525" t="s">
        <v>2233</v>
      </c>
      <c r="C359" s="1437"/>
      <c r="D359" s="505"/>
      <c r="E359" s="489"/>
      <c r="F359" s="660"/>
      <c r="G359" s="672"/>
      <c r="H359" s="665"/>
      <c r="I359" s="665"/>
      <c r="J359" s="660"/>
    </row>
    <row r="360" spans="1:10" s="1297" customFormat="1">
      <c r="A360" s="661"/>
      <c r="B360" s="933" t="s">
        <v>1860</v>
      </c>
      <c r="C360" s="1452"/>
      <c r="D360" s="789" t="s">
        <v>16</v>
      </c>
      <c r="E360" s="530"/>
      <c r="F360" s="530"/>
      <c r="G360" s="672"/>
      <c r="H360" s="531"/>
      <c r="I360" s="531"/>
      <c r="J360" s="660"/>
    </row>
    <row r="361" spans="1:10" s="1297" customFormat="1">
      <c r="A361" s="1216"/>
      <c r="B361" s="862" t="s">
        <v>1848</v>
      </c>
      <c r="C361" s="1437"/>
      <c r="D361" s="505" t="s">
        <v>14</v>
      </c>
      <c r="E361" s="489"/>
      <c r="F361" s="530"/>
      <c r="G361" s="672"/>
      <c r="H361" s="531"/>
      <c r="I361" s="531"/>
      <c r="J361" s="660"/>
    </row>
    <row r="362" spans="1:10" s="1297" customFormat="1">
      <c r="A362" s="1216"/>
      <c r="B362" s="862" t="s">
        <v>1851</v>
      </c>
      <c r="C362" s="1437"/>
      <c r="D362" s="505" t="s">
        <v>14</v>
      </c>
      <c r="E362" s="489"/>
      <c r="F362" s="530"/>
      <c r="G362" s="672"/>
      <c r="H362" s="531"/>
      <c r="I362" s="531"/>
      <c r="J362" s="660"/>
    </row>
    <row r="363" spans="1:10" s="1297" customFormat="1">
      <c r="A363" s="1216"/>
      <c r="B363" s="862" t="s">
        <v>1852</v>
      </c>
      <c r="C363" s="1437"/>
      <c r="D363" s="505" t="s">
        <v>14</v>
      </c>
      <c r="E363" s="489"/>
      <c r="F363" s="530"/>
      <c r="G363" s="672"/>
      <c r="H363" s="531"/>
      <c r="I363" s="531"/>
      <c r="J363" s="660"/>
    </row>
    <row r="364" spans="1:10" s="1297" customFormat="1">
      <c r="A364" s="661"/>
      <c r="B364" s="862" t="s">
        <v>1370</v>
      </c>
      <c r="C364" s="1452"/>
      <c r="D364" s="518" t="s">
        <v>57</v>
      </c>
      <c r="E364" s="489"/>
      <c r="F364" s="530"/>
      <c r="G364" s="931"/>
      <c r="H364" s="531"/>
      <c r="I364" s="531"/>
      <c r="J364" s="660"/>
    </row>
    <row r="365" spans="1:10" s="1297" customFormat="1">
      <c r="A365" s="661"/>
      <c r="B365" s="862" t="s">
        <v>1375</v>
      </c>
      <c r="C365" s="1452"/>
      <c r="D365" s="518"/>
      <c r="E365" s="489"/>
      <c r="F365" s="530"/>
      <c r="G365" s="931"/>
      <c r="H365" s="531"/>
      <c r="I365" s="531"/>
      <c r="J365" s="660"/>
    </row>
    <row r="366" spans="1:10" s="1297" customFormat="1">
      <c r="A366" s="661"/>
      <c r="B366" s="862" t="s">
        <v>1295</v>
      </c>
      <c r="C366" s="1456"/>
      <c r="D366" s="744" t="s">
        <v>16</v>
      </c>
      <c r="E366" s="527"/>
      <c r="F366" s="668"/>
      <c r="G366" s="669"/>
      <c r="H366" s="670"/>
      <c r="I366" s="670"/>
      <c r="J366" s="660"/>
    </row>
    <row r="367" spans="1:10" s="1297" customFormat="1">
      <c r="A367" s="661"/>
      <c r="B367" s="525" t="s">
        <v>2232</v>
      </c>
      <c r="C367" s="1437"/>
      <c r="D367" s="505"/>
      <c r="E367" s="489"/>
      <c r="F367" s="660"/>
      <c r="G367" s="672"/>
      <c r="H367" s="665"/>
      <c r="I367" s="665"/>
      <c r="J367" s="660"/>
    </row>
    <row r="368" spans="1:10" s="1297" customFormat="1">
      <c r="A368" s="661"/>
      <c r="B368" s="927" t="s">
        <v>1461</v>
      </c>
      <c r="C368" s="1452"/>
      <c r="D368" s="789" t="s">
        <v>16</v>
      </c>
      <c r="E368" s="530"/>
      <c r="F368" s="530"/>
      <c r="G368" s="672"/>
      <c r="H368" s="531"/>
      <c r="I368" s="531"/>
      <c r="J368" s="660"/>
    </row>
    <row r="369" spans="1:13" s="1297" customFormat="1">
      <c r="A369" s="661"/>
      <c r="B369" s="862" t="s">
        <v>1638</v>
      </c>
      <c r="C369" s="1437"/>
      <c r="D369" s="526" t="s">
        <v>16</v>
      </c>
      <c r="E369" s="489"/>
      <c r="F369" s="530"/>
      <c r="G369" s="672"/>
      <c r="H369" s="531"/>
      <c r="I369" s="531"/>
      <c r="J369" s="660"/>
    </row>
    <row r="370" spans="1:13" s="1297" customFormat="1">
      <c r="A370" s="661"/>
      <c r="B370" s="862" t="s">
        <v>1846</v>
      </c>
      <c r="C370" s="1437"/>
      <c r="D370" s="526" t="s">
        <v>16</v>
      </c>
      <c r="E370" s="489"/>
      <c r="F370" s="530"/>
      <c r="G370" s="672"/>
      <c r="H370" s="531"/>
      <c r="I370" s="531"/>
      <c r="J370" s="660"/>
    </row>
    <row r="371" spans="1:13" s="1297" customFormat="1">
      <c r="A371" s="661"/>
      <c r="B371" s="862" t="s">
        <v>1847</v>
      </c>
      <c r="C371" s="1437"/>
      <c r="D371" s="526" t="s">
        <v>16</v>
      </c>
      <c r="E371" s="489"/>
      <c r="F371" s="530"/>
      <c r="G371" s="672"/>
      <c r="H371" s="531"/>
      <c r="I371" s="531"/>
      <c r="J371" s="660"/>
    </row>
    <row r="372" spans="1:13" s="1297" customFormat="1">
      <c r="A372" s="1216"/>
      <c r="B372" s="862" t="s">
        <v>1848</v>
      </c>
      <c r="C372" s="1437"/>
      <c r="D372" s="505" t="s">
        <v>14</v>
      </c>
      <c r="E372" s="489"/>
      <c r="F372" s="530"/>
      <c r="G372" s="672"/>
      <c r="H372" s="531"/>
      <c r="I372" s="531"/>
      <c r="J372" s="660"/>
    </row>
    <row r="373" spans="1:13" s="1297" customFormat="1">
      <c r="A373" s="1216"/>
      <c r="B373" s="862" t="s">
        <v>1853</v>
      </c>
      <c r="C373" s="1452"/>
      <c r="D373" s="518" t="s">
        <v>14</v>
      </c>
      <c r="E373" s="489"/>
      <c r="F373" s="530"/>
      <c r="G373" s="672"/>
      <c r="H373" s="531"/>
      <c r="I373" s="531"/>
      <c r="J373" s="660"/>
    </row>
    <row r="374" spans="1:13" s="1297" customFormat="1">
      <c r="A374" s="1216"/>
      <c r="B374" s="862" t="s">
        <v>1849</v>
      </c>
      <c r="C374" s="1452"/>
      <c r="D374" s="518" t="s">
        <v>14</v>
      </c>
      <c r="E374" s="489"/>
      <c r="F374" s="530"/>
      <c r="G374" s="672"/>
      <c r="H374" s="531"/>
      <c r="I374" s="531"/>
      <c r="J374" s="660"/>
    </row>
    <row r="375" spans="1:13" s="1297" customFormat="1">
      <c r="A375" s="1216"/>
      <c r="B375" s="862" t="s">
        <v>1852</v>
      </c>
      <c r="C375" s="1452"/>
      <c r="D375" s="518" t="s">
        <v>14</v>
      </c>
      <c r="E375" s="489"/>
      <c r="F375" s="530"/>
      <c r="G375" s="672"/>
      <c r="H375" s="531"/>
      <c r="I375" s="531"/>
      <c r="J375" s="660"/>
    </row>
    <row r="376" spans="1:13" s="1297" customFormat="1">
      <c r="A376" s="1216"/>
      <c r="B376" s="862" t="s">
        <v>1850</v>
      </c>
      <c r="C376" s="1437"/>
      <c r="D376" s="505" t="s">
        <v>14</v>
      </c>
      <c r="E376" s="489"/>
      <c r="F376" s="530"/>
      <c r="G376" s="672"/>
      <c r="H376" s="531"/>
      <c r="I376" s="531"/>
      <c r="J376" s="660"/>
    </row>
    <row r="377" spans="1:13" s="1297" customFormat="1">
      <c r="A377" s="661"/>
      <c r="B377" s="862" t="s">
        <v>2240</v>
      </c>
      <c r="C377" s="1452"/>
      <c r="D377" s="518" t="s">
        <v>57</v>
      </c>
      <c r="E377" s="489"/>
      <c r="F377" s="530"/>
      <c r="G377" s="672"/>
      <c r="H377" s="531"/>
      <c r="I377" s="531"/>
      <c r="J377" s="660"/>
    </row>
    <row r="378" spans="1:13" s="1297" customFormat="1">
      <c r="A378" s="1216"/>
      <c r="B378" s="785" t="s">
        <v>1277</v>
      </c>
      <c r="C378" s="1437"/>
      <c r="D378" s="526"/>
      <c r="E378" s="527"/>
      <c r="F378" s="527"/>
      <c r="G378" s="672"/>
      <c r="H378" s="528"/>
      <c r="I378" s="528"/>
      <c r="J378" s="527"/>
      <c r="M378" s="1384"/>
    </row>
    <row r="379" spans="1:13" s="1297" customFormat="1">
      <c r="A379" s="661"/>
      <c r="B379" s="927" t="s">
        <v>1365</v>
      </c>
      <c r="C379" s="1437"/>
      <c r="D379" s="526" t="s">
        <v>16</v>
      </c>
      <c r="E379" s="527"/>
      <c r="F379" s="527"/>
      <c r="G379" s="672"/>
      <c r="H379" s="528"/>
      <c r="I379" s="528"/>
      <c r="J379" s="527"/>
      <c r="M379" s="1384"/>
    </row>
    <row r="380" spans="1:13" s="1297" customFormat="1">
      <c r="A380" s="935">
        <v>2.1</v>
      </c>
      <c r="B380" s="785" t="s">
        <v>1637</v>
      </c>
      <c r="C380" s="1437"/>
      <c r="D380" s="505"/>
      <c r="E380" s="489"/>
      <c r="F380" s="660"/>
      <c r="G380" s="672"/>
      <c r="H380" s="665"/>
      <c r="I380" s="665"/>
      <c r="J380" s="527"/>
      <c r="M380" s="1384"/>
    </row>
    <row r="381" spans="1:13" s="1297" customFormat="1">
      <c r="A381" s="661"/>
      <c r="B381" s="785" t="s">
        <v>1383</v>
      </c>
      <c r="C381" s="1437"/>
      <c r="D381" s="505"/>
      <c r="E381" s="489"/>
      <c r="F381" s="660"/>
      <c r="G381" s="672"/>
      <c r="H381" s="665"/>
      <c r="I381" s="665"/>
      <c r="J381" s="527"/>
    </row>
    <row r="382" spans="1:13" s="1297" customFormat="1">
      <c r="A382" s="661"/>
      <c r="B382" s="927" t="s">
        <v>2235</v>
      </c>
      <c r="C382" s="1437"/>
      <c r="D382" s="874" t="s">
        <v>16</v>
      </c>
      <c r="E382" s="489"/>
      <c r="F382" s="660"/>
      <c r="G382" s="672"/>
      <c r="H382" s="665"/>
      <c r="I382" s="665"/>
      <c r="J382" s="527"/>
    </row>
    <row r="383" spans="1:13" s="1297" customFormat="1">
      <c r="A383" s="661"/>
      <c r="B383" s="932" t="s">
        <v>1384</v>
      </c>
      <c r="C383" s="1437"/>
      <c r="D383" s="505"/>
      <c r="E383" s="489"/>
      <c r="F383" s="660"/>
      <c r="G383" s="672"/>
      <c r="H383" s="665"/>
      <c r="I383" s="665"/>
      <c r="J383" s="527"/>
    </row>
    <row r="384" spans="1:13" s="1297" customFormat="1">
      <c r="A384" s="661"/>
      <c r="B384" s="862" t="s">
        <v>1414</v>
      </c>
      <c r="C384" s="1437"/>
      <c r="D384" s="505" t="s">
        <v>16</v>
      </c>
      <c r="E384" s="489"/>
      <c r="F384" s="660"/>
      <c r="G384" s="672"/>
      <c r="H384" s="665"/>
      <c r="I384" s="665"/>
      <c r="J384" s="527"/>
    </row>
    <row r="385" spans="1:15" s="1297" customFormat="1">
      <c r="A385" s="661"/>
      <c r="B385" s="785" t="s">
        <v>1382</v>
      </c>
      <c r="C385" s="1437"/>
      <c r="D385" s="505"/>
      <c r="E385" s="489"/>
      <c r="F385" s="660"/>
      <c r="G385" s="672"/>
      <c r="H385" s="665"/>
      <c r="I385" s="665"/>
      <c r="J385" s="527"/>
    </row>
    <row r="386" spans="1:15" s="1297" customFormat="1">
      <c r="A386" s="661"/>
      <c r="B386" s="862" t="s">
        <v>1371</v>
      </c>
      <c r="C386" s="1456"/>
      <c r="D386" s="744" t="s">
        <v>16</v>
      </c>
      <c r="E386" s="527"/>
      <c r="F386" s="668"/>
      <c r="G386" s="669"/>
      <c r="H386" s="670"/>
      <c r="I386" s="670"/>
      <c r="J386" s="527"/>
    </row>
    <row r="387" spans="1:15" s="1297" customFormat="1">
      <c r="A387" s="661"/>
      <c r="B387" s="862" t="s">
        <v>1367</v>
      </c>
      <c r="C387" s="1437"/>
      <c r="D387" s="505" t="s">
        <v>19</v>
      </c>
      <c r="E387" s="489"/>
      <c r="F387" s="660"/>
      <c r="G387" s="672"/>
      <c r="H387" s="665"/>
      <c r="I387" s="665"/>
      <c r="J387" s="527"/>
    </row>
    <row r="388" spans="1:15" s="1297" customFormat="1">
      <c r="A388" s="661"/>
      <c r="B388" s="862" t="s">
        <v>1757</v>
      </c>
      <c r="C388" s="1437"/>
      <c r="D388" s="505" t="s">
        <v>16</v>
      </c>
      <c r="E388" s="490"/>
      <c r="F388" s="660"/>
      <c r="G388" s="507"/>
      <c r="H388" s="665"/>
      <c r="I388" s="665"/>
      <c r="J388" s="527"/>
    </row>
    <row r="389" spans="1:15" s="1297" customFormat="1">
      <c r="A389" s="661">
        <v>2.11</v>
      </c>
      <c r="B389" s="785" t="s">
        <v>1057</v>
      </c>
      <c r="C389" s="1437"/>
      <c r="D389" s="505"/>
      <c r="E389" s="489"/>
      <c r="F389" s="489"/>
      <c r="G389" s="672"/>
      <c r="H389" s="490"/>
      <c r="I389" s="490"/>
      <c r="J389" s="527"/>
    </row>
    <row r="390" spans="1:15" s="1297" customFormat="1">
      <c r="A390" s="661"/>
      <c r="B390" s="785" t="s">
        <v>2239</v>
      </c>
      <c r="C390" s="1437"/>
      <c r="D390" s="505"/>
      <c r="E390" s="489"/>
      <c r="F390" s="489"/>
      <c r="G390" s="1284"/>
      <c r="H390" s="490"/>
      <c r="I390" s="490"/>
      <c r="J390" s="527"/>
    </row>
    <row r="391" spans="1:15" s="1297" customFormat="1">
      <c r="A391" s="661"/>
      <c r="B391" s="933" t="s">
        <v>1465</v>
      </c>
      <c r="C391" s="1452"/>
      <c r="D391" s="532" t="s">
        <v>44</v>
      </c>
      <c r="E391" s="530"/>
      <c r="F391" s="530"/>
      <c r="G391" s="931"/>
      <c r="H391" s="531"/>
      <c r="I391" s="531"/>
      <c r="J391" s="527"/>
    </row>
    <row r="392" spans="1:15" s="1297" customFormat="1">
      <c r="A392" s="661"/>
      <c r="B392" s="785" t="s">
        <v>643</v>
      </c>
      <c r="C392" s="1437"/>
      <c r="D392" s="505"/>
      <c r="E392" s="489"/>
      <c r="F392" s="489"/>
      <c r="G392" s="672"/>
      <c r="H392" s="490"/>
      <c r="I392" s="490"/>
      <c r="J392" s="660"/>
    </row>
    <row r="393" spans="1:15" s="1297" customFormat="1" ht="48">
      <c r="A393" s="661"/>
      <c r="B393" s="927" t="s">
        <v>1464</v>
      </c>
      <c r="C393" s="1456"/>
      <c r="D393" s="744" t="s">
        <v>44</v>
      </c>
      <c r="E393" s="527"/>
      <c r="F393" s="527"/>
      <c r="G393" s="669"/>
      <c r="H393" s="528"/>
      <c r="I393" s="528"/>
      <c r="J393" s="660"/>
    </row>
    <row r="394" spans="1:15" s="1297" customFormat="1">
      <c r="A394" s="661"/>
      <c r="B394" s="785" t="s">
        <v>2549</v>
      </c>
      <c r="C394" s="1437"/>
      <c r="D394" s="505"/>
      <c r="E394" s="489"/>
      <c r="F394" s="489"/>
      <c r="G394" s="672"/>
      <c r="H394" s="490"/>
      <c r="I394" s="490"/>
      <c r="J394" s="660"/>
    </row>
    <row r="395" spans="1:15" s="1297" customFormat="1">
      <c r="A395" s="661"/>
      <c r="B395" s="933" t="s">
        <v>1660</v>
      </c>
      <c r="C395" s="1452"/>
      <c r="D395" s="532" t="s">
        <v>44</v>
      </c>
      <c r="E395" s="530"/>
      <c r="F395" s="530"/>
      <c r="G395" s="931"/>
      <c r="H395" s="531"/>
      <c r="I395" s="531"/>
      <c r="J395" s="660"/>
    </row>
    <row r="396" spans="1:15" s="1297" customFormat="1">
      <c r="A396" s="1398">
        <v>2.12</v>
      </c>
      <c r="B396" s="1399" t="s">
        <v>648</v>
      </c>
      <c r="C396" s="1437"/>
      <c r="D396" s="505"/>
      <c r="E396" s="489"/>
      <c r="F396" s="660"/>
      <c r="G396" s="672"/>
      <c r="H396" s="665"/>
      <c r="I396" s="665"/>
      <c r="J396" s="489"/>
    </row>
    <row r="397" spans="1:15" s="1297" customFormat="1">
      <c r="A397" s="661"/>
      <c r="B397" s="862" t="s">
        <v>1463</v>
      </c>
      <c r="C397" s="1437"/>
      <c r="D397" s="505" t="s">
        <v>14</v>
      </c>
      <c r="E397" s="489"/>
      <c r="F397" s="660"/>
      <c r="G397" s="489"/>
      <c r="H397" s="665"/>
      <c r="I397" s="665"/>
      <c r="J397" s="489"/>
      <c r="O397" s="1384"/>
    </row>
    <row r="398" spans="1:15" s="1297" customFormat="1">
      <c r="A398" s="661"/>
      <c r="B398" s="862" t="s">
        <v>1614</v>
      </c>
      <c r="C398" s="1437"/>
      <c r="D398" s="505" t="s">
        <v>14</v>
      </c>
      <c r="E398" s="489"/>
      <c r="F398" s="660"/>
      <c r="G398" s="489"/>
      <c r="H398" s="665"/>
      <c r="I398" s="665"/>
      <c r="J398" s="489"/>
      <c r="O398" s="1384"/>
    </row>
    <row r="399" spans="1:15" s="1297" customFormat="1">
      <c r="A399" s="661"/>
      <c r="B399" s="862" t="s">
        <v>446</v>
      </c>
      <c r="C399" s="1437"/>
      <c r="D399" s="505" t="s">
        <v>2685</v>
      </c>
      <c r="E399" s="489"/>
      <c r="F399" s="660"/>
      <c r="G399" s="672"/>
      <c r="H399" s="665"/>
      <c r="I399" s="665"/>
      <c r="J399" s="489"/>
      <c r="O399" s="1384"/>
    </row>
    <row r="400" spans="1:15" s="1297" customFormat="1">
      <c r="A400" s="661"/>
      <c r="B400" s="862" t="s">
        <v>448</v>
      </c>
      <c r="C400" s="1437"/>
      <c r="D400" s="505" t="s">
        <v>2661</v>
      </c>
      <c r="E400" s="490"/>
      <c r="F400" s="660"/>
      <c r="G400" s="507"/>
      <c r="H400" s="665"/>
      <c r="I400" s="665"/>
      <c r="J400" s="489"/>
      <c r="O400" s="1384"/>
    </row>
    <row r="401" spans="1:19" s="5" customFormat="1">
      <c r="A401" s="838"/>
      <c r="B401" s="833" t="s">
        <v>2241</v>
      </c>
      <c r="C401" s="1457"/>
      <c r="D401" s="841"/>
      <c r="E401" s="837"/>
      <c r="F401" s="837"/>
      <c r="G401" s="842"/>
      <c r="H401" s="837"/>
      <c r="I401" s="837"/>
      <c r="J401" s="837"/>
      <c r="L401" s="1297"/>
      <c r="N401" s="3"/>
      <c r="O401" s="1217"/>
    </row>
    <row r="402" spans="1:19" s="5" customFormat="1">
      <c r="A402" s="504"/>
      <c r="B402" s="515"/>
      <c r="C402" s="1458"/>
      <c r="D402" s="499"/>
      <c r="E402" s="489"/>
      <c r="F402" s="489"/>
      <c r="G402" s="507"/>
      <c r="H402" s="490"/>
      <c r="I402" s="490"/>
      <c r="J402" s="489"/>
      <c r="O402" s="1217"/>
    </row>
    <row r="403" spans="1:19" s="5" customFormat="1">
      <c r="A403" s="1330">
        <v>3</v>
      </c>
      <c r="B403" s="1331" t="s">
        <v>2242</v>
      </c>
      <c r="C403" s="1444"/>
      <c r="D403" s="1332"/>
      <c r="E403" s="1333"/>
      <c r="F403" s="1333"/>
      <c r="G403" s="1334"/>
      <c r="H403" s="1335"/>
      <c r="I403" s="1335"/>
      <c r="J403" s="1333"/>
      <c r="O403" s="1217"/>
    </row>
    <row r="404" spans="1:19" s="1297" customFormat="1">
      <c r="A404" s="1400">
        <v>3.1</v>
      </c>
      <c r="B404" s="1401" t="s">
        <v>496</v>
      </c>
      <c r="C404" s="1437"/>
      <c r="D404" s="505"/>
      <c r="E404" s="489"/>
      <c r="F404" s="489"/>
      <c r="G404" s="507"/>
      <c r="H404" s="490"/>
      <c r="I404" s="490"/>
      <c r="J404" s="489"/>
      <c r="S404" s="1384"/>
    </row>
    <row r="405" spans="1:19" s="1297" customFormat="1">
      <c r="A405" s="1402"/>
      <c r="B405" s="645" t="s">
        <v>498</v>
      </c>
      <c r="C405" s="1437"/>
      <c r="D405" s="505"/>
      <c r="E405" s="489"/>
      <c r="F405" s="489"/>
      <c r="G405" s="507"/>
      <c r="H405" s="490"/>
      <c r="I405" s="490"/>
      <c r="J405" s="489"/>
    </row>
    <row r="406" spans="1:19" s="1297" customFormat="1">
      <c r="A406" s="1402"/>
      <c r="B406" s="645" t="s">
        <v>2248</v>
      </c>
      <c r="C406" s="1536"/>
      <c r="D406" s="505" t="s">
        <v>14</v>
      </c>
      <c r="E406" s="1285"/>
      <c r="F406" s="940"/>
      <c r="G406" s="940"/>
      <c r="H406" s="940"/>
      <c r="I406" s="940"/>
      <c r="J406" s="489"/>
    </row>
    <row r="407" spans="1:19" s="1297" customFormat="1">
      <c r="A407" s="1402"/>
      <c r="B407" s="645" t="s">
        <v>2249</v>
      </c>
      <c r="C407" s="1537"/>
      <c r="D407" s="505" t="s">
        <v>14</v>
      </c>
      <c r="E407" s="1285"/>
      <c r="F407" s="940"/>
      <c r="G407" s="940"/>
      <c r="H407" s="940"/>
      <c r="I407" s="940"/>
      <c r="J407" s="489"/>
    </row>
    <row r="408" spans="1:19" s="1297" customFormat="1">
      <c r="A408" s="1402"/>
      <c r="B408" s="645" t="s">
        <v>2250</v>
      </c>
      <c r="C408" s="1536"/>
      <c r="D408" s="505" t="s">
        <v>14</v>
      </c>
      <c r="E408" s="1285"/>
      <c r="F408" s="940"/>
      <c r="G408" s="940"/>
      <c r="H408" s="940"/>
      <c r="I408" s="940"/>
      <c r="J408" s="489"/>
    </row>
    <row r="409" spans="1:19" s="1297" customFormat="1">
      <c r="A409" s="1402"/>
      <c r="B409" s="645" t="s">
        <v>2251</v>
      </c>
      <c r="C409" s="1536"/>
      <c r="D409" s="505" t="s">
        <v>14</v>
      </c>
      <c r="E409" s="1285"/>
      <c r="F409" s="940"/>
      <c r="G409" s="940"/>
      <c r="H409" s="940"/>
      <c r="I409" s="940"/>
      <c r="J409" s="489"/>
    </row>
    <row r="410" spans="1:19" s="1297" customFormat="1">
      <c r="A410" s="1402"/>
      <c r="B410" s="645" t="s">
        <v>2243</v>
      </c>
      <c r="C410" s="1536"/>
      <c r="D410" s="505" t="s">
        <v>14</v>
      </c>
      <c r="E410" s="1285"/>
      <c r="F410" s="940"/>
      <c r="G410" s="940"/>
      <c r="H410" s="940"/>
      <c r="I410" s="940"/>
      <c r="J410" s="489"/>
    </row>
    <row r="411" spans="1:19" s="1297" customFormat="1">
      <c r="A411" s="1402"/>
      <c r="B411" s="645" t="s">
        <v>559</v>
      </c>
      <c r="C411" s="1536"/>
      <c r="D411" s="505" t="s">
        <v>14</v>
      </c>
      <c r="E411" s="1285"/>
      <c r="F411" s="940"/>
      <c r="G411" s="940"/>
      <c r="H411" s="940"/>
      <c r="I411" s="940"/>
      <c r="J411" s="489"/>
    </row>
    <row r="412" spans="1:19" s="1297" customFormat="1">
      <c r="A412" s="1402"/>
      <c r="B412" s="645" t="s">
        <v>1502</v>
      </c>
      <c r="C412" s="1536"/>
      <c r="D412" s="505" t="s">
        <v>14</v>
      </c>
      <c r="E412" s="1285"/>
      <c r="F412" s="940"/>
      <c r="G412" s="940"/>
      <c r="H412" s="940"/>
      <c r="I412" s="940"/>
      <c r="J412" s="489"/>
    </row>
    <row r="413" spans="1:19" s="1297" customFormat="1">
      <c r="A413" s="1402"/>
      <c r="B413" s="645" t="s">
        <v>560</v>
      </c>
      <c r="C413" s="1536"/>
      <c r="D413" s="505" t="s">
        <v>14</v>
      </c>
      <c r="E413" s="1285"/>
      <c r="F413" s="940"/>
      <c r="G413" s="940"/>
      <c r="H413" s="940"/>
      <c r="I413" s="940"/>
      <c r="J413" s="489"/>
    </row>
    <row r="414" spans="1:19" s="1297" customFormat="1">
      <c r="A414" s="1402"/>
      <c r="B414" s="1403" t="s">
        <v>2252</v>
      </c>
      <c r="C414" s="1537"/>
      <c r="D414" s="942" t="s">
        <v>508</v>
      </c>
      <c r="E414" s="940"/>
      <c r="F414" s="940"/>
      <c r="G414" s="940"/>
      <c r="H414" s="940"/>
      <c r="I414" s="940"/>
      <c r="J414" s="489"/>
    </row>
    <row r="415" spans="1:19" s="1297" customFormat="1">
      <c r="A415" s="1402"/>
      <c r="B415" s="1403" t="s">
        <v>2253</v>
      </c>
      <c r="C415" s="1537"/>
      <c r="D415" s="942" t="s">
        <v>508</v>
      </c>
      <c r="E415" s="940"/>
      <c r="F415" s="940"/>
      <c r="G415" s="940"/>
      <c r="H415" s="940"/>
      <c r="I415" s="940"/>
      <c r="J415" s="489"/>
    </row>
    <row r="416" spans="1:19" s="1297" customFormat="1">
      <c r="A416" s="1402"/>
      <c r="B416" s="1403" t="s">
        <v>2254</v>
      </c>
      <c r="C416" s="1537"/>
      <c r="D416" s="943" t="s">
        <v>508</v>
      </c>
      <c r="E416" s="940"/>
      <c r="F416" s="940"/>
      <c r="G416" s="940"/>
      <c r="H416" s="940"/>
      <c r="I416" s="940"/>
      <c r="J416" s="489"/>
    </row>
    <row r="417" spans="1:10" s="1297" customFormat="1">
      <c r="A417" s="1402"/>
      <c r="B417" s="1404" t="s">
        <v>512</v>
      </c>
      <c r="C417" s="1538"/>
      <c r="D417" s="541"/>
      <c r="E417" s="946"/>
      <c r="F417" s="946"/>
      <c r="G417" s="542"/>
      <c r="H417" s="543"/>
      <c r="I417" s="940"/>
      <c r="J417" s="489"/>
    </row>
    <row r="418" spans="1:10" s="1297" customFormat="1">
      <c r="A418" s="1402"/>
      <c r="B418" s="645" t="s">
        <v>559</v>
      </c>
      <c r="C418" s="1437"/>
      <c r="D418" s="544" t="s">
        <v>15</v>
      </c>
      <c r="E418" s="940"/>
      <c r="F418" s="940"/>
      <c r="G418" s="940"/>
      <c r="H418" s="490"/>
      <c r="I418" s="940"/>
      <c r="J418" s="940"/>
    </row>
    <row r="419" spans="1:10" s="1297" customFormat="1">
      <c r="A419" s="1402"/>
      <c r="B419" s="645" t="s">
        <v>1502</v>
      </c>
      <c r="C419" s="1437"/>
      <c r="D419" s="544" t="s">
        <v>15</v>
      </c>
      <c r="E419" s="940"/>
      <c r="F419" s="940"/>
      <c r="G419" s="940"/>
      <c r="H419" s="490"/>
      <c r="I419" s="940"/>
      <c r="J419" s="940"/>
    </row>
    <row r="420" spans="1:10" s="1297" customFormat="1">
      <c r="A420" s="1402"/>
      <c r="B420" s="645" t="s">
        <v>560</v>
      </c>
      <c r="C420" s="1437"/>
      <c r="D420" s="544" t="s">
        <v>15</v>
      </c>
      <c r="E420" s="940"/>
      <c r="F420" s="940"/>
      <c r="G420" s="940"/>
      <c r="H420" s="490"/>
      <c r="I420" s="940"/>
      <c r="J420" s="940"/>
    </row>
    <row r="421" spans="1:10" s="1297" customFormat="1">
      <c r="A421" s="1402"/>
      <c r="B421" s="1403" t="s">
        <v>517</v>
      </c>
      <c r="C421" s="1437"/>
      <c r="D421" s="942"/>
      <c r="E421" s="946"/>
      <c r="F421" s="946"/>
      <c r="G421" s="946"/>
      <c r="H421" s="490"/>
      <c r="I421" s="940"/>
      <c r="J421" s="489"/>
    </row>
    <row r="422" spans="1:10" s="1297" customFormat="1">
      <c r="A422" s="1402"/>
      <c r="B422" s="645" t="s">
        <v>2248</v>
      </c>
      <c r="C422" s="1437"/>
      <c r="D422" s="544" t="s">
        <v>15</v>
      </c>
      <c r="E422" s="489"/>
      <c r="F422" s="489"/>
      <c r="G422" s="489"/>
      <c r="H422" s="489"/>
      <c r="I422" s="940"/>
      <c r="J422" s="489"/>
    </row>
    <row r="423" spans="1:10" s="1297" customFormat="1">
      <c r="A423" s="1402"/>
      <c r="B423" s="645" t="s">
        <v>579</v>
      </c>
      <c r="C423" s="1437"/>
      <c r="D423" s="541"/>
      <c r="E423" s="946"/>
      <c r="F423" s="946"/>
      <c r="G423" s="542"/>
      <c r="H423" s="490"/>
      <c r="I423" s="490"/>
      <c r="J423" s="489"/>
    </row>
    <row r="424" spans="1:10" s="1297" customFormat="1">
      <c r="A424" s="1402"/>
      <c r="B424" s="645" t="s">
        <v>2244</v>
      </c>
      <c r="C424" s="1437"/>
      <c r="D424" s="544" t="s">
        <v>15</v>
      </c>
      <c r="E424" s="940"/>
      <c r="F424" s="940"/>
      <c r="G424" s="940"/>
      <c r="H424" s="490"/>
      <c r="I424" s="490"/>
      <c r="J424" s="489"/>
    </row>
    <row r="425" spans="1:10" s="1297" customFormat="1">
      <c r="A425" s="1402"/>
      <c r="B425" s="645" t="s">
        <v>560</v>
      </c>
      <c r="C425" s="1437"/>
      <c r="D425" s="544" t="s">
        <v>15</v>
      </c>
      <c r="E425" s="940"/>
      <c r="F425" s="940"/>
      <c r="G425" s="940"/>
      <c r="H425" s="490"/>
      <c r="I425" s="490"/>
      <c r="J425" s="489"/>
    </row>
    <row r="426" spans="1:10" s="1297" customFormat="1">
      <c r="A426" s="1402"/>
      <c r="B426" s="645" t="s">
        <v>581</v>
      </c>
      <c r="C426" s="1437"/>
      <c r="D426" s="541"/>
      <c r="E426" s="946"/>
      <c r="F426" s="946"/>
      <c r="G426" s="542"/>
      <c r="H426" s="490"/>
      <c r="I426" s="490"/>
      <c r="J426" s="489"/>
    </row>
    <row r="427" spans="1:10" s="1297" customFormat="1">
      <c r="A427" s="1402"/>
      <c r="B427" s="1403" t="s">
        <v>2243</v>
      </c>
      <c r="C427" s="1437"/>
      <c r="D427" s="544" t="s">
        <v>15</v>
      </c>
      <c r="E427" s="953"/>
      <c r="F427" s="953"/>
      <c r="G427" s="940"/>
      <c r="H427" s="490"/>
      <c r="I427" s="490"/>
      <c r="J427" s="489"/>
    </row>
    <row r="428" spans="1:10" s="1297" customFormat="1">
      <c r="A428" s="1402"/>
      <c r="B428" s="1403" t="s">
        <v>2244</v>
      </c>
      <c r="C428" s="1437"/>
      <c r="D428" s="544" t="s">
        <v>15</v>
      </c>
      <c r="E428" s="940"/>
      <c r="F428" s="940"/>
      <c r="G428" s="940"/>
      <c r="H428" s="490"/>
      <c r="I428" s="490"/>
      <c r="J428" s="489"/>
    </row>
    <row r="429" spans="1:10" s="1297" customFormat="1">
      <c r="A429" s="1402"/>
      <c r="B429" s="1403" t="s">
        <v>560</v>
      </c>
      <c r="C429" s="1437"/>
      <c r="D429" s="544" t="s">
        <v>15</v>
      </c>
      <c r="E429" s="940"/>
      <c r="F429" s="940"/>
      <c r="G429" s="940"/>
      <c r="H429" s="490"/>
      <c r="I429" s="490"/>
      <c r="J429" s="489"/>
    </row>
    <row r="430" spans="1:10" s="1297" customFormat="1">
      <c r="A430" s="1402"/>
      <c r="B430" s="1403" t="s">
        <v>583</v>
      </c>
      <c r="C430" s="1437"/>
      <c r="D430" s="541"/>
      <c r="E430" s="946"/>
      <c r="F430" s="946"/>
      <c r="G430" s="542"/>
      <c r="H430" s="490"/>
      <c r="I430" s="490"/>
      <c r="J430" s="489"/>
    </row>
    <row r="431" spans="1:10" s="1297" customFormat="1">
      <c r="A431" s="1402"/>
      <c r="B431" s="1403" t="s">
        <v>559</v>
      </c>
      <c r="C431" s="1437"/>
      <c r="D431" s="544" t="s">
        <v>15</v>
      </c>
      <c r="E431" s="940"/>
      <c r="F431" s="940"/>
      <c r="G431" s="940"/>
      <c r="H431" s="490"/>
      <c r="I431" s="490"/>
      <c r="J431" s="489"/>
    </row>
    <row r="432" spans="1:10" s="1297" customFormat="1">
      <c r="A432" s="1402"/>
      <c r="B432" s="1403" t="s">
        <v>1502</v>
      </c>
      <c r="C432" s="1437"/>
      <c r="D432" s="544" t="s">
        <v>15</v>
      </c>
      <c r="E432" s="940"/>
      <c r="F432" s="940"/>
      <c r="G432" s="940"/>
      <c r="H432" s="490"/>
      <c r="I432" s="490"/>
      <c r="J432" s="489"/>
    </row>
    <row r="433" spans="1:10" s="1297" customFormat="1">
      <c r="A433" s="1402"/>
      <c r="B433" s="1403" t="s">
        <v>560</v>
      </c>
      <c r="C433" s="1437"/>
      <c r="D433" s="544" t="s">
        <v>15</v>
      </c>
      <c r="E433" s="940"/>
      <c r="F433" s="940"/>
      <c r="G433" s="940"/>
      <c r="H433" s="490"/>
      <c r="I433" s="490"/>
      <c r="J433" s="489"/>
    </row>
    <row r="434" spans="1:10" s="1297" customFormat="1">
      <c r="A434" s="1402"/>
      <c r="B434" s="1403" t="s">
        <v>584</v>
      </c>
      <c r="C434" s="1437"/>
      <c r="D434" s="544" t="s">
        <v>15</v>
      </c>
      <c r="E434" s="489"/>
      <c r="F434" s="489"/>
      <c r="G434" s="489"/>
      <c r="H434" s="489"/>
      <c r="I434" s="490"/>
      <c r="J434" s="489"/>
    </row>
    <row r="435" spans="1:10" s="1297" customFormat="1">
      <c r="A435" s="1402"/>
      <c r="B435" s="1403" t="s">
        <v>585</v>
      </c>
      <c r="C435" s="1437"/>
      <c r="D435" s="505"/>
      <c r="E435" s="489"/>
      <c r="F435" s="489"/>
      <c r="G435" s="489"/>
      <c r="H435" s="489"/>
      <c r="I435" s="490"/>
      <c r="J435" s="489"/>
    </row>
    <row r="436" spans="1:10" s="1297" customFormat="1">
      <c r="A436" s="1402"/>
      <c r="B436" s="1403" t="s">
        <v>2245</v>
      </c>
      <c r="C436" s="1437"/>
      <c r="D436" s="544" t="s">
        <v>15</v>
      </c>
      <c r="E436" s="489"/>
      <c r="F436" s="489"/>
      <c r="G436" s="489"/>
      <c r="H436" s="489"/>
      <c r="I436" s="490"/>
      <c r="J436" s="489"/>
    </row>
    <row r="437" spans="1:10" s="1297" customFormat="1">
      <c r="A437" s="1402"/>
      <c r="B437" s="1403" t="s">
        <v>2246</v>
      </c>
      <c r="C437" s="1437"/>
      <c r="D437" s="544" t="s">
        <v>15</v>
      </c>
      <c r="E437" s="489"/>
      <c r="F437" s="489"/>
      <c r="G437" s="489"/>
      <c r="H437" s="489"/>
      <c r="I437" s="490"/>
      <c r="J437" s="489"/>
    </row>
    <row r="438" spans="1:10" s="1297" customFormat="1">
      <c r="A438" s="1402"/>
      <c r="B438" s="1403" t="s">
        <v>2247</v>
      </c>
      <c r="C438" s="1437"/>
      <c r="D438" s="544" t="s">
        <v>15</v>
      </c>
      <c r="E438" s="489"/>
      <c r="F438" s="489"/>
      <c r="G438" s="489"/>
      <c r="H438" s="489"/>
      <c r="I438" s="490"/>
      <c r="J438" s="489"/>
    </row>
    <row r="439" spans="1:10" s="1297" customFormat="1">
      <c r="A439" s="1405">
        <v>3.2</v>
      </c>
      <c r="B439" s="1406" t="s">
        <v>520</v>
      </c>
      <c r="C439" s="1437"/>
      <c r="D439" s="505"/>
      <c r="E439" s="489"/>
      <c r="F439" s="489"/>
      <c r="G439" s="507"/>
      <c r="H439" s="490"/>
      <c r="I439" s="490"/>
      <c r="J439" s="489"/>
    </row>
    <row r="440" spans="1:10" s="1297" customFormat="1">
      <c r="A440" s="1402"/>
      <c r="B440" s="1403" t="s">
        <v>522</v>
      </c>
      <c r="C440" s="1437"/>
      <c r="D440" s="505"/>
      <c r="E440" s="489"/>
      <c r="F440" s="489"/>
      <c r="G440" s="507"/>
      <c r="H440" s="490"/>
      <c r="I440" s="490"/>
      <c r="J440" s="489"/>
    </row>
    <row r="441" spans="1:10" s="1297" customFormat="1">
      <c r="A441" s="1407"/>
      <c r="B441" s="1403" t="s">
        <v>2255</v>
      </c>
      <c r="C441" s="1437"/>
      <c r="D441" s="505" t="s">
        <v>14</v>
      </c>
      <c r="E441" s="489"/>
      <c r="F441" s="489"/>
      <c r="G441" s="489"/>
      <c r="H441" s="489"/>
      <c r="I441" s="489"/>
      <c r="J441" s="489"/>
    </row>
    <row r="442" spans="1:10" s="1297" customFormat="1">
      <c r="A442" s="1407"/>
      <c r="B442" s="1403" t="s">
        <v>2256</v>
      </c>
      <c r="C442" s="1437"/>
      <c r="D442" s="505" t="s">
        <v>14</v>
      </c>
      <c r="E442" s="489"/>
      <c r="F442" s="489"/>
      <c r="G442" s="489"/>
      <c r="H442" s="489"/>
      <c r="I442" s="489"/>
      <c r="J442" s="489"/>
    </row>
    <row r="443" spans="1:10" s="1297" customFormat="1">
      <c r="A443" s="1407"/>
      <c r="B443" s="1403" t="s">
        <v>1503</v>
      </c>
      <c r="C443" s="1437"/>
      <c r="D443" s="505" t="s">
        <v>14</v>
      </c>
      <c r="E443" s="489"/>
      <c r="F443" s="489"/>
      <c r="G443" s="489"/>
      <c r="H443" s="489"/>
      <c r="I443" s="489"/>
      <c r="J443" s="489"/>
    </row>
    <row r="444" spans="1:10" s="1297" customFormat="1">
      <c r="A444" s="1402"/>
      <c r="B444" s="1403" t="s">
        <v>2257</v>
      </c>
      <c r="C444" s="1437"/>
      <c r="D444" s="505" t="s">
        <v>14</v>
      </c>
      <c r="E444" s="489"/>
      <c r="F444" s="489"/>
      <c r="G444" s="489"/>
      <c r="H444" s="489"/>
      <c r="I444" s="489"/>
      <c r="J444" s="489"/>
    </row>
    <row r="445" spans="1:10" s="1297" customFormat="1">
      <c r="A445" s="1402"/>
      <c r="B445" s="1403" t="s">
        <v>2258</v>
      </c>
      <c r="C445" s="1437"/>
      <c r="D445" s="505" t="s">
        <v>14</v>
      </c>
      <c r="E445" s="489"/>
      <c r="F445" s="489"/>
      <c r="G445" s="489"/>
      <c r="H445" s="489"/>
      <c r="I445" s="489"/>
      <c r="J445" s="489"/>
    </row>
    <row r="446" spans="1:10" s="1297" customFormat="1">
      <c r="A446" s="1402"/>
      <c r="B446" s="1403" t="s">
        <v>2252</v>
      </c>
      <c r="C446" s="1437"/>
      <c r="D446" s="505" t="s">
        <v>508</v>
      </c>
      <c r="E446" s="940"/>
      <c r="F446" s="489"/>
      <c r="G446" s="940"/>
      <c r="H446" s="489"/>
      <c r="I446" s="489"/>
      <c r="J446" s="489"/>
    </row>
    <row r="447" spans="1:10" s="1297" customFormat="1">
      <c r="A447" s="1402"/>
      <c r="B447" s="1403" t="s">
        <v>2253</v>
      </c>
      <c r="C447" s="1437"/>
      <c r="D447" s="505" t="s">
        <v>508</v>
      </c>
      <c r="E447" s="940"/>
      <c r="F447" s="489"/>
      <c r="G447" s="940"/>
      <c r="H447" s="489"/>
      <c r="I447" s="489"/>
      <c r="J447" s="489"/>
    </row>
    <row r="448" spans="1:10" s="1297" customFormat="1">
      <c r="A448" s="1402"/>
      <c r="B448" s="1403" t="s">
        <v>2254</v>
      </c>
      <c r="C448" s="1437"/>
      <c r="D448" s="943" t="s">
        <v>508</v>
      </c>
      <c r="E448" s="940"/>
      <c r="F448" s="940"/>
      <c r="G448" s="940"/>
      <c r="H448" s="940"/>
      <c r="I448" s="940"/>
      <c r="J448" s="489"/>
    </row>
    <row r="449" spans="1:10" s="1297" customFormat="1">
      <c r="A449" s="1402"/>
      <c r="B449" s="1403" t="s">
        <v>529</v>
      </c>
      <c r="C449" s="1437"/>
      <c r="D449" s="505"/>
      <c r="E449" s="489"/>
      <c r="F449" s="489"/>
      <c r="G449" s="507"/>
      <c r="H449" s="490"/>
      <c r="I449" s="490"/>
      <c r="J449" s="489"/>
    </row>
    <row r="450" spans="1:10" s="1297" customFormat="1">
      <c r="A450" s="1402"/>
      <c r="B450" s="1403" t="s">
        <v>2255</v>
      </c>
      <c r="C450" s="1437"/>
      <c r="D450" s="505" t="s">
        <v>14</v>
      </c>
      <c r="E450" s="489"/>
      <c r="F450" s="489"/>
      <c r="G450" s="489"/>
      <c r="H450" s="489"/>
      <c r="I450" s="489"/>
      <c r="J450" s="489"/>
    </row>
    <row r="451" spans="1:10" s="1297" customFormat="1">
      <c r="A451" s="1402"/>
      <c r="B451" s="1403" t="s">
        <v>2256</v>
      </c>
      <c r="C451" s="1437"/>
      <c r="D451" s="505" t="s">
        <v>14</v>
      </c>
      <c r="E451" s="489"/>
      <c r="F451" s="489"/>
      <c r="G451" s="489"/>
      <c r="H451" s="489"/>
      <c r="I451" s="489"/>
      <c r="J451" s="489"/>
    </row>
    <row r="452" spans="1:10" s="1297" customFormat="1">
      <c r="A452" s="1402" t="s">
        <v>1</v>
      </c>
      <c r="B452" s="1403" t="s">
        <v>1503</v>
      </c>
      <c r="C452" s="1437"/>
      <c r="D452" s="505" t="s">
        <v>14</v>
      </c>
      <c r="E452" s="489"/>
      <c r="F452" s="489"/>
      <c r="G452" s="489"/>
      <c r="H452" s="489"/>
      <c r="I452" s="489"/>
      <c r="J452" s="489"/>
    </row>
    <row r="453" spans="1:10" s="1297" customFormat="1">
      <c r="A453" s="1402"/>
      <c r="B453" s="1403" t="s">
        <v>2252</v>
      </c>
      <c r="C453" s="1437"/>
      <c r="D453" s="505" t="s">
        <v>508</v>
      </c>
      <c r="E453" s="940"/>
      <c r="F453" s="489"/>
      <c r="G453" s="940"/>
      <c r="H453" s="489"/>
      <c r="I453" s="489"/>
      <c r="J453" s="489"/>
    </row>
    <row r="454" spans="1:10" s="1297" customFormat="1">
      <c r="A454" s="1402"/>
      <c r="B454" s="1403" t="s">
        <v>2253</v>
      </c>
      <c r="C454" s="1437"/>
      <c r="D454" s="505" t="s">
        <v>508</v>
      </c>
      <c r="E454" s="940"/>
      <c r="F454" s="489"/>
      <c r="G454" s="940"/>
      <c r="H454" s="489"/>
      <c r="I454" s="489"/>
      <c r="J454" s="489"/>
    </row>
    <row r="455" spans="1:10" s="1297" customFormat="1">
      <c r="A455" s="1402"/>
      <c r="B455" s="1403" t="s">
        <v>2254</v>
      </c>
      <c r="C455" s="1437"/>
      <c r="D455" s="943" t="s">
        <v>508</v>
      </c>
      <c r="E455" s="940"/>
      <c r="F455" s="940"/>
      <c r="G455" s="940"/>
      <c r="H455" s="940"/>
      <c r="I455" s="940"/>
      <c r="J455" s="489"/>
    </row>
    <row r="456" spans="1:10" s="1297" customFormat="1">
      <c r="A456" s="1402"/>
      <c r="B456" s="1403" t="s">
        <v>530</v>
      </c>
      <c r="C456" s="1437"/>
      <c r="D456" s="505"/>
      <c r="E456" s="489"/>
      <c r="F456" s="489"/>
      <c r="G456" s="489"/>
      <c r="H456" s="489"/>
      <c r="I456" s="489"/>
      <c r="J456" s="489"/>
    </row>
    <row r="457" spans="1:10" s="1297" customFormat="1">
      <c r="A457" s="1402"/>
      <c r="B457" s="1403" t="s">
        <v>2256</v>
      </c>
      <c r="C457" s="1437"/>
      <c r="D457" s="505" t="s">
        <v>15</v>
      </c>
      <c r="E457" s="489"/>
      <c r="F457" s="489"/>
      <c r="G457" s="489"/>
      <c r="H457" s="489"/>
      <c r="I457" s="489"/>
      <c r="J457" s="489"/>
    </row>
    <row r="458" spans="1:10" s="1297" customFormat="1">
      <c r="A458" s="1402"/>
      <c r="B458" s="1403" t="s">
        <v>531</v>
      </c>
      <c r="C458" s="1437"/>
      <c r="D458" s="505"/>
      <c r="E458" s="489"/>
      <c r="F458" s="489"/>
      <c r="G458" s="489"/>
      <c r="H458" s="489"/>
      <c r="I458" s="489"/>
      <c r="J458" s="489"/>
    </row>
    <row r="459" spans="1:10" s="1297" customFormat="1">
      <c r="A459" s="1402"/>
      <c r="B459" s="1403" t="s">
        <v>2256</v>
      </c>
      <c r="C459" s="1437"/>
      <c r="D459" s="505" t="s">
        <v>15</v>
      </c>
      <c r="E459" s="489"/>
      <c r="F459" s="489"/>
      <c r="G459" s="489"/>
      <c r="H459" s="489"/>
      <c r="I459" s="489"/>
      <c r="J459" s="489"/>
    </row>
    <row r="460" spans="1:10" s="1297" customFormat="1">
      <c r="A460" s="1402"/>
      <c r="B460" s="1403" t="s">
        <v>1503</v>
      </c>
      <c r="C460" s="1437"/>
      <c r="D460" s="505" t="s">
        <v>15</v>
      </c>
      <c r="E460" s="489"/>
      <c r="F460" s="489"/>
      <c r="G460" s="489"/>
      <c r="H460" s="489"/>
      <c r="I460" s="489"/>
      <c r="J460" s="489"/>
    </row>
    <row r="461" spans="1:10" s="1297" customFormat="1">
      <c r="A461" s="1402"/>
      <c r="B461" s="1403" t="s">
        <v>2257</v>
      </c>
      <c r="C461" s="1437"/>
      <c r="D461" s="505" t="s">
        <v>15</v>
      </c>
      <c r="E461" s="489"/>
      <c r="F461" s="489"/>
      <c r="G461" s="489"/>
      <c r="H461" s="489"/>
      <c r="I461" s="489"/>
      <c r="J461" s="489"/>
    </row>
    <row r="462" spans="1:10" s="1297" customFormat="1">
      <c r="A462" s="1402"/>
      <c r="B462" s="1403" t="s">
        <v>532</v>
      </c>
      <c r="C462" s="1437"/>
      <c r="D462" s="505"/>
      <c r="E462" s="489"/>
      <c r="F462" s="489"/>
      <c r="G462" s="489"/>
      <c r="H462" s="489"/>
      <c r="I462" s="489"/>
      <c r="J462" s="489"/>
    </row>
    <row r="463" spans="1:10" s="1297" customFormat="1">
      <c r="A463" s="1402"/>
      <c r="B463" s="1403" t="s">
        <v>1503</v>
      </c>
      <c r="C463" s="1437"/>
      <c r="D463" s="505" t="s">
        <v>15</v>
      </c>
      <c r="E463" s="489"/>
      <c r="F463" s="489"/>
      <c r="G463" s="489"/>
      <c r="H463" s="489"/>
      <c r="I463" s="489"/>
      <c r="J463" s="489"/>
    </row>
    <row r="464" spans="1:10" s="1297" customFormat="1">
      <c r="A464" s="1402"/>
      <c r="B464" s="1403" t="s">
        <v>2257</v>
      </c>
      <c r="C464" s="1437"/>
      <c r="D464" s="505" t="s">
        <v>15</v>
      </c>
      <c r="E464" s="489"/>
      <c r="F464" s="489"/>
      <c r="G464" s="489"/>
      <c r="H464" s="489"/>
      <c r="I464" s="489"/>
      <c r="J464" s="489"/>
    </row>
    <row r="465" spans="1:10" s="1297" customFormat="1">
      <c r="A465" s="1402"/>
      <c r="B465" s="1403" t="s">
        <v>2258</v>
      </c>
      <c r="C465" s="1437"/>
      <c r="D465" s="505" t="s">
        <v>15</v>
      </c>
      <c r="E465" s="489"/>
      <c r="F465" s="489"/>
      <c r="G465" s="489"/>
      <c r="H465" s="489"/>
      <c r="I465" s="489"/>
      <c r="J465" s="489"/>
    </row>
    <row r="466" spans="1:10" s="1297" customFormat="1">
      <c r="A466" s="1408"/>
      <c r="B466" s="1409" t="s">
        <v>573</v>
      </c>
      <c r="C466" s="1437"/>
      <c r="D466" s="505"/>
      <c r="E466" s="489"/>
      <c r="F466" s="489"/>
      <c r="G466" s="507"/>
      <c r="H466" s="490"/>
      <c r="I466" s="490"/>
      <c r="J466" s="489"/>
    </row>
    <row r="467" spans="1:10" s="1297" customFormat="1">
      <c r="A467" s="1408"/>
      <c r="B467" s="1409" t="s">
        <v>559</v>
      </c>
      <c r="C467" s="1437"/>
      <c r="D467" s="505" t="s">
        <v>2040</v>
      </c>
      <c r="E467" s="489"/>
      <c r="F467" s="489"/>
      <c r="G467" s="507"/>
      <c r="H467" s="490"/>
      <c r="I467" s="490"/>
      <c r="J467" s="489"/>
    </row>
    <row r="468" spans="1:10" s="1297" customFormat="1">
      <c r="A468" s="504">
        <v>3.3</v>
      </c>
      <c r="B468" s="493" t="s">
        <v>536</v>
      </c>
      <c r="C468" s="1437"/>
      <c r="D468" s="505"/>
      <c r="E468" s="489"/>
      <c r="F468" s="489"/>
      <c r="G468" s="489"/>
      <c r="H468" s="489"/>
      <c r="I468" s="489"/>
      <c r="J468" s="489"/>
    </row>
    <row r="469" spans="1:10" s="1297" customFormat="1">
      <c r="A469" s="1402"/>
      <c r="B469" s="1403" t="s">
        <v>538</v>
      </c>
      <c r="C469" s="1539"/>
      <c r="D469" s="505"/>
      <c r="E469" s="505"/>
      <c r="F469" s="505"/>
      <c r="G469" s="505"/>
      <c r="H469" s="505"/>
      <c r="I469" s="505"/>
      <c r="J469" s="489"/>
    </row>
    <row r="470" spans="1:10" s="1297" customFormat="1">
      <c r="A470" s="1402" t="s">
        <v>1</v>
      </c>
      <c r="B470" s="1403" t="s">
        <v>2258</v>
      </c>
      <c r="C470" s="1437"/>
      <c r="D470" s="505" t="s">
        <v>14</v>
      </c>
      <c r="E470" s="489"/>
      <c r="F470" s="489"/>
      <c r="G470" s="489"/>
      <c r="H470" s="489"/>
      <c r="I470" s="489"/>
      <c r="J470" s="489"/>
    </row>
    <row r="471" spans="1:10" s="1297" customFormat="1">
      <c r="A471" s="1402"/>
      <c r="B471" s="1403" t="s">
        <v>2252</v>
      </c>
      <c r="C471" s="1437"/>
      <c r="D471" s="505" t="s">
        <v>508</v>
      </c>
      <c r="E471" s="489"/>
      <c r="F471" s="489"/>
      <c r="G471" s="940"/>
      <c r="H471" s="489"/>
      <c r="I471" s="489"/>
      <c r="J471" s="489"/>
    </row>
    <row r="472" spans="1:10" s="1297" customFormat="1">
      <c r="A472" s="1402"/>
      <c r="B472" s="1403" t="s">
        <v>2253</v>
      </c>
      <c r="C472" s="1437"/>
      <c r="D472" s="505" t="s">
        <v>508</v>
      </c>
      <c r="E472" s="489"/>
      <c r="F472" s="489"/>
      <c r="G472" s="940"/>
      <c r="H472" s="489"/>
      <c r="I472" s="489"/>
      <c r="J472" s="489"/>
    </row>
    <row r="473" spans="1:10" s="1297" customFormat="1">
      <c r="A473" s="1402"/>
      <c r="B473" s="1403" t="s">
        <v>2254</v>
      </c>
      <c r="C473" s="1437"/>
      <c r="D473" s="505" t="s">
        <v>508</v>
      </c>
      <c r="E473" s="489"/>
      <c r="F473" s="489"/>
      <c r="G473" s="940"/>
      <c r="H473" s="489"/>
      <c r="I473" s="489"/>
      <c r="J473" s="489"/>
    </row>
    <row r="474" spans="1:10" s="1297" customFormat="1">
      <c r="A474" s="1402"/>
      <c r="B474" s="1409" t="s">
        <v>569</v>
      </c>
      <c r="C474" s="1437"/>
      <c r="D474" s="505"/>
      <c r="E474" s="489"/>
      <c r="F474" s="940"/>
      <c r="G474" s="507"/>
      <c r="H474" s="940"/>
      <c r="I474" s="940"/>
      <c r="J474" s="489"/>
    </row>
    <row r="475" spans="1:10" s="1297" customFormat="1">
      <c r="A475" s="518"/>
      <c r="B475" s="583" t="s">
        <v>560</v>
      </c>
      <c r="C475" s="1459"/>
      <c r="D475" s="505" t="s">
        <v>2040</v>
      </c>
      <c r="E475" s="582"/>
      <c r="F475" s="676"/>
      <c r="G475" s="557"/>
      <c r="H475" s="676"/>
      <c r="I475" s="676"/>
      <c r="J475" s="558"/>
    </row>
    <row r="476" spans="1:10" s="1297" customFormat="1">
      <c r="A476" s="1402"/>
      <c r="B476" s="1409" t="s">
        <v>561</v>
      </c>
      <c r="C476" s="1437"/>
      <c r="D476" s="505" t="s">
        <v>2040</v>
      </c>
      <c r="E476" s="940"/>
      <c r="F476" s="940"/>
      <c r="G476" s="940"/>
      <c r="H476" s="940"/>
      <c r="I476" s="940"/>
      <c r="J476" s="489"/>
    </row>
    <row r="477" spans="1:10" s="1297" customFormat="1">
      <c r="A477" s="518"/>
      <c r="B477" s="1410" t="s">
        <v>575</v>
      </c>
      <c r="C477" s="1437"/>
      <c r="D477" s="505"/>
      <c r="E477" s="489"/>
      <c r="F477" s="940"/>
      <c r="G477" s="507"/>
      <c r="H477" s="940"/>
      <c r="I477" s="940"/>
      <c r="J477" s="489"/>
    </row>
    <row r="478" spans="1:10" s="1297" customFormat="1">
      <c r="A478" s="518"/>
      <c r="B478" s="583" t="s">
        <v>578</v>
      </c>
      <c r="C478" s="1459"/>
      <c r="D478" s="505" t="s">
        <v>2040</v>
      </c>
      <c r="E478" s="582"/>
      <c r="F478" s="676"/>
      <c r="G478" s="557"/>
      <c r="H478" s="676"/>
      <c r="I478" s="676"/>
      <c r="J478" s="558"/>
    </row>
    <row r="479" spans="1:10" s="1297" customFormat="1">
      <c r="A479" s="518"/>
      <c r="B479" s="1404" t="s">
        <v>570</v>
      </c>
      <c r="C479" s="1437"/>
      <c r="D479" s="505" t="s">
        <v>2040</v>
      </c>
      <c r="E479" s="489"/>
      <c r="F479" s="940"/>
      <c r="G479" s="507"/>
      <c r="H479" s="940"/>
      <c r="I479" s="940"/>
      <c r="J479" s="489"/>
    </row>
    <row r="480" spans="1:10" s="1297" customFormat="1">
      <c r="A480" s="1402"/>
      <c r="B480" s="1403" t="s">
        <v>532</v>
      </c>
      <c r="C480" s="1437"/>
      <c r="D480" s="505"/>
      <c r="E480" s="489"/>
      <c r="F480" s="489"/>
      <c r="G480" s="489"/>
      <c r="H480" s="489"/>
      <c r="I480" s="489"/>
      <c r="J480" s="489"/>
    </row>
    <row r="481" spans="1:10" s="1297" customFormat="1">
      <c r="A481" s="1402"/>
      <c r="B481" s="1403" t="s">
        <v>533</v>
      </c>
      <c r="C481" s="1437"/>
      <c r="D481" s="505" t="s">
        <v>15</v>
      </c>
      <c r="E481" s="489"/>
      <c r="F481" s="489"/>
      <c r="G481" s="489"/>
      <c r="H481" s="489"/>
      <c r="I481" s="489"/>
      <c r="J481" s="489"/>
    </row>
    <row r="482" spans="1:10" s="1297" customFormat="1">
      <c r="A482" s="1402"/>
      <c r="B482" s="1403" t="s">
        <v>2258</v>
      </c>
      <c r="C482" s="1437"/>
      <c r="D482" s="505" t="s">
        <v>15</v>
      </c>
      <c r="E482" s="489"/>
      <c r="F482" s="489"/>
      <c r="G482" s="489"/>
      <c r="H482" s="489"/>
      <c r="I482" s="489"/>
      <c r="J482" s="489"/>
    </row>
    <row r="483" spans="1:10" s="1297" customFormat="1">
      <c r="A483" s="1402"/>
      <c r="B483" s="1403" t="s">
        <v>1139</v>
      </c>
      <c r="C483" s="1437"/>
      <c r="D483" s="505" t="s">
        <v>15</v>
      </c>
      <c r="E483" s="489"/>
      <c r="F483" s="489"/>
      <c r="G483" s="489"/>
      <c r="H483" s="489"/>
      <c r="I483" s="489"/>
      <c r="J483" s="489"/>
    </row>
    <row r="484" spans="1:10" s="1297" customFormat="1">
      <c r="A484" s="504">
        <v>3.4</v>
      </c>
      <c r="B484" s="1411" t="s">
        <v>543</v>
      </c>
      <c r="C484" s="1437"/>
      <c r="D484" s="505"/>
      <c r="E484" s="489"/>
      <c r="F484" s="489"/>
      <c r="G484" s="507"/>
      <c r="H484" s="490"/>
      <c r="I484" s="490"/>
      <c r="J484" s="489"/>
    </row>
    <row r="485" spans="1:10" s="1297" customFormat="1">
      <c r="A485" s="1408"/>
      <c r="B485" s="1403" t="s">
        <v>589</v>
      </c>
      <c r="C485" s="1437"/>
      <c r="D485" s="505" t="s">
        <v>15</v>
      </c>
      <c r="E485" s="489"/>
      <c r="F485" s="489"/>
      <c r="G485" s="507"/>
      <c r="H485" s="490"/>
      <c r="I485" s="490"/>
      <c r="J485" s="489"/>
    </row>
    <row r="486" spans="1:10" s="1297" customFormat="1">
      <c r="A486" s="1408"/>
      <c r="B486" s="1403" t="s">
        <v>590</v>
      </c>
      <c r="C486" s="1437"/>
      <c r="D486" s="505" t="s">
        <v>15</v>
      </c>
      <c r="E486" s="489"/>
      <c r="F486" s="489"/>
      <c r="G486" s="507"/>
      <c r="H486" s="490"/>
      <c r="I486" s="490"/>
      <c r="J486" s="489"/>
    </row>
    <row r="487" spans="1:10" s="1297" customFormat="1">
      <c r="A487" s="1408"/>
      <c r="B487" s="1403" t="s">
        <v>545</v>
      </c>
      <c r="C487" s="1437"/>
      <c r="D487" s="505" t="s">
        <v>15</v>
      </c>
      <c r="E487" s="489"/>
      <c r="F487" s="489"/>
      <c r="G487" s="507"/>
      <c r="H487" s="490"/>
      <c r="I487" s="490"/>
      <c r="J487" s="489"/>
    </row>
    <row r="488" spans="1:10" s="1297" customFormat="1">
      <c r="A488" s="1408"/>
      <c r="B488" s="1403" t="s">
        <v>548</v>
      </c>
      <c r="C488" s="1437"/>
      <c r="D488" s="505" t="s">
        <v>15</v>
      </c>
      <c r="E488" s="489"/>
      <c r="F488" s="489"/>
      <c r="G488" s="507"/>
      <c r="H488" s="490"/>
      <c r="I488" s="490"/>
      <c r="J488" s="489"/>
    </row>
    <row r="489" spans="1:10" s="1297" customFormat="1">
      <c r="A489" s="1408"/>
      <c r="B489" s="1403" t="s">
        <v>550</v>
      </c>
      <c r="C489" s="1437"/>
      <c r="D489" s="505" t="s">
        <v>15</v>
      </c>
      <c r="E489" s="489"/>
      <c r="F489" s="489"/>
      <c r="G489" s="507"/>
      <c r="H489" s="490"/>
      <c r="I489" s="490"/>
      <c r="J489" s="489"/>
    </row>
    <row r="490" spans="1:10" s="1297" customFormat="1">
      <c r="A490" s="1408"/>
      <c r="B490" s="1403" t="s">
        <v>552</v>
      </c>
      <c r="C490" s="1437"/>
      <c r="D490" s="505" t="s">
        <v>15</v>
      </c>
      <c r="E490" s="489"/>
      <c r="F490" s="489"/>
      <c r="G490" s="507"/>
      <c r="H490" s="490"/>
      <c r="I490" s="490"/>
      <c r="J490" s="489"/>
    </row>
    <row r="491" spans="1:10" s="1297" customFormat="1">
      <c r="A491" s="1408"/>
      <c r="B491" s="1403" t="s">
        <v>2545</v>
      </c>
      <c r="C491" s="1437"/>
      <c r="D491" s="505"/>
      <c r="E491" s="489"/>
      <c r="F491" s="489"/>
      <c r="G491" s="507"/>
      <c r="H491" s="490"/>
      <c r="I491" s="490"/>
      <c r="J491" s="489"/>
    </row>
    <row r="492" spans="1:10" s="1297" customFormat="1">
      <c r="A492" s="1408"/>
      <c r="B492" s="1409" t="s">
        <v>2250</v>
      </c>
      <c r="C492" s="1437"/>
      <c r="D492" s="505" t="s">
        <v>14</v>
      </c>
      <c r="E492" s="489"/>
      <c r="F492" s="489"/>
      <c r="G492" s="507"/>
      <c r="H492" s="490"/>
      <c r="I492" s="490"/>
      <c r="J492" s="489"/>
    </row>
    <row r="493" spans="1:10" s="1297" customFormat="1">
      <c r="A493" s="1408"/>
      <c r="B493" s="1409" t="s">
        <v>2538</v>
      </c>
      <c r="C493" s="1437"/>
      <c r="D493" s="505" t="s">
        <v>14</v>
      </c>
      <c r="E493" s="489"/>
      <c r="F493" s="489"/>
      <c r="G493" s="507"/>
      <c r="H493" s="490"/>
      <c r="I493" s="490"/>
      <c r="J493" s="489"/>
    </row>
    <row r="494" spans="1:10" s="1297" customFormat="1">
      <c r="A494" s="1408"/>
      <c r="B494" s="1409" t="s">
        <v>2539</v>
      </c>
      <c r="C494" s="1437"/>
      <c r="D494" s="505" t="s">
        <v>14</v>
      </c>
      <c r="E494" s="489"/>
      <c r="F494" s="489"/>
      <c r="G494" s="507"/>
      <c r="H494" s="490"/>
      <c r="I494" s="490"/>
      <c r="J494" s="489"/>
    </row>
    <row r="495" spans="1:10" s="1297" customFormat="1">
      <c r="A495" s="1408"/>
      <c r="B495" s="1409" t="s">
        <v>2243</v>
      </c>
      <c r="C495" s="1437"/>
      <c r="D495" s="505" t="s">
        <v>14</v>
      </c>
      <c r="E495" s="489"/>
      <c r="F495" s="489"/>
      <c r="G495" s="507"/>
      <c r="H495" s="490"/>
      <c r="I495" s="490"/>
      <c r="J495" s="489"/>
    </row>
    <row r="496" spans="1:10" s="1297" customFormat="1">
      <c r="A496" s="1408"/>
      <c r="B496" s="1409" t="s">
        <v>2540</v>
      </c>
      <c r="C496" s="1437"/>
      <c r="D496" s="505" t="s">
        <v>14</v>
      </c>
      <c r="E496" s="489"/>
      <c r="F496" s="489"/>
      <c r="G496" s="507"/>
      <c r="H496" s="490"/>
      <c r="I496" s="490"/>
      <c r="J496" s="489"/>
    </row>
    <row r="497" spans="1:10" s="1297" customFormat="1">
      <c r="A497" s="1408"/>
      <c r="B497" s="1409" t="s">
        <v>2546</v>
      </c>
      <c r="C497" s="1437"/>
      <c r="D497" s="505" t="s">
        <v>14</v>
      </c>
      <c r="E497" s="489"/>
      <c r="F497" s="489"/>
      <c r="G497" s="507"/>
      <c r="H497" s="490"/>
      <c r="I497" s="490"/>
      <c r="J497" s="489"/>
    </row>
    <row r="498" spans="1:10" s="1297" customFormat="1">
      <c r="A498" s="1408"/>
      <c r="B498" s="1409" t="s">
        <v>2541</v>
      </c>
      <c r="C498" s="1437"/>
      <c r="D498" s="505" t="s">
        <v>14</v>
      </c>
      <c r="E498" s="489"/>
      <c r="F498" s="489"/>
      <c r="G498" s="507"/>
      <c r="H498" s="490"/>
      <c r="I498" s="490"/>
      <c r="J498" s="489"/>
    </row>
    <row r="499" spans="1:10" s="1297" customFormat="1">
      <c r="A499" s="1408"/>
      <c r="B499" s="1409" t="s">
        <v>2542</v>
      </c>
      <c r="C499" s="1437"/>
      <c r="D499" s="505" t="s">
        <v>14</v>
      </c>
      <c r="E499" s="489"/>
      <c r="F499" s="489"/>
      <c r="G499" s="507"/>
      <c r="H499" s="490"/>
      <c r="I499" s="490"/>
      <c r="J499" s="489"/>
    </row>
    <row r="500" spans="1:10" s="1297" customFormat="1">
      <c r="A500" s="1408"/>
      <c r="B500" s="1409" t="s">
        <v>2543</v>
      </c>
      <c r="C500" s="1437"/>
      <c r="D500" s="505" t="s">
        <v>14</v>
      </c>
      <c r="E500" s="489"/>
      <c r="F500" s="489"/>
      <c r="G500" s="507"/>
      <c r="H500" s="490"/>
      <c r="I500" s="490"/>
      <c r="J500" s="489"/>
    </row>
    <row r="501" spans="1:10" s="1297" customFormat="1">
      <c r="A501" s="1408"/>
      <c r="B501" s="1403" t="s">
        <v>2544</v>
      </c>
      <c r="C501" s="1437"/>
      <c r="D501" s="505" t="s">
        <v>508</v>
      </c>
      <c r="E501" s="489"/>
      <c r="F501" s="489"/>
      <c r="G501" s="940"/>
      <c r="H501" s="489"/>
      <c r="I501" s="489"/>
      <c r="J501" s="489"/>
    </row>
    <row r="502" spans="1:10" s="1297" customFormat="1">
      <c r="A502" s="1408"/>
      <c r="B502" s="1403" t="s">
        <v>2253</v>
      </c>
      <c r="C502" s="1437"/>
      <c r="D502" s="505" t="s">
        <v>508</v>
      </c>
      <c r="E502" s="489"/>
      <c r="F502" s="489"/>
      <c r="G502" s="940"/>
      <c r="H502" s="489"/>
      <c r="I502" s="489"/>
      <c r="J502" s="489"/>
    </row>
    <row r="503" spans="1:10" s="1297" customFormat="1">
      <c r="A503" s="1408"/>
      <c r="B503" s="1403" t="s">
        <v>2254</v>
      </c>
      <c r="C503" s="1437"/>
      <c r="D503" s="943" t="s">
        <v>508</v>
      </c>
      <c r="E503" s="940"/>
      <c r="F503" s="940"/>
      <c r="G503" s="940"/>
      <c r="H503" s="940"/>
      <c r="I503" s="940"/>
      <c r="J503" s="489"/>
    </row>
    <row r="504" spans="1:10" s="1297" customFormat="1">
      <c r="A504" s="1408"/>
      <c r="B504" s="1409" t="s">
        <v>563</v>
      </c>
      <c r="C504" s="1437"/>
      <c r="D504" s="505"/>
      <c r="E504" s="489"/>
      <c r="F504" s="489"/>
      <c r="G504" s="507"/>
      <c r="H504" s="490"/>
      <c r="I504" s="490"/>
      <c r="J504" s="489"/>
    </row>
    <row r="505" spans="1:10" s="1297" customFormat="1">
      <c r="A505" s="1408"/>
      <c r="B505" s="1409" t="s">
        <v>2551</v>
      </c>
      <c r="C505" s="1437"/>
      <c r="D505" s="505" t="s">
        <v>2040</v>
      </c>
      <c r="E505" s="489"/>
      <c r="F505" s="489"/>
      <c r="G505" s="507"/>
      <c r="H505" s="490"/>
      <c r="I505" s="490"/>
      <c r="J505" s="489"/>
    </row>
    <row r="506" spans="1:10" s="1297" customFormat="1">
      <c r="A506" s="1408"/>
      <c r="B506" s="1409" t="s">
        <v>2550</v>
      </c>
      <c r="C506" s="1437"/>
      <c r="D506" s="505" t="s">
        <v>2040</v>
      </c>
      <c r="E506" s="489"/>
      <c r="F506" s="489"/>
      <c r="G506" s="507"/>
      <c r="H506" s="490"/>
      <c r="I506" s="490"/>
      <c r="J506" s="489"/>
    </row>
    <row r="507" spans="1:10" s="1297" customFormat="1">
      <c r="A507" s="1408"/>
      <c r="B507" s="1409" t="s">
        <v>2552</v>
      </c>
      <c r="C507" s="1437"/>
      <c r="D507" s="505"/>
      <c r="E507" s="489"/>
      <c r="F507" s="489"/>
      <c r="G507" s="507"/>
      <c r="H507" s="490"/>
      <c r="I507" s="490"/>
      <c r="J507" s="489"/>
    </row>
    <row r="508" spans="1:10" s="1297" customFormat="1">
      <c r="A508" s="1408"/>
      <c r="B508" s="1409" t="s">
        <v>2543</v>
      </c>
      <c r="C508" s="1437"/>
      <c r="D508" s="505" t="s">
        <v>2040</v>
      </c>
      <c r="E508" s="489"/>
      <c r="F508" s="489"/>
      <c r="G508" s="507"/>
      <c r="H508" s="490"/>
      <c r="I508" s="490"/>
      <c r="J508" s="489"/>
    </row>
    <row r="509" spans="1:10" s="1297" customFormat="1">
      <c r="A509" s="1408"/>
      <c r="B509" s="1409" t="s">
        <v>593</v>
      </c>
      <c r="C509" s="1437"/>
      <c r="D509" s="505"/>
      <c r="E509" s="489"/>
      <c r="F509" s="489"/>
      <c r="G509" s="507"/>
      <c r="H509" s="490"/>
      <c r="I509" s="490"/>
      <c r="J509" s="489"/>
    </row>
    <row r="510" spans="1:10" s="1297" customFormat="1">
      <c r="A510" s="1408"/>
      <c r="B510" s="1409" t="s">
        <v>2541</v>
      </c>
      <c r="C510" s="1437"/>
      <c r="D510" s="505" t="s">
        <v>15</v>
      </c>
      <c r="E510" s="489"/>
      <c r="F510" s="489"/>
      <c r="G510" s="507"/>
      <c r="H510" s="490"/>
      <c r="I510" s="490"/>
      <c r="J510" s="489"/>
    </row>
    <row r="511" spans="1:10" s="1297" customFormat="1">
      <c r="A511" s="1408"/>
      <c r="B511" s="1409" t="s">
        <v>2543</v>
      </c>
      <c r="C511" s="1437"/>
      <c r="D511" s="505" t="s">
        <v>2040</v>
      </c>
      <c r="E511" s="489"/>
      <c r="F511" s="489"/>
      <c r="G511" s="507"/>
      <c r="H511" s="490"/>
      <c r="I511" s="490"/>
      <c r="J511" s="489"/>
    </row>
    <row r="512" spans="1:10" s="1297" customFormat="1">
      <c r="A512" s="1408"/>
      <c r="B512" s="1409" t="s">
        <v>596</v>
      </c>
      <c r="C512" s="1437"/>
      <c r="D512" s="505"/>
      <c r="E512" s="489"/>
      <c r="F512" s="489"/>
      <c r="G512" s="507"/>
      <c r="H512" s="490"/>
      <c r="I512" s="490"/>
      <c r="J512" s="489"/>
    </row>
    <row r="513" spans="1:10" s="1297" customFormat="1">
      <c r="A513" s="1408"/>
      <c r="B513" s="1409" t="s">
        <v>2541</v>
      </c>
      <c r="C513" s="1437"/>
      <c r="D513" s="505" t="s">
        <v>2040</v>
      </c>
      <c r="E513" s="489"/>
      <c r="F513" s="489"/>
      <c r="G513" s="507"/>
      <c r="H513" s="490"/>
      <c r="I513" s="490"/>
      <c r="J513" s="489"/>
    </row>
    <row r="514" spans="1:10" s="1297" customFormat="1">
      <c r="A514" s="1408"/>
      <c r="B514" s="1409" t="s">
        <v>2542</v>
      </c>
      <c r="C514" s="1437"/>
      <c r="D514" s="505" t="s">
        <v>2040</v>
      </c>
      <c r="E514" s="489"/>
      <c r="F514" s="489"/>
      <c r="G514" s="507"/>
      <c r="H514" s="490"/>
      <c r="I514" s="490"/>
      <c r="J514" s="489"/>
    </row>
    <row r="515" spans="1:10" s="1297" customFormat="1">
      <c r="A515" s="1408"/>
      <c r="B515" s="1409" t="s">
        <v>2543</v>
      </c>
      <c r="C515" s="1437"/>
      <c r="D515" s="505" t="s">
        <v>2040</v>
      </c>
      <c r="E515" s="489"/>
      <c r="F515" s="489"/>
      <c r="G515" s="507"/>
      <c r="H515" s="490"/>
      <c r="I515" s="490"/>
      <c r="J515" s="489"/>
    </row>
    <row r="516" spans="1:10" s="1297" customFormat="1">
      <c r="A516" s="1408"/>
      <c r="B516" s="1409" t="s">
        <v>597</v>
      </c>
      <c r="C516" s="1437"/>
      <c r="D516" s="505" t="s">
        <v>2040</v>
      </c>
      <c r="E516" s="489"/>
      <c r="F516" s="489"/>
      <c r="G516" s="507"/>
      <c r="H516" s="490"/>
      <c r="I516" s="490"/>
      <c r="J516" s="489"/>
    </row>
    <row r="517" spans="1:10" s="1297" customFormat="1">
      <c r="A517" s="1408"/>
      <c r="B517" s="1409" t="s">
        <v>2553</v>
      </c>
      <c r="C517" s="1315"/>
      <c r="D517" s="489"/>
      <c r="E517" s="489"/>
      <c r="F517" s="489"/>
      <c r="G517" s="507"/>
      <c r="H517" s="490"/>
      <c r="I517" s="490"/>
      <c r="J517" s="489"/>
    </row>
    <row r="518" spans="1:10" s="1297" customFormat="1">
      <c r="A518" s="1408"/>
      <c r="B518" s="1409" t="s">
        <v>2554</v>
      </c>
      <c r="C518" s="1437"/>
      <c r="D518" s="505" t="s">
        <v>2040</v>
      </c>
      <c r="E518" s="489"/>
      <c r="F518" s="489"/>
      <c r="G518" s="507"/>
      <c r="H518" s="490"/>
      <c r="I518" s="490"/>
      <c r="J518" s="489"/>
    </row>
    <row r="519" spans="1:10" s="1297" customFormat="1">
      <c r="A519" s="1408"/>
      <c r="B519" s="1409" t="s">
        <v>2557</v>
      </c>
      <c r="C519" s="1437"/>
      <c r="D519" s="505" t="s">
        <v>2040</v>
      </c>
      <c r="E519" s="489"/>
      <c r="F519" s="489"/>
      <c r="G519" s="507"/>
      <c r="H519" s="490"/>
      <c r="I519" s="490"/>
      <c r="J519" s="489"/>
    </row>
    <row r="520" spans="1:10" s="1297" customFormat="1">
      <c r="A520" s="1408"/>
      <c r="B520" s="1409" t="s">
        <v>600</v>
      </c>
      <c r="C520" s="1315"/>
      <c r="D520" s="489"/>
      <c r="E520" s="489"/>
      <c r="F520" s="489"/>
      <c r="G520" s="507"/>
      <c r="H520" s="490"/>
      <c r="I520" s="490"/>
      <c r="J520" s="489"/>
    </row>
    <row r="521" spans="1:10" s="1297" customFormat="1">
      <c r="A521" s="1408"/>
      <c r="B521" s="1409" t="s">
        <v>2554</v>
      </c>
      <c r="C521" s="1437"/>
      <c r="D521" s="505" t="s">
        <v>2040</v>
      </c>
      <c r="E521" s="489"/>
      <c r="F521" s="489"/>
      <c r="G521" s="507"/>
      <c r="H521" s="490"/>
      <c r="I521" s="490"/>
      <c r="J521" s="489"/>
    </row>
    <row r="522" spans="1:10" s="1297" customFormat="1">
      <c r="A522" s="1408"/>
      <c r="B522" s="1409" t="s">
        <v>594</v>
      </c>
      <c r="C522" s="1315"/>
      <c r="D522" s="489"/>
      <c r="E522" s="489"/>
      <c r="F522" s="489"/>
      <c r="G522" s="507"/>
      <c r="H522" s="490"/>
      <c r="I522" s="490"/>
      <c r="J522" s="489"/>
    </row>
    <row r="523" spans="1:10" s="1297" customFormat="1">
      <c r="A523" s="1408"/>
      <c r="B523" s="1409" t="s">
        <v>2543</v>
      </c>
      <c r="C523" s="1437"/>
      <c r="D523" s="505" t="s">
        <v>2040</v>
      </c>
      <c r="E523" s="489"/>
      <c r="F523" s="489"/>
      <c r="G523" s="507"/>
      <c r="H523" s="490"/>
      <c r="I523" s="490"/>
      <c r="J523" s="489"/>
    </row>
    <row r="524" spans="1:10" s="1297" customFormat="1">
      <c r="A524" s="1408"/>
      <c r="B524" s="1409" t="s">
        <v>2555</v>
      </c>
      <c r="C524" s="1437"/>
      <c r="D524" s="505"/>
      <c r="E524" s="489"/>
      <c r="F524" s="489"/>
      <c r="G524" s="507"/>
      <c r="H524" s="490"/>
      <c r="I524" s="490"/>
      <c r="J524" s="489"/>
    </row>
    <row r="525" spans="1:10" s="1297" customFormat="1">
      <c r="A525" s="1408"/>
      <c r="B525" s="1409" t="s">
        <v>2556</v>
      </c>
      <c r="C525" s="1437"/>
      <c r="D525" s="505" t="s">
        <v>2040</v>
      </c>
      <c r="E525" s="550"/>
      <c r="F525" s="489"/>
      <c r="G525" s="507"/>
      <c r="H525" s="490"/>
      <c r="I525" s="490"/>
      <c r="J525" s="489"/>
    </row>
    <row r="526" spans="1:10" s="1297" customFormat="1">
      <c r="A526" s="1408"/>
      <c r="B526" s="1409" t="s">
        <v>2542</v>
      </c>
      <c r="C526" s="1437"/>
      <c r="D526" s="505" t="s">
        <v>2040</v>
      </c>
      <c r="E526" s="550"/>
      <c r="F526" s="489"/>
      <c r="G526" s="507"/>
      <c r="H526" s="490"/>
      <c r="I526" s="490"/>
      <c r="J526" s="489"/>
    </row>
    <row r="527" spans="1:10" s="1297" customFormat="1">
      <c r="A527" s="518"/>
      <c r="B527" s="511" t="s">
        <v>601</v>
      </c>
      <c r="C527" s="1437"/>
      <c r="D527" s="505"/>
      <c r="E527" s="489"/>
      <c r="F527" s="489"/>
      <c r="G527" s="507"/>
      <c r="H527" s="490"/>
      <c r="I527" s="490"/>
      <c r="J527" s="489"/>
    </row>
    <row r="528" spans="1:10" s="1297" customFormat="1">
      <c r="A528" s="518"/>
      <c r="B528" s="511" t="s">
        <v>2557</v>
      </c>
      <c r="C528" s="1437"/>
      <c r="D528" s="505" t="s">
        <v>2040</v>
      </c>
      <c r="E528" s="489"/>
      <c r="F528" s="489"/>
      <c r="G528" s="507"/>
      <c r="H528" s="490"/>
      <c r="I528" s="490"/>
      <c r="J528" s="489"/>
    </row>
    <row r="529" spans="1:12" s="1297" customFormat="1">
      <c r="A529" s="518"/>
      <c r="B529" s="511" t="s">
        <v>584</v>
      </c>
      <c r="C529" s="1437"/>
      <c r="D529" s="505" t="s">
        <v>2040</v>
      </c>
      <c r="E529" s="489"/>
      <c r="F529" s="489"/>
      <c r="G529" s="507"/>
      <c r="H529" s="490"/>
      <c r="I529" s="490"/>
      <c r="J529" s="489"/>
    </row>
    <row r="530" spans="1:12" s="1297" customFormat="1">
      <c r="A530" s="518"/>
      <c r="B530" s="511" t="s">
        <v>585</v>
      </c>
      <c r="C530" s="1437"/>
      <c r="D530" s="505"/>
      <c r="E530" s="489"/>
      <c r="F530" s="489"/>
      <c r="G530" s="507"/>
      <c r="H530" s="490"/>
      <c r="I530" s="490"/>
      <c r="J530" s="489"/>
    </row>
    <row r="531" spans="1:12" s="1297" customFormat="1">
      <c r="A531" s="518"/>
      <c r="B531" s="511" t="s">
        <v>2557</v>
      </c>
      <c r="C531" s="1437"/>
      <c r="D531" s="505" t="s">
        <v>2040</v>
      </c>
      <c r="E531" s="489"/>
      <c r="F531" s="489"/>
      <c r="G531" s="507"/>
      <c r="H531" s="490"/>
      <c r="I531" s="490"/>
      <c r="J531" s="489"/>
    </row>
    <row r="532" spans="1:12" s="1297" customFormat="1">
      <c r="A532" s="518"/>
      <c r="B532" s="511" t="s">
        <v>2543</v>
      </c>
      <c r="C532" s="1437"/>
      <c r="D532" s="505" t="s">
        <v>2040</v>
      </c>
      <c r="E532" s="489"/>
      <c r="F532" s="489"/>
      <c r="G532" s="507"/>
      <c r="H532" s="490"/>
      <c r="I532" s="490"/>
      <c r="J532" s="489"/>
    </row>
    <row r="533" spans="1:12" s="1297" customFormat="1">
      <c r="A533" s="518"/>
      <c r="B533" s="511" t="s">
        <v>602</v>
      </c>
      <c r="C533" s="1437"/>
      <c r="D533" s="505"/>
      <c r="E533" s="489"/>
      <c r="F533" s="489"/>
      <c r="G533" s="507"/>
      <c r="H533" s="490"/>
      <c r="I533" s="490"/>
      <c r="J533" s="489"/>
    </row>
    <row r="534" spans="1:12" s="1297" customFormat="1">
      <c r="A534" s="518"/>
      <c r="B534" s="511" t="s">
        <v>2554</v>
      </c>
      <c r="C534" s="1437"/>
      <c r="D534" s="505" t="s">
        <v>2040</v>
      </c>
      <c r="E534" s="489"/>
      <c r="F534" s="489"/>
      <c r="G534" s="507"/>
      <c r="H534" s="490"/>
      <c r="I534" s="490"/>
      <c r="J534" s="489"/>
    </row>
    <row r="535" spans="1:12" s="5" customFormat="1">
      <c r="A535" s="838"/>
      <c r="B535" s="833" t="s">
        <v>2558</v>
      </c>
      <c r="C535" s="1457"/>
      <c r="D535" s="841"/>
      <c r="E535" s="837"/>
      <c r="F535" s="837"/>
      <c r="G535" s="842"/>
      <c r="H535" s="837"/>
      <c r="I535" s="837"/>
      <c r="J535" s="837"/>
      <c r="L535" s="1297"/>
    </row>
    <row r="536" spans="1:12" s="5" customFormat="1">
      <c r="A536" s="513"/>
      <c r="B536" s="1286"/>
      <c r="C536" s="1460"/>
      <c r="D536" s="1304"/>
      <c r="E536" s="1305"/>
      <c r="F536" s="1288"/>
      <c r="G536" s="1288"/>
      <c r="H536" s="1287"/>
      <c r="I536" s="1288"/>
      <c r="J536" s="1219"/>
    </row>
    <row r="537" spans="1:12">
      <c r="A537" s="1322">
        <v>4</v>
      </c>
      <c r="B537" s="1325" t="s">
        <v>59</v>
      </c>
      <c r="C537" s="1451"/>
      <c r="D537" s="1340"/>
      <c r="E537" s="1340"/>
      <c r="F537" s="1333"/>
      <c r="G537" s="1341"/>
      <c r="H537" s="1342"/>
      <c r="I537" s="1343"/>
      <c r="J537" s="1341"/>
    </row>
    <row r="538" spans="1:12">
      <c r="A538" s="661">
        <v>4.0999999999999996</v>
      </c>
      <c r="B538" s="919" t="s">
        <v>2595</v>
      </c>
      <c r="C538" s="1445"/>
      <c r="D538" s="564"/>
      <c r="E538" s="564"/>
      <c r="F538" s="489"/>
      <c r="G538" s="676"/>
      <c r="H538" s="676"/>
      <c r="I538" s="676"/>
      <c r="J538" s="558"/>
    </row>
    <row r="539" spans="1:12">
      <c r="A539" s="1316" t="s">
        <v>497</v>
      </c>
      <c r="B539" s="960" t="s">
        <v>691</v>
      </c>
      <c r="C539" s="1459"/>
      <c r="D539" s="961"/>
      <c r="E539" s="683"/>
      <c r="F539" s="676"/>
      <c r="G539" s="682"/>
      <c r="H539" s="676"/>
      <c r="I539" s="676"/>
      <c r="J539" s="558"/>
    </row>
    <row r="540" spans="1:12">
      <c r="A540" s="502"/>
      <c r="B540" s="962" t="s">
        <v>2559</v>
      </c>
      <c r="C540" s="1459"/>
      <c r="D540" s="510" t="s">
        <v>15</v>
      </c>
      <c r="E540" s="963"/>
      <c r="F540" s="674"/>
      <c r="G540" s="609"/>
      <c r="H540" s="674"/>
      <c r="I540" s="674"/>
      <c r="J540" s="558"/>
    </row>
    <row r="541" spans="1:12">
      <c r="A541" s="1316" t="s">
        <v>511</v>
      </c>
      <c r="B541" s="960" t="s">
        <v>2566</v>
      </c>
      <c r="C541" s="1459"/>
      <c r="D541" s="961"/>
      <c r="E541" s="683"/>
      <c r="F541" s="676"/>
      <c r="G541" s="682"/>
      <c r="H541" s="676"/>
      <c r="I541" s="676"/>
      <c r="J541" s="558"/>
    </row>
    <row r="542" spans="1:12" s="1297" customFormat="1">
      <c r="A542" s="518"/>
      <c r="B542" s="1346" t="s">
        <v>2560</v>
      </c>
      <c r="C542" s="1360"/>
      <c r="D542" s="510" t="s">
        <v>15</v>
      </c>
      <c r="E542" s="1348"/>
      <c r="F542" s="1350"/>
      <c r="G542" s="1351"/>
      <c r="H542" s="1350"/>
      <c r="I542" s="1350"/>
      <c r="J542" s="558"/>
    </row>
    <row r="543" spans="1:12" s="1297" customFormat="1">
      <c r="A543" s="518"/>
      <c r="B543" s="1346" t="s">
        <v>2561</v>
      </c>
      <c r="C543" s="1360"/>
      <c r="D543" s="510" t="s">
        <v>15</v>
      </c>
      <c r="E543" s="1349"/>
      <c r="F543" s="1350"/>
      <c r="G543" s="1351"/>
      <c r="H543" s="1350"/>
      <c r="I543" s="1350"/>
      <c r="J543" s="558"/>
    </row>
    <row r="544" spans="1:12" s="1297" customFormat="1">
      <c r="A544" s="518"/>
      <c r="B544" s="1346" t="s">
        <v>2562</v>
      </c>
      <c r="C544" s="1360"/>
      <c r="D544" s="510" t="s">
        <v>15</v>
      </c>
      <c r="E544" s="1349"/>
      <c r="F544" s="1350"/>
      <c r="G544" s="1351"/>
      <c r="H544" s="1350"/>
      <c r="I544" s="1350"/>
      <c r="J544" s="558"/>
    </row>
    <row r="545" spans="1:10" s="1297" customFormat="1">
      <c r="A545" s="518"/>
      <c r="B545" s="1346" t="s">
        <v>2563</v>
      </c>
      <c r="C545" s="1360"/>
      <c r="D545" s="510" t="s">
        <v>15</v>
      </c>
      <c r="E545" s="1349"/>
      <c r="F545" s="1350"/>
      <c r="G545" s="1351"/>
      <c r="H545" s="1350"/>
      <c r="I545" s="1350"/>
      <c r="J545" s="558"/>
    </row>
    <row r="546" spans="1:10" s="1297" customFormat="1">
      <c r="A546" s="518"/>
      <c r="B546" s="1346" t="s">
        <v>2564</v>
      </c>
      <c r="C546" s="1360"/>
      <c r="D546" s="510" t="s">
        <v>15</v>
      </c>
      <c r="E546" s="1349"/>
      <c r="F546" s="1350"/>
      <c r="G546" s="1351"/>
      <c r="H546" s="1350"/>
      <c r="I546" s="1350"/>
      <c r="J546" s="558"/>
    </row>
    <row r="547" spans="1:10" s="1297" customFormat="1">
      <c r="A547" s="518"/>
      <c r="B547" s="1346" t="s">
        <v>2565</v>
      </c>
      <c r="C547" s="1360"/>
      <c r="D547" s="510" t="s">
        <v>15</v>
      </c>
      <c r="E547" s="1349"/>
      <c r="F547" s="1350"/>
      <c r="G547" s="1351"/>
      <c r="H547" s="1350"/>
      <c r="I547" s="1350"/>
      <c r="J547" s="558"/>
    </row>
    <row r="548" spans="1:10" s="1297" customFormat="1">
      <c r="A548" s="518"/>
      <c r="B548" s="1346" t="s">
        <v>2567</v>
      </c>
      <c r="C548" s="1360"/>
      <c r="D548" s="510" t="s">
        <v>15</v>
      </c>
      <c r="E548" s="1349"/>
      <c r="F548" s="1350"/>
      <c r="G548" s="1351"/>
      <c r="H548" s="1350"/>
      <c r="I548" s="1350"/>
      <c r="J548" s="558"/>
    </row>
    <row r="549" spans="1:10" s="1297" customFormat="1">
      <c r="A549" s="518"/>
      <c r="B549" s="1346" t="s">
        <v>2568</v>
      </c>
      <c r="C549" s="1360"/>
      <c r="D549" s="510" t="s">
        <v>15</v>
      </c>
      <c r="E549" s="1349"/>
      <c r="F549" s="1350"/>
      <c r="G549" s="1351"/>
      <c r="H549" s="1350"/>
      <c r="I549" s="1350"/>
      <c r="J549" s="558"/>
    </row>
    <row r="550" spans="1:10" s="1297" customFormat="1">
      <c r="A550" s="518"/>
      <c r="B550" s="1346" t="s">
        <v>2569</v>
      </c>
      <c r="C550" s="1360"/>
      <c r="D550" s="510" t="s">
        <v>15</v>
      </c>
      <c r="E550" s="1349"/>
      <c r="F550" s="1350"/>
      <c r="G550" s="1351"/>
      <c r="H550" s="1350"/>
      <c r="I550" s="1350"/>
      <c r="J550" s="558"/>
    </row>
    <row r="551" spans="1:10" s="1297" customFormat="1">
      <c r="A551" s="518"/>
      <c r="B551" s="1346" t="s">
        <v>2570</v>
      </c>
      <c r="C551" s="1360"/>
      <c r="D551" s="510" t="s">
        <v>15</v>
      </c>
      <c r="E551" s="1349"/>
      <c r="F551" s="1350"/>
      <c r="G551" s="1351"/>
      <c r="H551" s="1350"/>
      <c r="I551" s="1350"/>
      <c r="J551" s="558"/>
    </row>
    <row r="552" spans="1:10" s="1297" customFormat="1">
      <c r="A552" s="518"/>
      <c r="B552" s="1346" t="s">
        <v>2571</v>
      </c>
      <c r="C552" s="1360"/>
      <c r="D552" s="510" t="s">
        <v>15</v>
      </c>
      <c r="E552" s="1349"/>
      <c r="F552" s="1350"/>
      <c r="G552" s="1351"/>
      <c r="H552" s="1350"/>
      <c r="I552" s="1350"/>
      <c r="J552" s="558"/>
    </row>
    <row r="553" spans="1:10" s="1297" customFormat="1">
      <c r="A553" s="518"/>
      <c r="B553" s="1346" t="s">
        <v>2572</v>
      </c>
      <c r="C553" s="1360"/>
      <c r="D553" s="510" t="s">
        <v>15</v>
      </c>
      <c r="E553" s="1349"/>
      <c r="F553" s="1350"/>
      <c r="G553" s="1351"/>
      <c r="H553" s="1350"/>
      <c r="I553" s="1350"/>
      <c r="J553" s="558"/>
    </row>
    <row r="554" spans="1:10" s="1297" customFormat="1">
      <c r="A554" s="518"/>
      <c r="B554" s="1346" t="s">
        <v>707</v>
      </c>
      <c r="C554" s="1360"/>
      <c r="D554" s="510" t="s">
        <v>15</v>
      </c>
      <c r="E554" s="1349"/>
      <c r="F554" s="1350"/>
      <c r="G554" s="1356"/>
      <c r="H554" s="1350"/>
      <c r="I554" s="1350"/>
      <c r="J554" s="558"/>
    </row>
    <row r="555" spans="1:10" s="1297" customFormat="1">
      <c r="A555" s="518"/>
      <c r="B555" s="1346" t="s">
        <v>708</v>
      </c>
      <c r="C555" s="1360"/>
      <c r="D555" s="510" t="s">
        <v>15</v>
      </c>
      <c r="E555" s="1349"/>
      <c r="F555" s="1350"/>
      <c r="G555" s="1356"/>
      <c r="H555" s="1350"/>
      <c r="I555" s="1350"/>
      <c r="J555" s="558"/>
    </row>
    <row r="556" spans="1:10" s="1297" customFormat="1">
      <c r="A556" s="518"/>
      <c r="B556" s="1346" t="s">
        <v>709</v>
      </c>
      <c r="C556" s="1360"/>
      <c r="D556" s="510" t="s">
        <v>15</v>
      </c>
      <c r="E556" s="1349"/>
      <c r="F556" s="1350"/>
      <c r="G556" s="1356"/>
      <c r="H556" s="1350"/>
      <c r="I556" s="1350"/>
      <c r="J556" s="558"/>
    </row>
    <row r="557" spans="1:10" s="1297" customFormat="1">
      <c r="A557" s="518"/>
      <c r="B557" s="1346" t="s">
        <v>710</v>
      </c>
      <c r="C557" s="1360"/>
      <c r="D557" s="510" t="s">
        <v>15</v>
      </c>
      <c r="E557" s="1349"/>
      <c r="F557" s="1350"/>
      <c r="G557" s="1356"/>
      <c r="H557" s="1350"/>
      <c r="I557" s="1350"/>
      <c r="J557" s="558"/>
    </row>
    <row r="558" spans="1:10" s="1297" customFormat="1">
      <c r="A558" s="518"/>
      <c r="B558" s="1346" t="s">
        <v>711</v>
      </c>
      <c r="C558" s="1360"/>
      <c r="D558" s="510" t="s">
        <v>15</v>
      </c>
      <c r="E558" s="1349"/>
      <c r="F558" s="1350"/>
      <c r="G558" s="1356"/>
      <c r="H558" s="1350"/>
      <c r="I558" s="1350"/>
      <c r="J558" s="558"/>
    </row>
    <row r="559" spans="1:10" s="1297" customFormat="1">
      <c r="A559" s="518"/>
      <c r="B559" s="1346" t="s">
        <v>666</v>
      </c>
      <c r="C559" s="1360"/>
      <c r="D559" s="510" t="s">
        <v>15</v>
      </c>
      <c r="E559" s="1349"/>
      <c r="F559" s="1350"/>
      <c r="G559" s="1356"/>
      <c r="H559" s="1350"/>
      <c r="I559" s="1350"/>
      <c r="J559" s="558"/>
    </row>
    <row r="560" spans="1:10" s="1297" customFormat="1">
      <c r="A560" s="518"/>
      <c r="B560" s="1346" t="s">
        <v>712</v>
      </c>
      <c r="C560" s="1360"/>
      <c r="D560" s="510" t="s">
        <v>15</v>
      </c>
      <c r="E560" s="1349"/>
      <c r="F560" s="1350"/>
      <c r="G560" s="1356"/>
      <c r="H560" s="1350"/>
      <c r="I560" s="1350"/>
      <c r="J560" s="558"/>
    </row>
    <row r="561" spans="1:10">
      <c r="A561" s="1316" t="s">
        <v>516</v>
      </c>
      <c r="B561" s="960" t="s">
        <v>714</v>
      </c>
      <c r="C561" s="1459"/>
      <c r="D561" s="961"/>
      <c r="E561" s="683"/>
      <c r="F561" s="676"/>
      <c r="G561" s="682"/>
      <c r="H561" s="676"/>
      <c r="I561" s="676"/>
      <c r="J561" s="558"/>
    </row>
    <row r="562" spans="1:10" s="1297" customFormat="1">
      <c r="A562" s="518"/>
      <c r="B562" s="1346" t="s">
        <v>715</v>
      </c>
      <c r="C562" s="1360"/>
      <c r="D562" s="1352" t="s">
        <v>57</v>
      </c>
      <c r="E562" s="1357"/>
      <c r="F562" s="1350"/>
      <c r="G562" s="1351"/>
      <c r="H562" s="1350"/>
      <c r="I562" s="1350"/>
      <c r="J562" s="558"/>
    </row>
    <row r="563" spans="1:10" s="1297" customFormat="1">
      <c r="A563" s="518"/>
      <c r="B563" s="1346" t="s">
        <v>716</v>
      </c>
      <c r="C563" s="1360"/>
      <c r="D563" s="1352" t="s">
        <v>57</v>
      </c>
      <c r="E563" s="1357"/>
      <c r="F563" s="1350"/>
      <c r="G563" s="1351"/>
      <c r="H563" s="1350"/>
      <c r="I563" s="1350"/>
      <c r="J563" s="558"/>
    </row>
    <row r="564" spans="1:10" s="1297" customFormat="1">
      <c r="A564" s="518"/>
      <c r="B564" s="1346" t="s">
        <v>717</v>
      </c>
      <c r="C564" s="1360"/>
      <c r="D564" s="1352" t="s">
        <v>57</v>
      </c>
      <c r="E564" s="1357"/>
      <c r="F564" s="1350"/>
      <c r="G564" s="1351"/>
      <c r="H564" s="1350"/>
      <c r="I564" s="1350"/>
      <c r="J564" s="558"/>
    </row>
    <row r="565" spans="1:10" s="1297" customFormat="1">
      <c r="A565" s="518"/>
      <c r="B565" s="1346" t="s">
        <v>718</v>
      </c>
      <c r="C565" s="1360"/>
      <c r="D565" s="1352" t="s">
        <v>57</v>
      </c>
      <c r="E565" s="1357"/>
      <c r="F565" s="1350"/>
      <c r="G565" s="1351"/>
      <c r="H565" s="1350"/>
      <c r="I565" s="1350"/>
      <c r="J565" s="558"/>
    </row>
    <row r="566" spans="1:10" s="1297" customFormat="1">
      <c r="A566" s="518"/>
      <c r="B566" s="1544" t="s">
        <v>2652</v>
      </c>
      <c r="C566" s="1459"/>
      <c r="D566" s="685" t="s">
        <v>508</v>
      </c>
      <c r="E566" s="1545"/>
      <c r="F566" s="1546"/>
      <c r="G566" s="1546"/>
      <c r="H566" s="674"/>
      <c r="I566" s="674"/>
      <c r="J566" s="558"/>
    </row>
    <row r="567" spans="1:10" s="1297" customFormat="1">
      <c r="A567" s="518"/>
      <c r="B567" s="1346" t="s">
        <v>1142</v>
      </c>
      <c r="C567" s="1360"/>
      <c r="D567" s="510" t="s">
        <v>15</v>
      </c>
      <c r="E567" s="1357"/>
      <c r="F567" s="1350"/>
      <c r="G567" s="1356"/>
      <c r="H567" s="1350"/>
      <c r="I567" s="1350"/>
      <c r="J567" s="558"/>
    </row>
    <row r="568" spans="1:10" s="1297" customFormat="1">
      <c r="A568" s="518"/>
      <c r="B568" s="1346" t="s">
        <v>1143</v>
      </c>
      <c r="C568" s="1360"/>
      <c r="D568" s="510" t="s">
        <v>15</v>
      </c>
      <c r="E568" s="1357"/>
      <c r="F568" s="1350"/>
      <c r="G568" s="1356"/>
      <c r="H568" s="1350"/>
      <c r="I568" s="1350"/>
      <c r="J568" s="558"/>
    </row>
    <row r="569" spans="1:10" s="1297" customFormat="1">
      <c r="A569" s="518"/>
      <c r="B569" s="1346" t="s">
        <v>719</v>
      </c>
      <c r="C569" s="1360"/>
      <c r="D569" s="510" t="s">
        <v>15</v>
      </c>
      <c r="E569" s="1357"/>
      <c r="F569" s="1350"/>
      <c r="G569" s="1356"/>
      <c r="H569" s="1350"/>
      <c r="I569" s="1350"/>
      <c r="J569" s="558"/>
    </row>
    <row r="570" spans="1:10" s="1297" customFormat="1">
      <c r="A570" s="518"/>
      <c r="B570" s="1346" t="s">
        <v>720</v>
      </c>
      <c r="C570" s="1360"/>
      <c r="D570" s="510" t="s">
        <v>15</v>
      </c>
      <c r="E570" s="1357"/>
      <c r="F570" s="1350"/>
      <c r="G570" s="1356"/>
      <c r="H570" s="1350"/>
      <c r="I570" s="1350"/>
      <c r="J570" s="558"/>
    </row>
    <row r="571" spans="1:10" s="1297" customFormat="1">
      <c r="A571" s="518"/>
      <c r="B571" s="1346" t="s">
        <v>721</v>
      </c>
      <c r="C571" s="1360"/>
      <c r="D571" s="510" t="s">
        <v>15</v>
      </c>
      <c r="E571" s="1357"/>
      <c r="F571" s="1350"/>
      <c r="G571" s="1356"/>
      <c r="H571" s="1350"/>
      <c r="I571" s="1350"/>
      <c r="J571" s="558"/>
    </row>
    <row r="572" spans="1:10" s="1297" customFormat="1">
      <c r="A572" s="518"/>
      <c r="B572" s="1346" t="s">
        <v>722</v>
      </c>
      <c r="C572" s="1360"/>
      <c r="D572" s="510" t="s">
        <v>15</v>
      </c>
      <c r="E572" s="1357"/>
      <c r="F572" s="1350"/>
      <c r="G572" s="1356"/>
      <c r="H572" s="1350"/>
      <c r="I572" s="1350"/>
      <c r="J572" s="558"/>
    </row>
    <row r="573" spans="1:10" s="1297" customFormat="1">
      <c r="A573" s="518"/>
      <c r="B573" s="1346" t="s">
        <v>723</v>
      </c>
      <c r="C573" s="1360"/>
      <c r="D573" s="510" t="s">
        <v>15</v>
      </c>
      <c r="E573" s="1357"/>
      <c r="F573" s="1350"/>
      <c r="G573" s="1356"/>
      <c r="H573" s="1350"/>
      <c r="I573" s="1350"/>
      <c r="J573" s="558"/>
    </row>
    <row r="574" spans="1:10" s="1297" customFormat="1">
      <c r="A574" s="518"/>
      <c r="B574" s="1346" t="s">
        <v>724</v>
      </c>
      <c r="C574" s="1360"/>
      <c r="D574" s="510" t="s">
        <v>15</v>
      </c>
      <c r="E574" s="1357"/>
      <c r="F574" s="1350"/>
      <c r="G574" s="1356"/>
      <c r="H574" s="1350"/>
      <c r="I574" s="1350"/>
      <c r="J574" s="558"/>
    </row>
    <row r="575" spans="1:10" s="1297" customFormat="1">
      <c r="A575" s="518"/>
      <c r="B575" s="1346" t="s">
        <v>1144</v>
      </c>
      <c r="C575" s="1360"/>
      <c r="D575" s="510" t="s">
        <v>15</v>
      </c>
      <c r="E575" s="1357"/>
      <c r="F575" s="1350"/>
      <c r="G575" s="1356"/>
      <c r="H575" s="1350"/>
      <c r="I575" s="1350"/>
      <c r="J575" s="558"/>
    </row>
    <row r="576" spans="1:10" s="1297" customFormat="1">
      <c r="A576" s="518"/>
      <c r="B576" s="1346" t="s">
        <v>725</v>
      </c>
      <c r="C576" s="1360"/>
      <c r="D576" s="510" t="s">
        <v>15</v>
      </c>
      <c r="E576" s="1357"/>
      <c r="F576" s="1350"/>
      <c r="G576" s="1356"/>
      <c r="H576" s="1350"/>
      <c r="I576" s="1350"/>
      <c r="J576" s="558"/>
    </row>
    <row r="577" spans="1:10" s="1297" customFormat="1">
      <c r="A577" s="518"/>
      <c r="B577" s="1346" t="s">
        <v>1145</v>
      </c>
      <c r="C577" s="1360"/>
      <c r="D577" s="510" t="s">
        <v>15</v>
      </c>
      <c r="E577" s="1357"/>
      <c r="F577" s="1350"/>
      <c r="G577" s="1356"/>
      <c r="H577" s="1350"/>
      <c r="I577" s="1350"/>
      <c r="J577" s="558"/>
    </row>
    <row r="578" spans="1:10">
      <c r="A578" s="1316" t="s">
        <v>518</v>
      </c>
      <c r="B578" s="960" t="s">
        <v>728</v>
      </c>
      <c r="C578" s="1459"/>
      <c r="D578" s="961"/>
      <c r="E578" s="683"/>
      <c r="F578" s="676"/>
      <c r="G578" s="682"/>
      <c r="H578" s="676"/>
      <c r="I578" s="676"/>
      <c r="J578" s="558"/>
    </row>
    <row r="579" spans="1:10">
      <c r="A579" s="502"/>
      <c r="B579" s="962" t="s">
        <v>755</v>
      </c>
      <c r="C579" s="1459"/>
      <c r="D579" s="510" t="s">
        <v>15</v>
      </c>
      <c r="E579" s="963"/>
      <c r="F579" s="674"/>
      <c r="G579" s="609"/>
      <c r="H579" s="674"/>
      <c r="I579" s="674"/>
      <c r="J579" s="558"/>
    </row>
    <row r="580" spans="1:10">
      <c r="A580" s="502"/>
      <c r="B580" s="962" t="s">
        <v>756</v>
      </c>
      <c r="C580" s="1459"/>
      <c r="D580" s="510" t="s">
        <v>15</v>
      </c>
      <c r="E580" s="963"/>
      <c r="F580" s="674"/>
      <c r="G580" s="609"/>
      <c r="H580" s="674"/>
      <c r="I580" s="674"/>
      <c r="J580" s="558"/>
    </row>
    <row r="581" spans="1:10">
      <c r="A581" s="502"/>
      <c r="B581" s="962" t="s">
        <v>757</v>
      </c>
      <c r="C581" s="1459"/>
      <c r="D581" s="510" t="s">
        <v>15</v>
      </c>
      <c r="E581" s="963"/>
      <c r="F581" s="674"/>
      <c r="G581" s="609"/>
      <c r="H581" s="674"/>
      <c r="I581" s="674"/>
      <c r="J581" s="558"/>
    </row>
    <row r="582" spans="1:10">
      <c r="A582" s="1316" t="s">
        <v>2533</v>
      </c>
      <c r="B582" s="960" t="s">
        <v>776</v>
      </c>
      <c r="C582" s="1459"/>
      <c r="D582" s="961"/>
      <c r="E582" s="683"/>
      <c r="F582" s="676"/>
      <c r="G582" s="682"/>
      <c r="H582" s="676"/>
      <c r="I582" s="676"/>
      <c r="J582" s="558"/>
    </row>
    <row r="583" spans="1:10">
      <c r="A583" s="496"/>
      <c r="B583" s="662" t="s">
        <v>664</v>
      </c>
      <c r="C583" s="1437"/>
      <c r="D583" s="910" t="s">
        <v>57</v>
      </c>
      <c r="E583" s="489"/>
      <c r="F583" s="674"/>
      <c r="G583" s="672"/>
      <c r="H583" s="674"/>
      <c r="I583" s="674"/>
      <c r="J583" s="489"/>
    </row>
    <row r="584" spans="1:10">
      <c r="A584" s="502"/>
      <c r="B584" s="962" t="s">
        <v>777</v>
      </c>
      <c r="C584" s="1459"/>
      <c r="D584" s="910" t="s">
        <v>57</v>
      </c>
      <c r="E584" s="489"/>
      <c r="F584" s="674"/>
      <c r="G584" s="672"/>
      <c r="H584" s="674"/>
      <c r="I584" s="674"/>
      <c r="J584" s="558"/>
    </row>
    <row r="585" spans="1:10">
      <c r="A585" s="502"/>
      <c r="B585" s="962" t="s">
        <v>778</v>
      </c>
      <c r="C585" s="1459"/>
      <c r="D585" s="910" t="s">
        <v>57</v>
      </c>
      <c r="E585" s="489"/>
      <c r="F585" s="674"/>
      <c r="G585" s="672"/>
      <c r="H585" s="674"/>
      <c r="I585" s="674"/>
      <c r="J585" s="558"/>
    </row>
    <row r="586" spans="1:10">
      <c r="A586" s="502"/>
      <c r="B586" s="962" t="s">
        <v>779</v>
      </c>
      <c r="C586" s="1459"/>
      <c r="D586" s="910" t="s">
        <v>57</v>
      </c>
      <c r="E586" s="489"/>
      <c r="F586" s="674"/>
      <c r="G586" s="672"/>
      <c r="H586" s="674"/>
      <c r="I586" s="674"/>
      <c r="J586" s="558"/>
    </row>
    <row r="587" spans="1:10">
      <c r="A587" s="502"/>
      <c r="B587" s="962" t="s">
        <v>780</v>
      </c>
      <c r="C587" s="1459"/>
      <c r="D587" s="910" t="s">
        <v>57</v>
      </c>
      <c r="E587" s="489"/>
      <c r="F587" s="674"/>
      <c r="G587" s="672"/>
      <c r="H587" s="674"/>
      <c r="I587" s="674"/>
      <c r="J587" s="558"/>
    </row>
    <row r="588" spans="1:10">
      <c r="A588" s="502"/>
      <c r="B588" s="962" t="s">
        <v>781</v>
      </c>
      <c r="C588" s="1459"/>
      <c r="D588" s="910" t="s">
        <v>57</v>
      </c>
      <c r="E588" s="489"/>
      <c r="F588" s="674"/>
      <c r="G588" s="672"/>
      <c r="H588" s="674"/>
      <c r="I588" s="674"/>
      <c r="J588" s="558"/>
    </row>
    <row r="589" spans="1:10">
      <c r="A589" s="502"/>
      <c r="B589" s="962" t="s">
        <v>784</v>
      </c>
      <c r="C589" s="1459"/>
      <c r="D589" s="910" t="s">
        <v>57</v>
      </c>
      <c r="E589" s="489"/>
      <c r="F589" s="674"/>
      <c r="G589" s="672"/>
      <c r="H589" s="674"/>
      <c r="I589" s="674"/>
      <c r="J589" s="558"/>
    </row>
    <row r="590" spans="1:10">
      <c r="A590" s="502"/>
      <c r="B590" s="962" t="s">
        <v>787</v>
      </c>
      <c r="C590" s="1459"/>
      <c r="D590" s="910" t="s">
        <v>57</v>
      </c>
      <c r="E590" s="489"/>
      <c r="F590" s="674"/>
      <c r="G590" s="672"/>
      <c r="H590" s="674"/>
      <c r="I590" s="674"/>
      <c r="J590" s="558"/>
    </row>
    <row r="591" spans="1:10">
      <c r="A591" s="502"/>
      <c r="B591" s="962" t="s">
        <v>789</v>
      </c>
      <c r="C591" s="1459"/>
      <c r="D591" s="910" t="s">
        <v>57</v>
      </c>
      <c r="E591" s="489"/>
      <c r="F591" s="674"/>
      <c r="G591" s="672"/>
      <c r="H591" s="674"/>
      <c r="I591" s="674"/>
      <c r="J591" s="558"/>
    </row>
    <row r="592" spans="1:10" s="1297" customFormat="1">
      <c r="A592" s="518"/>
      <c r="B592" s="1544" t="s">
        <v>2652</v>
      </c>
      <c r="C592" s="1459"/>
      <c r="D592" s="685" t="s">
        <v>508</v>
      </c>
      <c r="E592" s="1545"/>
      <c r="F592" s="1546"/>
      <c r="G592" s="1546"/>
      <c r="H592" s="674"/>
      <c r="I592" s="674"/>
      <c r="J592" s="558"/>
    </row>
    <row r="593" spans="1:10">
      <c r="A593" s="502"/>
      <c r="B593" s="962" t="s">
        <v>1166</v>
      </c>
      <c r="C593" s="1459"/>
      <c r="D593" s="912" t="s">
        <v>15</v>
      </c>
      <c r="E593" s="489"/>
      <c r="F593" s="674"/>
      <c r="G593" s="672"/>
      <c r="H593" s="674"/>
      <c r="I593" s="674"/>
      <c r="J593" s="558"/>
    </row>
    <row r="594" spans="1:10">
      <c r="A594" s="1316" t="s">
        <v>2534</v>
      </c>
      <c r="B594" s="960" t="s">
        <v>793</v>
      </c>
      <c r="C594" s="1459"/>
      <c r="D594" s="961"/>
      <c r="E594" s="683"/>
      <c r="F594" s="676"/>
      <c r="G594" s="682"/>
      <c r="H594" s="676"/>
      <c r="I594" s="676"/>
      <c r="J594" s="558"/>
    </row>
    <row r="595" spans="1:10" s="1364" customFormat="1">
      <c r="A595" s="1358"/>
      <c r="B595" s="1359" t="s">
        <v>794</v>
      </c>
      <c r="C595" s="1360"/>
      <c r="D595" s="1361" t="s">
        <v>57</v>
      </c>
      <c r="E595" s="1315"/>
      <c r="F595" s="1362"/>
      <c r="G595" s="1363"/>
      <c r="H595" s="1362"/>
      <c r="I595" s="1362"/>
      <c r="J595" s="1550"/>
    </row>
    <row r="596" spans="1:10" s="1364" customFormat="1">
      <c r="A596" s="1358"/>
      <c r="B596" s="1359" t="s">
        <v>796</v>
      </c>
      <c r="C596" s="1360"/>
      <c r="D596" s="1361" t="s">
        <v>57</v>
      </c>
      <c r="E596" s="1315"/>
      <c r="F596" s="1362"/>
      <c r="G596" s="1363"/>
      <c r="H596" s="1362"/>
      <c r="I596" s="1362"/>
      <c r="J596" s="1550"/>
    </row>
    <row r="597" spans="1:10" s="1364" customFormat="1">
      <c r="A597" s="1358"/>
      <c r="B597" s="1359" t="s">
        <v>798</v>
      </c>
      <c r="C597" s="1360"/>
      <c r="D597" s="1361" t="s">
        <v>57</v>
      </c>
      <c r="E597" s="1315"/>
      <c r="F597" s="1362"/>
      <c r="G597" s="1363"/>
      <c r="H597" s="1362"/>
      <c r="I597" s="1362"/>
      <c r="J597" s="1550"/>
    </row>
    <row r="598" spans="1:10" s="1364" customFormat="1">
      <c r="A598" s="1358"/>
      <c r="B598" s="1359" t="s">
        <v>799</v>
      </c>
      <c r="C598" s="1360"/>
      <c r="D598" s="1361" t="s">
        <v>57</v>
      </c>
      <c r="E598" s="1315"/>
      <c r="F598" s="1362"/>
      <c r="G598" s="1363"/>
      <c r="H598" s="1362"/>
      <c r="I598" s="1362"/>
      <c r="J598" s="1550"/>
    </row>
    <row r="599" spans="1:10" s="1364" customFormat="1">
      <c r="A599" s="1358"/>
      <c r="B599" s="1359" t="s">
        <v>800</v>
      </c>
      <c r="C599" s="1360"/>
      <c r="D599" s="1361" t="s">
        <v>57</v>
      </c>
      <c r="E599" s="1315"/>
      <c r="F599" s="1362"/>
      <c r="G599" s="1363"/>
      <c r="H599" s="1362"/>
      <c r="I599" s="1362"/>
      <c r="J599" s="1550"/>
    </row>
    <row r="600" spans="1:10" s="1364" customFormat="1">
      <c r="A600" s="1358"/>
      <c r="B600" s="1359" t="s">
        <v>801</v>
      </c>
      <c r="C600" s="1360"/>
      <c r="D600" s="1361" t="s">
        <v>57</v>
      </c>
      <c r="E600" s="1315"/>
      <c r="F600" s="1362"/>
      <c r="G600" s="1363"/>
      <c r="H600" s="1362"/>
      <c r="I600" s="1362"/>
      <c r="J600" s="1550"/>
    </row>
    <row r="601" spans="1:10" s="1364" customFormat="1">
      <c r="A601" s="1358"/>
      <c r="B601" s="1359" t="s">
        <v>802</v>
      </c>
      <c r="C601" s="1360"/>
      <c r="D601" s="1361" t="s">
        <v>57</v>
      </c>
      <c r="E601" s="1315"/>
      <c r="F601" s="1362"/>
      <c r="G601" s="1363"/>
      <c r="H601" s="1362"/>
      <c r="I601" s="1362"/>
      <c r="J601" s="1550"/>
    </row>
    <row r="602" spans="1:10" s="1364" customFormat="1">
      <c r="A602" s="1358"/>
      <c r="B602" s="1359" t="s">
        <v>803</v>
      </c>
      <c r="C602" s="1360"/>
      <c r="D602" s="1361" t="s">
        <v>57</v>
      </c>
      <c r="E602" s="1315"/>
      <c r="F602" s="1362"/>
      <c r="G602" s="1363"/>
      <c r="H602" s="1362"/>
      <c r="I602" s="1362"/>
      <c r="J602" s="1550"/>
    </row>
    <row r="603" spans="1:10" s="1364" customFormat="1">
      <c r="A603" s="1358"/>
      <c r="B603" s="1359" t="s">
        <v>804</v>
      </c>
      <c r="C603" s="1360"/>
      <c r="D603" s="1361" t="s">
        <v>57</v>
      </c>
      <c r="E603" s="1315"/>
      <c r="F603" s="1362"/>
      <c r="G603" s="1363"/>
      <c r="H603" s="1362"/>
      <c r="I603" s="1362"/>
      <c r="J603" s="1550"/>
    </row>
    <row r="604" spans="1:10" s="1364" customFormat="1">
      <c r="A604" s="1358"/>
      <c r="B604" s="1359" t="s">
        <v>805</v>
      </c>
      <c r="C604" s="1360"/>
      <c r="D604" s="1361" t="s">
        <v>57</v>
      </c>
      <c r="E604" s="1315"/>
      <c r="F604" s="1362"/>
      <c r="G604" s="1363"/>
      <c r="H604" s="1362"/>
      <c r="I604" s="1362"/>
      <c r="J604" s="1550"/>
    </row>
    <row r="605" spans="1:10" s="1364" customFormat="1">
      <c r="A605" s="1358"/>
      <c r="B605" s="1359" t="s">
        <v>806</v>
      </c>
      <c r="C605" s="1360"/>
      <c r="D605" s="1361" t="s">
        <v>57</v>
      </c>
      <c r="E605" s="1315"/>
      <c r="F605" s="1362"/>
      <c r="G605" s="1363"/>
      <c r="H605" s="1362"/>
      <c r="I605" s="1362"/>
      <c r="J605" s="1550"/>
    </row>
    <row r="606" spans="1:10" s="1364" customFormat="1">
      <c r="A606" s="1358"/>
      <c r="B606" s="1359" t="s">
        <v>808</v>
      </c>
      <c r="C606" s="1360"/>
      <c r="D606" s="1361" t="s">
        <v>57</v>
      </c>
      <c r="E606" s="1315"/>
      <c r="F606" s="1362"/>
      <c r="G606" s="1363"/>
      <c r="H606" s="1362"/>
      <c r="I606" s="1362"/>
      <c r="J606" s="1550"/>
    </row>
    <row r="607" spans="1:10" s="1364" customFormat="1">
      <c r="A607" s="1358"/>
      <c r="B607" s="1359" t="s">
        <v>809</v>
      </c>
      <c r="C607" s="1360"/>
      <c r="D607" s="1361" t="s">
        <v>57</v>
      </c>
      <c r="E607" s="1315"/>
      <c r="F607" s="1362"/>
      <c r="G607" s="1363"/>
      <c r="H607" s="1362"/>
      <c r="I607" s="1362"/>
      <c r="J607" s="1550"/>
    </row>
    <row r="608" spans="1:10" s="1364" customFormat="1">
      <c r="A608" s="1358"/>
      <c r="B608" s="1359" t="s">
        <v>810</v>
      </c>
      <c r="C608" s="1360"/>
      <c r="D608" s="1361" t="s">
        <v>57</v>
      </c>
      <c r="E608" s="1315"/>
      <c r="F608" s="1362"/>
      <c r="G608" s="1363"/>
      <c r="H608" s="1362"/>
      <c r="I608" s="1362"/>
      <c r="J608" s="1550"/>
    </row>
    <row r="609" spans="1:10" s="1297" customFormat="1">
      <c r="A609" s="518"/>
      <c r="B609" s="1544" t="s">
        <v>2652</v>
      </c>
      <c r="C609" s="1459"/>
      <c r="D609" s="685" t="s">
        <v>508</v>
      </c>
      <c r="E609" s="1545"/>
      <c r="F609" s="1546"/>
      <c r="G609" s="1546"/>
      <c r="H609" s="674"/>
      <c r="I609" s="674"/>
      <c r="J609" s="1551"/>
    </row>
    <row r="610" spans="1:10">
      <c r="A610" s="1316" t="s">
        <v>2535</v>
      </c>
      <c r="B610" s="960" t="s">
        <v>658</v>
      </c>
      <c r="C610" s="1459"/>
      <c r="D610" s="961"/>
      <c r="E610" s="683"/>
      <c r="F610" s="676"/>
      <c r="G610" s="682"/>
      <c r="H610" s="676"/>
      <c r="I610" s="676"/>
      <c r="J610" s="1551"/>
    </row>
    <row r="611" spans="1:10" s="1364" customFormat="1">
      <c r="A611" s="1358"/>
      <c r="B611" s="1359" t="s">
        <v>820</v>
      </c>
      <c r="C611" s="1360"/>
      <c r="D611" s="1361" t="s">
        <v>57</v>
      </c>
      <c r="E611" s="1315"/>
      <c r="F611" s="1362"/>
      <c r="G611" s="1363"/>
      <c r="H611" s="1362"/>
      <c r="I611" s="1362"/>
      <c r="J611" s="1550"/>
    </row>
    <row r="612" spans="1:10">
      <c r="A612" s="502"/>
      <c r="B612" s="962" t="s">
        <v>821</v>
      </c>
      <c r="C612" s="1459"/>
      <c r="D612" s="910" t="s">
        <v>57</v>
      </c>
      <c r="E612" s="489"/>
      <c r="F612" s="674"/>
      <c r="G612" s="672"/>
      <c r="H612" s="674"/>
      <c r="I612" s="674"/>
      <c r="J612" s="558"/>
    </row>
    <row r="613" spans="1:10" s="1297" customFormat="1">
      <c r="A613" s="518"/>
      <c r="B613" s="1544" t="s">
        <v>2652</v>
      </c>
      <c r="C613" s="1459"/>
      <c r="D613" s="685" t="s">
        <v>508</v>
      </c>
      <c r="E613" s="1545"/>
      <c r="F613" s="1546"/>
      <c r="G613" s="1546"/>
      <c r="H613" s="674"/>
      <c r="I613" s="674"/>
      <c r="J613" s="558"/>
    </row>
    <row r="614" spans="1:10">
      <c r="A614" s="502"/>
      <c r="B614" s="962" t="s">
        <v>822</v>
      </c>
      <c r="C614" s="1459"/>
      <c r="D614" s="510" t="s">
        <v>15</v>
      </c>
      <c r="E614" s="489"/>
      <c r="F614" s="674"/>
      <c r="G614" s="672"/>
      <c r="H614" s="674"/>
      <c r="I614" s="674"/>
      <c r="J614" s="558"/>
    </row>
    <row r="615" spans="1:10">
      <c r="A615" s="502"/>
      <c r="B615" s="962" t="s">
        <v>823</v>
      </c>
      <c r="C615" s="1459"/>
      <c r="D615" s="510" t="s">
        <v>15</v>
      </c>
      <c r="E615" s="489"/>
      <c r="F615" s="674"/>
      <c r="G615" s="672"/>
      <c r="H615" s="674"/>
      <c r="I615" s="674"/>
      <c r="J615" s="558"/>
    </row>
    <row r="616" spans="1:10">
      <c r="A616" s="502"/>
      <c r="B616" s="962" t="s">
        <v>824</v>
      </c>
      <c r="C616" s="1459"/>
      <c r="D616" s="510" t="s">
        <v>15</v>
      </c>
      <c r="E616" s="489"/>
      <c r="F616" s="674"/>
      <c r="G616" s="672"/>
      <c r="H616" s="674"/>
      <c r="I616" s="674"/>
      <c r="J616" s="558"/>
    </row>
    <row r="617" spans="1:10">
      <c r="A617" s="661">
        <v>4.2</v>
      </c>
      <c r="B617" s="1420" t="s">
        <v>825</v>
      </c>
      <c r="C617" s="1461"/>
      <c r="D617" s="486"/>
      <c r="E617" s="958"/>
      <c r="F617" s="680"/>
      <c r="G617" s="959"/>
      <c r="H617" s="680"/>
      <c r="I617" s="680"/>
      <c r="J617" s="565"/>
    </row>
    <row r="618" spans="1:10">
      <c r="A618" s="1317" t="s">
        <v>521</v>
      </c>
      <c r="B618" s="1344" t="s">
        <v>728</v>
      </c>
      <c r="C618" s="1459"/>
      <c r="D618" s="961"/>
      <c r="E618" s="683"/>
      <c r="F618" s="676"/>
      <c r="G618" s="682"/>
      <c r="H618" s="676"/>
      <c r="I618" s="676"/>
      <c r="J618" s="558"/>
    </row>
    <row r="619" spans="1:10">
      <c r="A619" s="502"/>
      <c r="B619" s="962" t="s">
        <v>729</v>
      </c>
      <c r="C619" s="1459"/>
      <c r="D619" s="510" t="s">
        <v>15</v>
      </c>
      <c r="E619" s="1418"/>
      <c r="F619" s="674"/>
      <c r="G619" s="609"/>
      <c r="H619" s="674"/>
      <c r="I619" s="674"/>
      <c r="J619" s="558"/>
    </row>
    <row r="620" spans="1:10">
      <c r="A620" s="502"/>
      <c r="B620" s="962" t="s">
        <v>1146</v>
      </c>
      <c r="C620" s="1459"/>
      <c r="D620" s="510" t="s">
        <v>15</v>
      </c>
      <c r="E620" s="1418"/>
      <c r="F620" s="674"/>
      <c r="G620" s="609"/>
      <c r="H620" s="674"/>
      <c r="I620" s="674"/>
      <c r="J620" s="558"/>
    </row>
    <row r="621" spans="1:10">
      <c r="A621" s="502"/>
      <c r="B621" s="962" t="s">
        <v>1147</v>
      </c>
      <c r="C621" s="1459"/>
      <c r="D621" s="510" t="s">
        <v>15</v>
      </c>
      <c r="E621" s="1418"/>
      <c r="F621" s="674"/>
      <c r="G621" s="609"/>
      <c r="H621" s="674"/>
      <c r="I621" s="674"/>
      <c r="J621" s="558"/>
    </row>
    <row r="622" spans="1:10">
      <c r="A622" s="502"/>
      <c r="B622" s="962" t="s">
        <v>734</v>
      </c>
      <c r="C622" s="1459"/>
      <c r="D622" s="510" t="s">
        <v>15</v>
      </c>
      <c r="E622" s="1418"/>
      <c r="F622" s="674"/>
      <c r="G622" s="609"/>
      <c r="H622" s="674"/>
      <c r="I622" s="674"/>
      <c r="J622" s="558"/>
    </row>
    <row r="623" spans="1:10">
      <c r="A623" s="502"/>
      <c r="B623" s="962" t="s">
        <v>735</v>
      </c>
      <c r="C623" s="1459"/>
      <c r="D623" s="510" t="s">
        <v>15</v>
      </c>
      <c r="E623" s="1418"/>
      <c r="F623" s="674"/>
      <c r="G623" s="609"/>
      <c r="H623" s="674"/>
      <c r="I623" s="674"/>
      <c r="J623" s="558"/>
    </row>
    <row r="624" spans="1:10">
      <c r="A624" s="502"/>
      <c r="B624" s="962" t="s">
        <v>736</v>
      </c>
      <c r="C624" s="1459"/>
      <c r="D624" s="510" t="s">
        <v>15</v>
      </c>
      <c r="E624" s="1418"/>
      <c r="F624" s="674"/>
      <c r="G624" s="609"/>
      <c r="H624" s="674"/>
      <c r="I624" s="674"/>
      <c r="J624" s="558"/>
    </row>
    <row r="625" spans="1:10">
      <c r="A625" s="502"/>
      <c r="B625" s="962" t="s">
        <v>737</v>
      </c>
      <c r="C625" s="1459"/>
      <c r="D625" s="510" t="s">
        <v>15</v>
      </c>
      <c r="E625" s="1418"/>
      <c r="F625" s="674"/>
      <c r="G625" s="609"/>
      <c r="H625" s="674"/>
      <c r="I625" s="674"/>
      <c r="J625" s="558"/>
    </row>
    <row r="626" spans="1:10">
      <c r="A626" s="502"/>
      <c r="B626" s="962" t="s">
        <v>738</v>
      </c>
      <c r="C626" s="1459"/>
      <c r="D626" s="510" t="s">
        <v>15</v>
      </c>
      <c r="E626" s="1418"/>
      <c r="F626" s="674"/>
      <c r="G626" s="609"/>
      <c r="H626" s="674"/>
      <c r="I626" s="674"/>
      <c r="J626" s="558"/>
    </row>
    <row r="627" spans="1:10">
      <c r="A627" s="502"/>
      <c r="B627" s="962" t="s">
        <v>739</v>
      </c>
      <c r="C627" s="1459"/>
      <c r="D627" s="510" t="s">
        <v>15</v>
      </c>
      <c r="E627" s="1418"/>
      <c r="F627" s="674"/>
      <c r="G627" s="609"/>
      <c r="H627" s="674"/>
      <c r="I627" s="674"/>
      <c r="J627" s="558"/>
    </row>
    <row r="628" spans="1:10">
      <c r="A628" s="502"/>
      <c r="B628" s="962" t="s">
        <v>740</v>
      </c>
      <c r="C628" s="1459"/>
      <c r="D628" s="510" t="s">
        <v>15</v>
      </c>
      <c r="E628" s="1418"/>
      <c r="F628" s="674"/>
      <c r="G628" s="609"/>
      <c r="H628" s="674"/>
      <c r="I628" s="674"/>
      <c r="J628" s="558"/>
    </row>
    <row r="629" spans="1:10">
      <c r="A629" s="502"/>
      <c r="B629" s="962" t="s">
        <v>1149</v>
      </c>
      <c r="C629" s="1459"/>
      <c r="D629" s="510" t="s">
        <v>15</v>
      </c>
      <c r="E629" s="1418"/>
      <c r="F629" s="674"/>
      <c r="G629" s="609"/>
      <c r="H629" s="674"/>
      <c r="I629" s="674"/>
      <c r="J629" s="558"/>
    </row>
    <row r="630" spans="1:10">
      <c r="A630" s="502"/>
      <c r="B630" s="962" t="s">
        <v>1150</v>
      </c>
      <c r="C630" s="1459"/>
      <c r="D630" s="510" t="s">
        <v>15</v>
      </c>
      <c r="E630" s="1418"/>
      <c r="F630" s="674"/>
      <c r="G630" s="609"/>
      <c r="H630" s="674"/>
      <c r="I630" s="674"/>
      <c r="J630" s="558"/>
    </row>
    <row r="631" spans="1:10">
      <c r="A631" s="502"/>
      <c r="B631" s="962" t="s">
        <v>1151</v>
      </c>
      <c r="C631" s="1459"/>
      <c r="D631" s="510" t="s">
        <v>15</v>
      </c>
      <c r="E631" s="1418"/>
      <c r="F631" s="674"/>
      <c r="G631" s="609"/>
      <c r="H631" s="674"/>
      <c r="I631" s="674"/>
      <c r="J631" s="558"/>
    </row>
    <row r="632" spans="1:10">
      <c r="A632" s="502"/>
      <c r="B632" s="962" t="s">
        <v>1152</v>
      </c>
      <c r="C632" s="1459"/>
      <c r="D632" s="510" t="s">
        <v>15</v>
      </c>
      <c r="E632" s="1418"/>
      <c r="F632" s="674"/>
      <c r="G632" s="609"/>
      <c r="H632" s="674"/>
      <c r="I632" s="674"/>
      <c r="J632" s="558"/>
    </row>
    <row r="633" spans="1:10">
      <c r="A633" s="502"/>
      <c r="B633" s="962" t="s">
        <v>749</v>
      </c>
      <c r="C633" s="1459"/>
      <c r="D633" s="510" t="s">
        <v>15</v>
      </c>
      <c r="E633" s="1418"/>
      <c r="F633" s="674"/>
      <c r="G633" s="609"/>
      <c r="H633" s="674"/>
      <c r="I633" s="674"/>
      <c r="J633" s="558"/>
    </row>
    <row r="634" spans="1:10">
      <c r="A634" s="502"/>
      <c r="B634" s="962" t="s">
        <v>750</v>
      </c>
      <c r="C634" s="1459"/>
      <c r="D634" s="510" t="s">
        <v>15</v>
      </c>
      <c r="E634" s="1418"/>
      <c r="F634" s="674"/>
      <c r="G634" s="609"/>
      <c r="H634" s="674"/>
      <c r="I634" s="674"/>
      <c r="J634" s="558"/>
    </row>
    <row r="635" spans="1:10">
      <c r="A635" s="502"/>
      <c r="B635" s="962" t="s">
        <v>758</v>
      </c>
      <c r="C635" s="1459"/>
      <c r="D635" s="1419"/>
      <c r="E635" s="1418"/>
      <c r="F635" s="674"/>
      <c r="G635" s="609"/>
      <c r="H635" s="674"/>
      <c r="I635" s="674"/>
      <c r="J635" s="558"/>
    </row>
    <row r="636" spans="1:10">
      <c r="A636" s="502"/>
      <c r="B636" s="962" t="s">
        <v>2607</v>
      </c>
      <c r="C636" s="1459"/>
      <c r="D636" s="510" t="s">
        <v>15</v>
      </c>
      <c r="E636" s="1418"/>
      <c r="F636" s="674"/>
      <c r="G636" s="609"/>
      <c r="H636" s="674"/>
      <c r="I636" s="674"/>
      <c r="J636" s="558"/>
    </row>
    <row r="637" spans="1:10">
      <c r="A637" s="502"/>
      <c r="B637" s="962" t="s">
        <v>2608</v>
      </c>
      <c r="C637" s="1459"/>
      <c r="D637" s="510" t="s">
        <v>15</v>
      </c>
      <c r="E637" s="1418"/>
      <c r="F637" s="674"/>
      <c r="G637" s="609"/>
      <c r="H637" s="674"/>
      <c r="I637" s="674"/>
      <c r="J637" s="558"/>
    </row>
    <row r="638" spans="1:10">
      <c r="A638" s="1317" t="s">
        <v>528</v>
      </c>
      <c r="B638" s="1344" t="s">
        <v>762</v>
      </c>
      <c r="C638" s="1459"/>
      <c r="D638" s="961"/>
      <c r="E638" s="683"/>
      <c r="F638" s="676"/>
      <c r="G638" s="682"/>
      <c r="H638" s="676"/>
      <c r="I638" s="676"/>
      <c r="J638" s="558"/>
    </row>
    <row r="639" spans="1:10">
      <c r="A639" s="502"/>
      <c r="B639" s="962" t="s">
        <v>763</v>
      </c>
      <c r="C639" s="1459"/>
      <c r="D639" s="510" t="s">
        <v>15</v>
      </c>
      <c r="E639" s="963"/>
      <c r="F639" s="674"/>
      <c r="G639" s="609"/>
      <c r="H639" s="674"/>
      <c r="I639" s="674"/>
      <c r="J639" s="558"/>
    </row>
    <row r="640" spans="1:10">
      <c r="A640" s="502"/>
      <c r="B640" s="962" t="s">
        <v>764</v>
      </c>
      <c r="C640" s="1459"/>
      <c r="D640" s="510" t="s">
        <v>15</v>
      </c>
      <c r="E640" s="963"/>
      <c r="F640" s="674"/>
      <c r="G640" s="609"/>
      <c r="H640" s="674"/>
      <c r="I640" s="674"/>
      <c r="J640" s="558"/>
    </row>
    <row r="641" spans="1:10">
      <c r="A641" s="502"/>
      <c r="B641" s="962" t="s">
        <v>765</v>
      </c>
      <c r="C641" s="1459"/>
      <c r="D641" s="510" t="s">
        <v>15</v>
      </c>
      <c r="E641" s="1418"/>
      <c r="F641" s="674"/>
      <c r="G641" s="609"/>
      <c r="H641" s="674"/>
      <c r="I641" s="674"/>
      <c r="J641" s="558"/>
    </row>
    <row r="642" spans="1:10">
      <c r="A642" s="502"/>
      <c r="B642" s="962" t="s">
        <v>767</v>
      </c>
      <c r="C642" s="1459"/>
      <c r="D642" s="510" t="s">
        <v>15</v>
      </c>
      <c r="E642" s="1418"/>
      <c r="F642" s="674"/>
      <c r="G642" s="609"/>
      <c r="H642" s="674"/>
      <c r="I642" s="674"/>
      <c r="J642" s="558"/>
    </row>
    <row r="643" spans="1:10">
      <c r="A643" s="502"/>
      <c r="B643" s="962" t="s">
        <v>768</v>
      </c>
      <c r="C643" s="1459"/>
      <c r="D643" s="510" t="s">
        <v>15</v>
      </c>
      <c r="E643" s="1418"/>
      <c r="F643" s="674"/>
      <c r="G643" s="609"/>
      <c r="H643" s="674"/>
      <c r="I643" s="674"/>
      <c r="J643" s="558"/>
    </row>
    <row r="644" spans="1:10">
      <c r="A644" s="502"/>
      <c r="B644" s="962" t="s">
        <v>769</v>
      </c>
      <c r="C644" s="1459"/>
      <c r="D644" s="510" t="s">
        <v>15</v>
      </c>
      <c r="E644" s="1418"/>
      <c r="F644" s="674"/>
      <c r="G644" s="609"/>
      <c r="H644" s="674"/>
      <c r="I644" s="674"/>
      <c r="J644" s="558"/>
    </row>
    <row r="645" spans="1:10">
      <c r="A645" s="502"/>
      <c r="B645" s="962" t="s">
        <v>770</v>
      </c>
      <c r="C645" s="1459"/>
      <c r="D645" s="510" t="s">
        <v>15</v>
      </c>
      <c r="E645" s="1418"/>
      <c r="F645" s="674"/>
      <c r="G645" s="609"/>
      <c r="H645" s="674"/>
      <c r="I645" s="674"/>
      <c r="J645" s="558"/>
    </row>
    <row r="646" spans="1:10">
      <c r="A646" s="502"/>
      <c r="B646" s="962" t="s">
        <v>771</v>
      </c>
      <c r="C646" s="1459"/>
      <c r="D646" s="510" t="s">
        <v>15</v>
      </c>
      <c r="E646" s="1418"/>
      <c r="F646" s="674"/>
      <c r="G646" s="609"/>
      <c r="H646" s="674"/>
      <c r="I646" s="674"/>
      <c r="J646" s="558"/>
    </row>
    <row r="647" spans="1:10">
      <c r="A647" s="502"/>
      <c r="B647" s="962" t="s">
        <v>1163</v>
      </c>
      <c r="C647" s="1459"/>
      <c r="D647" s="510" t="s">
        <v>15</v>
      </c>
      <c r="E647" s="1418"/>
      <c r="F647" s="674"/>
      <c r="G647" s="609"/>
      <c r="H647" s="674"/>
      <c r="I647" s="674"/>
      <c r="J647" s="558"/>
    </row>
    <row r="648" spans="1:10">
      <c r="A648" s="502"/>
      <c r="B648" s="962" t="s">
        <v>1164</v>
      </c>
      <c r="C648" s="1459"/>
      <c r="D648" s="510" t="s">
        <v>15</v>
      </c>
      <c r="E648" s="1418"/>
      <c r="F648" s="674"/>
      <c r="G648" s="609"/>
      <c r="H648" s="674"/>
      <c r="I648" s="674"/>
      <c r="J648" s="558"/>
    </row>
    <row r="649" spans="1:10">
      <c r="A649" s="502"/>
      <c r="B649" s="962" t="s">
        <v>1165</v>
      </c>
      <c r="C649" s="1459"/>
      <c r="D649" s="510" t="s">
        <v>15</v>
      </c>
      <c r="E649" s="963"/>
      <c r="F649" s="674"/>
      <c r="G649" s="609"/>
      <c r="H649" s="674"/>
      <c r="I649" s="674"/>
      <c r="J649" s="558"/>
    </row>
    <row r="650" spans="1:10">
      <c r="A650" s="502"/>
      <c r="B650" s="962" t="s">
        <v>773</v>
      </c>
      <c r="C650" s="1459"/>
      <c r="D650" s="510" t="s">
        <v>15</v>
      </c>
      <c r="E650" s="963"/>
      <c r="F650" s="674"/>
      <c r="G650" s="609"/>
      <c r="H650" s="674"/>
      <c r="I650" s="674"/>
      <c r="J650" s="558"/>
    </row>
    <row r="651" spans="1:10">
      <c r="A651" s="1317" t="s">
        <v>2596</v>
      </c>
      <c r="B651" s="1344" t="s">
        <v>776</v>
      </c>
      <c r="C651" s="1459"/>
      <c r="D651" s="961"/>
      <c r="E651" s="683"/>
      <c r="F651" s="676"/>
      <c r="G651" s="682"/>
      <c r="H651" s="676"/>
      <c r="I651" s="676"/>
      <c r="J651" s="558"/>
    </row>
    <row r="652" spans="1:10">
      <c r="A652" s="502"/>
      <c r="B652" s="962" t="s">
        <v>664</v>
      </c>
      <c r="C652" s="1459"/>
      <c r="D652" s="910" t="s">
        <v>57</v>
      </c>
      <c r="E652" s="489"/>
      <c r="F652" s="674"/>
      <c r="G652" s="672"/>
      <c r="H652" s="674"/>
      <c r="I652" s="674"/>
      <c r="J652" s="558"/>
    </row>
    <row r="653" spans="1:10">
      <c r="A653" s="502"/>
      <c r="B653" s="962" t="s">
        <v>778</v>
      </c>
      <c r="C653" s="1459"/>
      <c r="D653" s="910" t="s">
        <v>57</v>
      </c>
      <c r="E653" s="489"/>
      <c r="F653" s="674"/>
      <c r="G653" s="672"/>
      <c r="H653" s="674"/>
      <c r="I653" s="674"/>
      <c r="J653" s="558"/>
    </row>
    <row r="654" spans="1:10">
      <c r="A654" s="502"/>
      <c r="B654" s="962" t="s">
        <v>779</v>
      </c>
      <c r="C654" s="1459"/>
      <c r="D654" s="910" t="s">
        <v>57</v>
      </c>
      <c r="E654" s="489"/>
      <c r="F654" s="674"/>
      <c r="G654" s="672"/>
      <c r="H654" s="674"/>
      <c r="I654" s="674"/>
      <c r="J654" s="558"/>
    </row>
    <row r="655" spans="1:10">
      <c r="A655" s="502"/>
      <c r="B655" s="962" t="s">
        <v>783</v>
      </c>
      <c r="C655" s="1459"/>
      <c r="D655" s="910" t="s">
        <v>57</v>
      </c>
      <c r="E655" s="489"/>
      <c r="F655" s="674"/>
      <c r="G655" s="672"/>
      <c r="H655" s="674"/>
      <c r="I655" s="674"/>
      <c r="J655" s="558"/>
    </row>
    <row r="656" spans="1:10">
      <c r="A656" s="502"/>
      <c r="B656" s="962" t="s">
        <v>784</v>
      </c>
      <c r="C656" s="1459"/>
      <c r="D656" s="910" t="s">
        <v>57</v>
      </c>
      <c r="E656" s="489"/>
      <c r="F656" s="674"/>
      <c r="G656" s="672"/>
      <c r="H656" s="674"/>
      <c r="I656" s="674"/>
      <c r="J656" s="558"/>
    </row>
    <row r="657" spans="1:10">
      <c r="A657" s="502"/>
      <c r="B657" s="962" t="s">
        <v>785</v>
      </c>
      <c r="C657" s="1459"/>
      <c r="D657" s="910" t="s">
        <v>57</v>
      </c>
      <c r="E657" s="489"/>
      <c r="F657" s="674"/>
      <c r="G657" s="672"/>
      <c r="H657" s="674"/>
      <c r="I657" s="674"/>
      <c r="J657" s="558"/>
    </row>
    <row r="658" spans="1:10">
      <c r="A658" s="502"/>
      <c r="B658" s="962" t="s">
        <v>787</v>
      </c>
      <c r="C658" s="1459"/>
      <c r="D658" s="910" t="s">
        <v>57</v>
      </c>
      <c r="E658" s="489"/>
      <c r="F658" s="674"/>
      <c r="G658" s="672"/>
      <c r="H658" s="674"/>
      <c r="I658" s="674"/>
      <c r="J658" s="558"/>
    </row>
    <row r="659" spans="1:10">
      <c r="A659" s="502"/>
      <c r="B659" s="962" t="s">
        <v>788</v>
      </c>
      <c r="C659" s="1459"/>
      <c r="D659" s="910" t="s">
        <v>57</v>
      </c>
      <c r="E659" s="489"/>
      <c r="F659" s="674"/>
      <c r="G659" s="672"/>
      <c r="H659" s="674"/>
      <c r="I659" s="674"/>
      <c r="J659" s="558"/>
    </row>
    <row r="660" spans="1:10" s="1297" customFormat="1">
      <c r="A660" s="518"/>
      <c r="B660" s="1544" t="s">
        <v>2652</v>
      </c>
      <c r="C660" s="1459"/>
      <c r="D660" s="685" t="s">
        <v>508</v>
      </c>
      <c r="E660" s="1545"/>
      <c r="F660" s="1546"/>
      <c r="G660" s="1546"/>
      <c r="H660" s="674"/>
      <c r="I660" s="674"/>
      <c r="J660" s="558"/>
    </row>
    <row r="661" spans="1:10">
      <c r="A661" s="1317" t="s">
        <v>2597</v>
      </c>
      <c r="B661" s="1344" t="s">
        <v>793</v>
      </c>
      <c r="C661" s="1459"/>
      <c r="D661" s="961"/>
      <c r="E661" s="683"/>
      <c r="F661" s="676"/>
      <c r="G661" s="682"/>
      <c r="H661" s="676"/>
      <c r="I661" s="676"/>
      <c r="J661" s="558"/>
    </row>
    <row r="662" spans="1:10" s="1364" customFormat="1">
      <c r="A662" s="1358"/>
      <c r="B662" s="1359" t="s">
        <v>795</v>
      </c>
      <c r="C662" s="1360"/>
      <c r="D662" s="1361" t="s">
        <v>57</v>
      </c>
      <c r="E662" s="1315"/>
      <c r="F662" s="1362"/>
      <c r="G662" s="1363"/>
      <c r="H662" s="1362"/>
      <c r="I662" s="1362"/>
      <c r="J662" s="1550"/>
    </row>
    <row r="663" spans="1:10" s="1364" customFormat="1">
      <c r="A663" s="1358"/>
      <c r="B663" s="1359" t="s">
        <v>798</v>
      </c>
      <c r="C663" s="1360"/>
      <c r="D663" s="1361" t="s">
        <v>57</v>
      </c>
      <c r="E663" s="1315"/>
      <c r="F663" s="1362"/>
      <c r="G663" s="1363"/>
      <c r="H663" s="1362"/>
      <c r="I663" s="1362"/>
      <c r="J663" s="1550"/>
    </row>
    <row r="664" spans="1:10" s="1364" customFormat="1">
      <c r="A664" s="1358"/>
      <c r="B664" s="1359" t="s">
        <v>799</v>
      </c>
      <c r="C664" s="1360"/>
      <c r="D664" s="1361" t="s">
        <v>57</v>
      </c>
      <c r="E664" s="1315"/>
      <c r="F664" s="1362"/>
      <c r="G664" s="1363"/>
      <c r="H664" s="1362"/>
      <c r="I664" s="1362"/>
      <c r="J664" s="1550"/>
    </row>
    <row r="665" spans="1:10" s="1364" customFormat="1">
      <c r="A665" s="1358"/>
      <c r="B665" s="1359" t="s">
        <v>800</v>
      </c>
      <c r="C665" s="1360"/>
      <c r="D665" s="1361" t="s">
        <v>57</v>
      </c>
      <c r="E665" s="1315"/>
      <c r="F665" s="1362"/>
      <c r="G665" s="1363"/>
      <c r="H665" s="1362"/>
      <c r="I665" s="1362"/>
      <c r="J665" s="1550"/>
    </row>
    <row r="666" spans="1:10" s="1364" customFormat="1">
      <c r="A666" s="1358"/>
      <c r="B666" s="1359" t="s">
        <v>801</v>
      </c>
      <c r="C666" s="1360"/>
      <c r="D666" s="1361" t="s">
        <v>57</v>
      </c>
      <c r="E666" s="1315"/>
      <c r="F666" s="1362"/>
      <c r="G666" s="1363"/>
      <c r="H666" s="1362"/>
      <c r="I666" s="1362"/>
      <c r="J666" s="1550"/>
    </row>
    <row r="667" spans="1:10" s="1364" customFormat="1">
      <c r="A667" s="1358"/>
      <c r="B667" s="1359" t="s">
        <v>802</v>
      </c>
      <c r="C667" s="1360"/>
      <c r="D667" s="1361" t="s">
        <v>57</v>
      </c>
      <c r="E667" s="1315"/>
      <c r="F667" s="1362"/>
      <c r="G667" s="1363"/>
      <c r="H667" s="1362"/>
      <c r="I667" s="1362"/>
      <c r="J667" s="1550"/>
    </row>
    <row r="668" spans="1:10" s="1364" customFormat="1">
      <c r="A668" s="1358"/>
      <c r="B668" s="1359" t="s">
        <v>803</v>
      </c>
      <c r="C668" s="1360"/>
      <c r="D668" s="1361" t="s">
        <v>57</v>
      </c>
      <c r="E668" s="1315"/>
      <c r="F668" s="1362"/>
      <c r="G668" s="1363"/>
      <c r="H668" s="1362"/>
      <c r="I668" s="1362"/>
      <c r="J668" s="1550"/>
    </row>
    <row r="669" spans="1:10" s="1364" customFormat="1">
      <c r="A669" s="1358"/>
      <c r="B669" s="1359" t="s">
        <v>804</v>
      </c>
      <c r="C669" s="1360"/>
      <c r="D669" s="1361" t="s">
        <v>57</v>
      </c>
      <c r="E669" s="1315"/>
      <c r="F669" s="1362"/>
      <c r="G669" s="1363"/>
      <c r="H669" s="1362"/>
      <c r="I669" s="1362"/>
      <c r="J669" s="1550"/>
    </row>
    <row r="670" spans="1:10" s="1364" customFormat="1">
      <c r="A670" s="1358"/>
      <c r="B670" s="1359" t="s">
        <v>805</v>
      </c>
      <c r="C670" s="1360"/>
      <c r="D670" s="1361" t="s">
        <v>57</v>
      </c>
      <c r="E670" s="1315"/>
      <c r="F670" s="1362"/>
      <c r="G670" s="1363"/>
      <c r="H670" s="1362"/>
      <c r="I670" s="1362"/>
      <c r="J670" s="1550"/>
    </row>
    <row r="671" spans="1:10" s="1364" customFormat="1">
      <c r="A671" s="1358"/>
      <c r="B671" s="1359" t="s">
        <v>806</v>
      </c>
      <c r="C671" s="1360"/>
      <c r="D671" s="1361" t="s">
        <v>57</v>
      </c>
      <c r="E671" s="1315"/>
      <c r="F671" s="1362"/>
      <c r="G671" s="1363"/>
      <c r="H671" s="1362"/>
      <c r="I671" s="1362"/>
      <c r="J671" s="1550"/>
    </row>
    <row r="672" spans="1:10" s="1364" customFormat="1">
      <c r="A672" s="1358"/>
      <c r="B672" s="1359" t="s">
        <v>807</v>
      </c>
      <c r="C672" s="1360"/>
      <c r="D672" s="1361" t="s">
        <v>57</v>
      </c>
      <c r="E672" s="1315"/>
      <c r="F672" s="1362"/>
      <c r="G672" s="1363"/>
      <c r="H672" s="1362"/>
      <c r="I672" s="1362"/>
      <c r="J672" s="1550"/>
    </row>
    <row r="673" spans="1:10" s="1297" customFormat="1">
      <c r="A673" s="518"/>
      <c r="B673" s="1544" t="s">
        <v>2652</v>
      </c>
      <c r="C673" s="1459"/>
      <c r="D673" s="685" t="s">
        <v>508</v>
      </c>
      <c r="E673" s="1545"/>
      <c r="F673" s="1546"/>
      <c r="G673" s="1546"/>
      <c r="H673" s="674"/>
      <c r="I673" s="674"/>
      <c r="J673" s="558"/>
    </row>
    <row r="674" spans="1:10">
      <c r="A674" s="1317" t="s">
        <v>2598</v>
      </c>
      <c r="B674" s="1344" t="s">
        <v>811</v>
      </c>
      <c r="C674" s="1459"/>
      <c r="D674" s="961"/>
      <c r="E674" s="683"/>
      <c r="F674" s="676"/>
      <c r="G674" s="682"/>
      <c r="H674" s="676"/>
      <c r="I674" s="676"/>
      <c r="J674" s="558"/>
    </row>
    <row r="675" spans="1:10">
      <c r="A675" s="502"/>
      <c r="B675" s="962" t="s">
        <v>812</v>
      </c>
      <c r="C675" s="1459"/>
      <c r="D675" s="510" t="s">
        <v>15</v>
      </c>
      <c r="E675" s="489"/>
      <c r="F675" s="674"/>
      <c r="G675" s="672"/>
      <c r="H675" s="674"/>
      <c r="I675" s="674"/>
      <c r="J675" s="558"/>
    </row>
    <row r="676" spans="1:10">
      <c r="A676" s="502"/>
      <c r="B676" s="962" t="s">
        <v>813</v>
      </c>
      <c r="C676" s="1459"/>
      <c r="D676" s="510" t="s">
        <v>15</v>
      </c>
      <c r="E676" s="489"/>
      <c r="F676" s="674"/>
      <c r="G676" s="672"/>
      <c r="H676" s="674"/>
      <c r="I676" s="674"/>
      <c r="J676" s="558"/>
    </row>
    <row r="677" spans="1:10">
      <c r="A677" s="502"/>
      <c r="B677" s="962" t="s">
        <v>815</v>
      </c>
      <c r="C677" s="1459"/>
      <c r="D677" s="510" t="s">
        <v>15</v>
      </c>
      <c r="E677" s="489"/>
      <c r="F677" s="674"/>
      <c r="G677" s="672"/>
      <c r="H677" s="674"/>
      <c r="I677" s="674"/>
      <c r="J677" s="558"/>
    </row>
    <row r="678" spans="1:10">
      <c r="A678" s="502"/>
      <c r="B678" s="962" t="s">
        <v>816</v>
      </c>
      <c r="C678" s="1459"/>
      <c r="D678" s="510" t="s">
        <v>15</v>
      </c>
      <c r="E678" s="489"/>
      <c r="F678" s="674"/>
      <c r="G678" s="672"/>
      <c r="H678" s="674"/>
      <c r="I678" s="674"/>
      <c r="J678" s="558"/>
    </row>
    <row r="679" spans="1:10">
      <c r="A679" s="502"/>
      <c r="B679" s="962" t="s">
        <v>817</v>
      </c>
      <c r="C679" s="1459"/>
      <c r="D679" s="510" t="s">
        <v>15</v>
      </c>
      <c r="E679" s="489"/>
      <c r="F679" s="674"/>
      <c r="G679" s="672"/>
      <c r="H679" s="674"/>
      <c r="I679" s="674"/>
      <c r="J679" s="558"/>
    </row>
    <row r="680" spans="1:10">
      <c r="A680" s="502"/>
      <c r="B680" s="962" t="s">
        <v>818</v>
      </c>
      <c r="C680" s="1459"/>
      <c r="D680" s="510" t="s">
        <v>15</v>
      </c>
      <c r="E680" s="489"/>
      <c r="F680" s="674"/>
      <c r="G680" s="672"/>
      <c r="H680" s="674"/>
      <c r="I680" s="674"/>
      <c r="J680" s="558"/>
    </row>
    <row r="681" spans="1:10">
      <c r="A681" s="502"/>
      <c r="B681" s="962" t="s">
        <v>819</v>
      </c>
      <c r="C681" s="1459"/>
      <c r="D681" s="510" t="s">
        <v>15</v>
      </c>
      <c r="E681" s="489"/>
      <c r="F681" s="674"/>
      <c r="G681" s="672"/>
      <c r="H681" s="674"/>
      <c r="I681" s="674"/>
      <c r="J681" s="558"/>
    </row>
    <row r="682" spans="1:10">
      <c r="A682" s="502"/>
      <c r="B682" s="962" t="s">
        <v>1167</v>
      </c>
      <c r="C682" s="1459"/>
      <c r="D682" s="510" t="s">
        <v>15</v>
      </c>
      <c r="E682" s="489"/>
      <c r="F682" s="674"/>
      <c r="G682" s="672"/>
      <c r="H682" s="674"/>
      <c r="I682" s="674"/>
      <c r="J682" s="558"/>
    </row>
    <row r="683" spans="1:10">
      <c r="A683" s="1412" t="s">
        <v>2599</v>
      </c>
      <c r="B683" s="1353" t="s">
        <v>836</v>
      </c>
      <c r="C683" s="1445"/>
      <c r="D683" s="506"/>
      <c r="E683" s="506"/>
      <c r="F683" s="489"/>
      <c r="G683" s="676"/>
      <c r="H683" s="676"/>
      <c r="I683" s="676"/>
      <c r="J683" s="550"/>
    </row>
    <row r="684" spans="1:10">
      <c r="A684" s="966"/>
      <c r="B684" s="967" t="s">
        <v>837</v>
      </c>
      <c r="C684" s="1462"/>
      <c r="D684" s="968" t="s">
        <v>15</v>
      </c>
      <c r="E684" s="673"/>
      <c r="F684" s="673"/>
      <c r="G684" s="673"/>
      <c r="H684" s="673"/>
      <c r="I684" s="673"/>
      <c r="J684" s="550"/>
    </row>
    <row r="685" spans="1:10">
      <c r="A685" s="966"/>
      <c r="B685" s="967" t="s">
        <v>838</v>
      </c>
      <c r="C685" s="1462"/>
      <c r="D685" s="910" t="s">
        <v>57</v>
      </c>
      <c r="E685" s="673"/>
      <c r="F685" s="673"/>
      <c r="G685" s="673"/>
      <c r="H685" s="673"/>
      <c r="I685" s="673"/>
      <c r="J685" s="550"/>
    </row>
    <row r="686" spans="1:10">
      <c r="A686" s="966"/>
      <c r="B686" s="967" t="s">
        <v>839</v>
      </c>
      <c r="C686" s="1462"/>
      <c r="D686" s="968"/>
      <c r="E686" s="673"/>
      <c r="F686" s="673"/>
      <c r="G686" s="673"/>
      <c r="H686" s="673"/>
      <c r="I686" s="673"/>
      <c r="J686" s="550"/>
    </row>
    <row r="687" spans="1:10">
      <c r="A687" s="966"/>
      <c r="B687" s="967" t="s">
        <v>2606</v>
      </c>
      <c r="C687" s="1462"/>
      <c r="D687" s="910" t="s">
        <v>57</v>
      </c>
      <c r="E687" s="673"/>
      <c r="F687" s="673"/>
      <c r="G687" s="673"/>
      <c r="H687" s="673"/>
      <c r="I687" s="673"/>
      <c r="J687" s="550"/>
    </row>
    <row r="688" spans="1:10">
      <c r="A688" s="966"/>
      <c r="B688" s="967" t="s">
        <v>841</v>
      </c>
      <c r="C688" s="1462"/>
      <c r="D688" s="968"/>
      <c r="E688" s="673"/>
      <c r="F688" s="673"/>
      <c r="G688" s="673"/>
      <c r="H688" s="673"/>
      <c r="I688" s="673"/>
      <c r="J688" s="550"/>
    </row>
    <row r="689" spans="1:10">
      <c r="A689" s="966"/>
      <c r="B689" s="967" t="s">
        <v>2577</v>
      </c>
      <c r="C689" s="1462"/>
      <c r="D689" s="910" t="s">
        <v>57</v>
      </c>
      <c r="E689" s="489"/>
      <c r="F689" s="674"/>
      <c r="G689" s="672"/>
      <c r="H689" s="674"/>
      <c r="I689" s="674"/>
      <c r="J689" s="550"/>
    </row>
    <row r="690" spans="1:10">
      <c r="A690" s="969"/>
      <c r="B690" s="967" t="s">
        <v>2578</v>
      </c>
      <c r="C690" s="1462"/>
      <c r="D690" s="910" t="s">
        <v>57</v>
      </c>
      <c r="E690" s="489"/>
      <c r="F690" s="674"/>
      <c r="G690" s="672"/>
      <c r="H690" s="674"/>
      <c r="I690" s="674"/>
      <c r="J690" s="550"/>
    </row>
    <row r="691" spans="1:10" s="1297" customFormat="1">
      <c r="A691" s="518"/>
      <c r="B691" s="1544" t="s">
        <v>2652</v>
      </c>
      <c r="C691" s="1459"/>
      <c r="D691" s="685" t="s">
        <v>508</v>
      </c>
      <c r="E691" s="1545"/>
      <c r="F691" s="1546"/>
      <c r="G691" s="1546"/>
      <c r="H691" s="674"/>
      <c r="I691" s="674"/>
      <c r="J691" s="558"/>
    </row>
    <row r="692" spans="1:10">
      <c r="A692" s="1413" t="s">
        <v>2600</v>
      </c>
      <c r="B692" s="1354" t="s">
        <v>844</v>
      </c>
      <c r="C692" s="1463"/>
      <c r="D692" s="682"/>
      <c r="E692" s="682"/>
      <c r="F692" s="660"/>
      <c r="G692" s="676"/>
      <c r="H692" s="676"/>
      <c r="I692" s="676"/>
      <c r="J692" s="676"/>
    </row>
    <row r="693" spans="1:10">
      <c r="A693" s="966"/>
      <c r="B693" s="967" t="s">
        <v>845</v>
      </c>
      <c r="C693" s="1464"/>
      <c r="D693" s="573"/>
      <c r="E693" s="1417"/>
      <c r="F693" s="1417"/>
      <c r="G693" s="1417"/>
      <c r="H693" s="573"/>
      <c r="I693" s="573"/>
      <c r="J693" s="550"/>
    </row>
    <row r="694" spans="1:10">
      <c r="A694" s="966"/>
      <c r="B694" s="967" t="s">
        <v>2604</v>
      </c>
      <c r="C694" s="1462"/>
      <c r="D694" s="968" t="s">
        <v>15</v>
      </c>
      <c r="E694" s="673"/>
      <c r="F694" s="673"/>
      <c r="G694" s="673"/>
      <c r="H694" s="673"/>
      <c r="I694" s="673"/>
      <c r="J694" s="550"/>
    </row>
    <row r="695" spans="1:10">
      <c r="A695" s="966"/>
      <c r="B695" s="967" t="s">
        <v>2605</v>
      </c>
      <c r="C695" s="1462"/>
      <c r="D695" s="968" t="s">
        <v>15</v>
      </c>
      <c r="E695" s="673"/>
      <c r="F695" s="673"/>
      <c r="G695" s="673"/>
      <c r="H695" s="673"/>
      <c r="I695" s="673"/>
      <c r="J695" s="550"/>
    </row>
    <row r="696" spans="1:10">
      <c r="A696" s="966"/>
      <c r="B696" s="967" t="s">
        <v>848</v>
      </c>
      <c r="C696" s="1462"/>
      <c r="D696" s="968" t="s">
        <v>15</v>
      </c>
      <c r="E696" s="673"/>
      <c r="F696" s="673"/>
      <c r="G696" s="673"/>
      <c r="H696" s="673"/>
      <c r="I696" s="673"/>
      <c r="J696" s="550"/>
    </row>
    <row r="697" spans="1:10">
      <c r="A697" s="966"/>
      <c r="B697" s="967" t="s">
        <v>849</v>
      </c>
      <c r="C697" s="1462"/>
      <c r="D697" s="910" t="s">
        <v>57</v>
      </c>
      <c r="E697" s="673"/>
      <c r="F697" s="673"/>
      <c r="G697" s="673"/>
      <c r="H697" s="673"/>
      <c r="I697" s="673"/>
      <c r="J697" s="550"/>
    </row>
    <row r="698" spans="1:10">
      <c r="A698" s="966"/>
      <c r="B698" s="967" t="s">
        <v>838</v>
      </c>
      <c r="C698" s="1462"/>
      <c r="D698" s="910" t="s">
        <v>57</v>
      </c>
      <c r="E698" s="673"/>
      <c r="F698" s="673"/>
      <c r="G698" s="673"/>
      <c r="H698" s="673"/>
      <c r="I698" s="673"/>
      <c r="J698" s="550"/>
    </row>
    <row r="699" spans="1:10">
      <c r="A699" s="966"/>
      <c r="B699" s="967" t="s">
        <v>850</v>
      </c>
      <c r="C699" s="1462"/>
      <c r="D699" s="968"/>
      <c r="E699" s="673"/>
      <c r="F699" s="673"/>
      <c r="G699" s="673"/>
      <c r="H699" s="673"/>
      <c r="I699" s="673"/>
      <c r="J699" s="550"/>
    </row>
    <row r="700" spans="1:10">
      <c r="A700" s="966"/>
      <c r="B700" s="967" t="s">
        <v>2579</v>
      </c>
      <c r="C700" s="1462"/>
      <c r="D700" s="910" t="s">
        <v>57</v>
      </c>
      <c r="E700" s="673"/>
      <c r="F700" s="608"/>
      <c r="G700" s="608"/>
      <c r="H700" s="608"/>
      <c r="I700" s="608"/>
      <c r="J700" s="550"/>
    </row>
    <row r="701" spans="1:10">
      <c r="A701" s="972"/>
      <c r="B701" s="967" t="s">
        <v>841</v>
      </c>
      <c r="C701" s="1465"/>
      <c r="D701" s="621"/>
      <c r="E701" s="622"/>
      <c r="F701" s="622"/>
      <c r="G701" s="622"/>
      <c r="H701" s="622"/>
      <c r="I701" s="622"/>
      <c r="J701" s="550"/>
    </row>
    <row r="702" spans="1:10">
      <c r="A702" s="972"/>
      <c r="B702" s="967" t="s">
        <v>2577</v>
      </c>
      <c r="C702" s="1466"/>
      <c r="D702" s="973" t="s">
        <v>57</v>
      </c>
      <c r="E702" s="489"/>
      <c r="F702" s="611"/>
      <c r="G702" s="672"/>
      <c r="H702" s="611"/>
      <c r="I702" s="611"/>
      <c r="J702" s="550"/>
    </row>
    <row r="703" spans="1:10">
      <c r="A703" s="974"/>
      <c r="B703" s="967" t="s">
        <v>2578</v>
      </c>
      <c r="C703" s="1466"/>
      <c r="D703" s="973" t="s">
        <v>57</v>
      </c>
      <c r="E703" s="489"/>
      <c r="F703" s="611"/>
      <c r="G703" s="672"/>
      <c r="H703" s="611"/>
      <c r="I703" s="611"/>
      <c r="J703" s="550"/>
    </row>
    <row r="704" spans="1:10" s="1297" customFormat="1">
      <c r="A704" s="518"/>
      <c r="B704" s="1544" t="s">
        <v>2652</v>
      </c>
      <c r="C704" s="1459"/>
      <c r="D704" s="685" t="s">
        <v>508</v>
      </c>
      <c r="E704" s="1545"/>
      <c r="F704" s="1546"/>
      <c r="G704" s="1546"/>
      <c r="H704" s="674"/>
      <c r="I704" s="674"/>
      <c r="J704" s="558"/>
    </row>
    <row r="705" spans="1:10">
      <c r="A705" s="1414" t="s">
        <v>2601</v>
      </c>
      <c r="B705" s="647" t="s">
        <v>852</v>
      </c>
      <c r="C705" s="1467"/>
      <c r="D705" s="574"/>
      <c r="E705" s="575"/>
      <c r="F705" s="568"/>
      <c r="G705" s="568"/>
      <c r="H705" s="568"/>
      <c r="I705" s="568"/>
      <c r="J705" s="569"/>
    </row>
    <row r="706" spans="1:10">
      <c r="A706" s="966"/>
      <c r="B706" s="967" t="s">
        <v>853</v>
      </c>
      <c r="C706" s="1462"/>
      <c r="D706" s="968" t="s">
        <v>15</v>
      </c>
      <c r="E706" s="673"/>
      <c r="F706" s="608"/>
      <c r="G706" s="608"/>
      <c r="H706" s="608"/>
      <c r="I706" s="608"/>
      <c r="J706" s="550"/>
    </row>
    <row r="707" spans="1:10">
      <c r="A707" s="972"/>
      <c r="B707" s="967" t="s">
        <v>854</v>
      </c>
      <c r="C707" s="1466"/>
      <c r="D707" s="621" t="s">
        <v>15</v>
      </c>
      <c r="E707" s="622"/>
      <c r="F707" s="608"/>
      <c r="G707" s="608"/>
      <c r="H707" s="608"/>
      <c r="I707" s="608"/>
      <c r="J707" s="976"/>
    </row>
    <row r="708" spans="1:10">
      <c r="A708" s="972"/>
      <c r="B708" s="977" t="s">
        <v>855</v>
      </c>
      <c r="C708" s="1466"/>
      <c r="D708" s="621" t="s">
        <v>15</v>
      </c>
      <c r="E708" s="622"/>
      <c r="F708" s="608"/>
      <c r="G708" s="608"/>
      <c r="H708" s="608"/>
      <c r="I708" s="608"/>
      <c r="J708" s="676"/>
    </row>
    <row r="709" spans="1:10">
      <c r="A709" s="966"/>
      <c r="B709" s="967" t="s">
        <v>856</v>
      </c>
      <c r="C709" s="1462"/>
      <c r="D709" s="968" t="s">
        <v>15</v>
      </c>
      <c r="E709" s="673"/>
      <c r="F709" s="608"/>
      <c r="G709" s="608"/>
      <c r="H709" s="608"/>
      <c r="I709" s="608"/>
      <c r="J709" s="676"/>
    </row>
    <row r="710" spans="1:10">
      <c r="A710" s="966"/>
      <c r="B710" s="967" t="s">
        <v>857</v>
      </c>
      <c r="C710" s="1462"/>
      <c r="D710" s="968" t="s">
        <v>15</v>
      </c>
      <c r="E710" s="673"/>
      <c r="F710" s="608"/>
      <c r="G710" s="608"/>
      <c r="H710" s="608"/>
      <c r="I710" s="608"/>
      <c r="J710" s="676"/>
    </row>
    <row r="711" spans="1:10">
      <c r="A711" s="966"/>
      <c r="B711" s="967" t="s">
        <v>858</v>
      </c>
      <c r="C711" s="1462"/>
      <c r="D711" s="968" t="s">
        <v>15</v>
      </c>
      <c r="E711" s="673"/>
      <c r="F711" s="608"/>
      <c r="G711" s="608"/>
      <c r="H711" s="608"/>
      <c r="I711" s="608"/>
      <c r="J711" s="676"/>
    </row>
    <row r="712" spans="1:10">
      <c r="A712" s="966"/>
      <c r="B712" s="967" t="s">
        <v>859</v>
      </c>
      <c r="C712" s="1462"/>
      <c r="D712" s="968" t="s">
        <v>15</v>
      </c>
      <c r="E712" s="673"/>
      <c r="F712" s="608"/>
      <c r="G712" s="608"/>
      <c r="H712" s="608"/>
      <c r="I712" s="608"/>
      <c r="J712" s="676"/>
    </row>
    <row r="713" spans="1:10">
      <c r="A713" s="966"/>
      <c r="B713" s="967" t="s">
        <v>897</v>
      </c>
      <c r="C713" s="1462"/>
      <c r="D713" s="968" t="s">
        <v>15</v>
      </c>
      <c r="E713" s="673"/>
      <c r="F713" s="608"/>
      <c r="G713" s="608"/>
      <c r="H713" s="608"/>
      <c r="I713" s="608"/>
      <c r="J713" s="676"/>
    </row>
    <row r="714" spans="1:10">
      <c r="A714" s="966"/>
      <c r="B714" s="967" t="s">
        <v>860</v>
      </c>
      <c r="C714" s="1462"/>
      <c r="D714" s="968" t="s">
        <v>15</v>
      </c>
      <c r="E714" s="673"/>
      <c r="F714" s="608"/>
      <c r="G714" s="608"/>
      <c r="H714" s="608"/>
      <c r="I714" s="608"/>
      <c r="J714" s="676"/>
    </row>
    <row r="715" spans="1:10">
      <c r="A715" s="966"/>
      <c r="B715" s="967" t="s">
        <v>861</v>
      </c>
      <c r="C715" s="1462"/>
      <c r="D715" s="978"/>
      <c r="E715" s="673"/>
      <c r="F715" s="673"/>
      <c r="G715" s="673"/>
      <c r="H715" s="673"/>
      <c r="I715" s="673"/>
      <c r="J715" s="676"/>
    </row>
    <row r="716" spans="1:10">
      <c r="A716" s="969"/>
      <c r="B716" s="967" t="s">
        <v>2573</v>
      </c>
      <c r="C716" s="1462"/>
      <c r="D716" s="910" t="s">
        <v>57</v>
      </c>
      <c r="E716" s="673"/>
      <c r="F716" s="608"/>
      <c r="G716" s="608"/>
      <c r="H716" s="608"/>
      <c r="I716" s="608"/>
      <c r="J716" s="676"/>
    </row>
    <row r="717" spans="1:10" s="1364" customFormat="1">
      <c r="A717" s="1365"/>
      <c r="B717" s="1366" t="s">
        <v>2574</v>
      </c>
      <c r="C717" s="1367"/>
      <c r="D717" s="1361" t="s">
        <v>57</v>
      </c>
      <c r="E717" s="1368"/>
      <c r="F717" s="1369"/>
      <c r="G717" s="1369"/>
      <c r="H717" s="1369"/>
      <c r="I717" s="1369"/>
      <c r="J717" s="1550"/>
    </row>
    <row r="718" spans="1:10" s="1364" customFormat="1">
      <c r="A718" s="1370"/>
      <c r="B718" s="1366" t="s">
        <v>2575</v>
      </c>
      <c r="C718" s="1367"/>
      <c r="D718" s="1361" t="s">
        <v>57</v>
      </c>
      <c r="E718" s="1368"/>
      <c r="F718" s="1369"/>
      <c r="G718" s="1369"/>
      <c r="H718" s="1369"/>
      <c r="I718" s="1369"/>
      <c r="J718" s="1550"/>
    </row>
    <row r="719" spans="1:10">
      <c r="A719" s="966"/>
      <c r="B719" s="967" t="s">
        <v>2576</v>
      </c>
      <c r="C719" s="1462"/>
      <c r="D719" s="910" t="s">
        <v>57</v>
      </c>
      <c r="E719" s="673"/>
      <c r="F719" s="608"/>
      <c r="G719" s="608"/>
      <c r="H719" s="608"/>
      <c r="I719" s="608"/>
      <c r="J719" s="676"/>
    </row>
    <row r="720" spans="1:10">
      <c r="A720" s="969"/>
      <c r="B720" s="967" t="s">
        <v>841</v>
      </c>
      <c r="C720" s="1462"/>
      <c r="D720" s="978"/>
      <c r="E720" s="673"/>
      <c r="F720" s="673"/>
      <c r="G720" s="673"/>
      <c r="H720" s="673"/>
      <c r="I720" s="673"/>
      <c r="J720" s="676"/>
    </row>
    <row r="721" spans="1:10">
      <c r="A721" s="969"/>
      <c r="B721" s="967" t="s">
        <v>2577</v>
      </c>
      <c r="C721" s="1462"/>
      <c r="D721" s="910" t="s">
        <v>57</v>
      </c>
      <c r="E721" s="489"/>
      <c r="F721" s="674"/>
      <c r="G721" s="672"/>
      <c r="H721" s="674"/>
      <c r="I721" s="674"/>
      <c r="J721" s="676"/>
    </row>
    <row r="722" spans="1:10">
      <c r="A722" s="969"/>
      <c r="B722" s="967" t="s">
        <v>2578</v>
      </c>
      <c r="C722" s="1462"/>
      <c r="D722" s="910" t="s">
        <v>57</v>
      </c>
      <c r="E722" s="489"/>
      <c r="F722" s="674"/>
      <c r="G722" s="672"/>
      <c r="H722" s="674"/>
      <c r="I722" s="674"/>
      <c r="J722" s="676"/>
    </row>
    <row r="723" spans="1:10">
      <c r="A723" s="969"/>
      <c r="B723" s="967" t="s">
        <v>868</v>
      </c>
      <c r="C723" s="1462"/>
      <c r="D723" s="978"/>
      <c r="E723" s="673"/>
      <c r="F723" s="608"/>
      <c r="G723" s="608"/>
      <c r="H723" s="608"/>
      <c r="I723" s="608"/>
      <c r="J723" s="676"/>
    </row>
    <row r="724" spans="1:10">
      <c r="A724" s="966"/>
      <c r="B724" s="967" t="s">
        <v>2579</v>
      </c>
      <c r="C724" s="1462"/>
      <c r="D724" s="910" t="s">
        <v>57</v>
      </c>
      <c r="E724" s="673"/>
      <c r="F724" s="608"/>
      <c r="G724" s="608"/>
      <c r="H724" s="608"/>
      <c r="I724" s="608"/>
      <c r="J724" s="676"/>
    </row>
    <row r="725" spans="1:10" s="1297" customFormat="1">
      <c r="A725" s="518"/>
      <c r="B725" s="1544" t="s">
        <v>2652</v>
      </c>
      <c r="C725" s="1459"/>
      <c r="D725" s="685" t="s">
        <v>508</v>
      </c>
      <c r="E725" s="1545"/>
      <c r="F725" s="1546"/>
      <c r="G725" s="1546"/>
      <c r="H725" s="674"/>
      <c r="I725" s="674"/>
      <c r="J725" s="558"/>
    </row>
    <row r="726" spans="1:10">
      <c r="A726" s="1415" t="s">
        <v>2602</v>
      </c>
      <c r="B726" s="647" t="s">
        <v>870</v>
      </c>
      <c r="C726" s="1468"/>
      <c r="D726" s="603"/>
      <c r="E726" s="604"/>
      <c r="F726" s="571"/>
      <c r="G726" s="534"/>
      <c r="H726" s="571"/>
      <c r="I726" s="571"/>
      <c r="J726" s="569"/>
    </row>
    <row r="727" spans="1:10">
      <c r="A727" s="600"/>
      <c r="B727" s="1146" t="s">
        <v>2610</v>
      </c>
      <c r="C727" s="1469"/>
      <c r="D727" s="1148" t="s">
        <v>15</v>
      </c>
      <c r="E727" s="1149"/>
      <c r="F727" s="1149"/>
      <c r="G727" s="1149"/>
      <c r="H727" s="1149"/>
      <c r="I727" s="1149"/>
      <c r="J727" s="569"/>
    </row>
    <row r="728" spans="1:10">
      <c r="A728" s="600"/>
      <c r="B728" s="1146" t="s">
        <v>2611</v>
      </c>
      <c r="C728" s="1469"/>
      <c r="D728" s="1148" t="s">
        <v>15</v>
      </c>
      <c r="E728" s="1149"/>
      <c r="F728" s="1149"/>
      <c r="G728" s="1149"/>
      <c r="H728" s="1149"/>
      <c r="I728" s="1149"/>
      <c r="J728" s="569"/>
    </row>
    <row r="729" spans="1:10">
      <c r="A729" s="600"/>
      <c r="B729" s="1150" t="s">
        <v>2612</v>
      </c>
      <c r="C729" s="1469"/>
      <c r="D729" s="1148" t="s">
        <v>15</v>
      </c>
      <c r="E729" s="1149"/>
      <c r="F729" s="1149"/>
      <c r="G729" s="1149"/>
      <c r="H729" s="1149"/>
      <c r="I729" s="1149"/>
      <c r="J729" s="569"/>
    </row>
    <row r="730" spans="1:10">
      <c r="A730" s="600"/>
      <c r="B730" s="1151" t="s">
        <v>2613</v>
      </c>
      <c r="C730" s="1469"/>
      <c r="D730" s="1148" t="s">
        <v>15</v>
      </c>
      <c r="E730" s="1149"/>
      <c r="F730" s="1149"/>
      <c r="G730" s="1149"/>
      <c r="H730" s="1149"/>
      <c r="I730" s="1149"/>
      <c r="J730" s="569"/>
    </row>
    <row r="731" spans="1:10">
      <c r="A731" s="600"/>
      <c r="B731" s="1151" t="s">
        <v>2581</v>
      </c>
      <c r="C731" s="1469"/>
      <c r="D731" s="1148"/>
      <c r="E731" s="1149"/>
      <c r="F731" s="1149"/>
      <c r="G731" s="1149"/>
      <c r="H731" s="1149"/>
      <c r="I731" s="1149"/>
      <c r="J731" s="569"/>
    </row>
    <row r="732" spans="1:10">
      <c r="A732" s="600"/>
      <c r="B732" s="1146" t="s">
        <v>2614</v>
      </c>
      <c r="C732" s="1469"/>
      <c r="D732" s="1148" t="s">
        <v>15</v>
      </c>
      <c r="E732" s="1149"/>
      <c r="F732" s="1149"/>
      <c r="G732" s="1149"/>
      <c r="H732" s="1149"/>
      <c r="I732" s="1149"/>
      <c r="J732" s="569"/>
    </row>
    <row r="733" spans="1:10">
      <c r="A733" s="600"/>
      <c r="B733" s="1146" t="s">
        <v>2615</v>
      </c>
      <c r="C733" s="1469"/>
      <c r="D733" s="1148" t="s">
        <v>15</v>
      </c>
      <c r="E733" s="1149"/>
      <c r="F733" s="1149"/>
      <c r="G733" s="1149"/>
      <c r="H733" s="1149"/>
      <c r="I733" s="1149"/>
      <c r="J733" s="569"/>
    </row>
    <row r="734" spans="1:10">
      <c r="A734" s="600"/>
      <c r="B734" s="1146" t="s">
        <v>2616</v>
      </c>
      <c r="C734" s="1469"/>
      <c r="D734" s="1148" t="s">
        <v>15</v>
      </c>
      <c r="E734" s="1149"/>
      <c r="F734" s="1149"/>
      <c r="G734" s="1149"/>
      <c r="H734" s="1149"/>
      <c r="I734" s="1149"/>
      <c r="J734" s="569"/>
    </row>
    <row r="735" spans="1:10">
      <c r="A735" s="600"/>
      <c r="B735" s="1146" t="s">
        <v>2617</v>
      </c>
      <c r="C735" s="1469"/>
      <c r="D735" s="1148" t="s">
        <v>15</v>
      </c>
      <c r="E735" s="1149"/>
      <c r="F735" s="1149"/>
      <c r="G735" s="1149"/>
      <c r="H735" s="1149"/>
      <c r="I735" s="1149"/>
      <c r="J735" s="569"/>
    </row>
    <row r="736" spans="1:10">
      <c r="A736" s="983"/>
      <c r="B736" s="967" t="s">
        <v>871</v>
      </c>
      <c r="C736" s="1468"/>
      <c r="D736" s="603"/>
      <c r="E736" s="604"/>
      <c r="F736" s="571"/>
      <c r="G736" s="534"/>
      <c r="H736" s="571"/>
      <c r="I736" s="571"/>
      <c r="J736" s="571"/>
    </row>
    <row r="737" spans="1:10">
      <c r="A737" s="983"/>
      <c r="B737" s="967" t="s">
        <v>2580</v>
      </c>
      <c r="C737" s="1470"/>
      <c r="D737" s="984" t="s">
        <v>15</v>
      </c>
      <c r="E737" s="985"/>
      <c r="F737" s="985"/>
      <c r="G737" s="985"/>
      <c r="H737" s="985"/>
      <c r="I737" s="985"/>
      <c r="J737" s="571"/>
    </row>
    <row r="738" spans="1:10">
      <c r="A738" s="983"/>
      <c r="B738" s="967" t="s">
        <v>873</v>
      </c>
      <c r="C738" s="1470"/>
      <c r="D738" s="986" t="s">
        <v>57</v>
      </c>
      <c r="E738" s="985"/>
      <c r="F738" s="608"/>
      <c r="G738" s="608"/>
      <c r="H738" s="608"/>
      <c r="I738" s="608"/>
      <c r="J738" s="571"/>
    </row>
    <row r="739" spans="1:10">
      <c r="A739" s="983"/>
      <c r="B739" s="967" t="s">
        <v>874</v>
      </c>
      <c r="C739" s="1470"/>
      <c r="D739" s="986" t="s">
        <v>57</v>
      </c>
      <c r="E739" s="985"/>
      <c r="F739" s="608"/>
      <c r="G739" s="608"/>
      <c r="H739" s="608"/>
      <c r="I739" s="608"/>
      <c r="J739" s="571"/>
    </row>
    <row r="740" spans="1:10">
      <c r="A740" s="983"/>
      <c r="B740" s="967" t="s">
        <v>841</v>
      </c>
      <c r="C740" s="1470"/>
      <c r="D740" s="987"/>
      <c r="E740" s="985"/>
      <c r="F740" s="985"/>
      <c r="G740" s="985"/>
      <c r="H740" s="985"/>
      <c r="I740" s="985"/>
      <c r="J740" s="571"/>
    </row>
    <row r="741" spans="1:10">
      <c r="A741" s="983"/>
      <c r="B741" s="967" t="s">
        <v>2582</v>
      </c>
      <c r="C741" s="1470"/>
      <c r="D741" s="986" t="s">
        <v>57</v>
      </c>
      <c r="E741" s="489"/>
      <c r="F741" s="988"/>
      <c r="G741" s="672"/>
      <c r="H741" s="988"/>
      <c r="I741" s="988"/>
      <c r="J741" s="571"/>
    </row>
    <row r="742" spans="1:10">
      <c r="A742" s="983"/>
      <c r="B742" s="967" t="s">
        <v>2577</v>
      </c>
      <c r="C742" s="1470"/>
      <c r="D742" s="986" t="s">
        <v>57</v>
      </c>
      <c r="E742" s="489"/>
      <c r="F742" s="988"/>
      <c r="G742" s="672"/>
      <c r="H742" s="988"/>
      <c r="I742" s="988"/>
      <c r="J742" s="550"/>
    </row>
    <row r="743" spans="1:10">
      <c r="A743" s="989"/>
      <c r="B743" s="967" t="s">
        <v>2578</v>
      </c>
      <c r="C743" s="1470"/>
      <c r="D743" s="986" t="s">
        <v>57</v>
      </c>
      <c r="E743" s="489"/>
      <c r="F743" s="988"/>
      <c r="G743" s="672"/>
      <c r="H743" s="988"/>
      <c r="I743" s="988"/>
      <c r="J743" s="571"/>
    </row>
    <row r="744" spans="1:10" s="1297" customFormat="1">
      <c r="A744" s="518"/>
      <c r="B744" s="1544" t="s">
        <v>2652</v>
      </c>
      <c r="C744" s="1459"/>
      <c r="D744" s="685" t="s">
        <v>508</v>
      </c>
      <c r="E744" s="1545"/>
      <c r="F744" s="1546"/>
      <c r="G744" s="1546"/>
      <c r="H744" s="674"/>
      <c r="I744" s="674"/>
      <c r="J744" s="558"/>
    </row>
    <row r="745" spans="1:10">
      <c r="A745" s="1416" t="s">
        <v>2603</v>
      </c>
      <c r="B745" s="1355" t="s">
        <v>666</v>
      </c>
      <c r="C745" s="1471"/>
      <c r="D745" s="995"/>
      <c r="E745" s="996"/>
      <c r="F745" s="997"/>
      <c r="G745" s="996"/>
      <c r="H745" s="997"/>
      <c r="I745" s="998"/>
      <c r="J745" s="999"/>
    </row>
    <row r="746" spans="1:10" s="1364" customFormat="1">
      <c r="A746" s="1371"/>
      <c r="B746" s="1372" t="s">
        <v>2620</v>
      </c>
      <c r="C746" s="1373"/>
      <c r="D746" s="1374" t="s">
        <v>57</v>
      </c>
      <c r="E746" s="1315"/>
      <c r="F746" s="1375"/>
      <c r="G746" s="1363"/>
      <c r="H746" s="1375"/>
      <c r="I746" s="1375"/>
      <c r="J746" s="1550"/>
    </row>
    <row r="747" spans="1:10">
      <c r="A747" s="1000"/>
      <c r="B747" s="1004" t="s">
        <v>2621</v>
      </c>
      <c r="C747" s="1471"/>
      <c r="D747" s="1002" t="s">
        <v>57</v>
      </c>
      <c r="E747" s="996"/>
      <c r="F747" s="997"/>
      <c r="G747" s="997"/>
      <c r="H747" s="997"/>
      <c r="I747" s="1005"/>
      <c r="J747" s="999"/>
    </row>
    <row r="748" spans="1:10">
      <c r="A748" s="1000"/>
      <c r="B748" s="1001" t="s">
        <v>2622</v>
      </c>
      <c r="C748" s="1471"/>
      <c r="D748" s="1006" t="s">
        <v>15</v>
      </c>
      <c r="E748" s="489"/>
      <c r="F748" s="1003"/>
      <c r="G748" s="672"/>
      <c r="H748" s="1003"/>
      <c r="I748" s="1003"/>
      <c r="J748" s="999"/>
    </row>
    <row r="749" spans="1:10" s="1297" customFormat="1">
      <c r="A749" s="518"/>
      <c r="B749" s="1544" t="s">
        <v>2652</v>
      </c>
      <c r="C749" s="1459"/>
      <c r="D749" s="685" t="s">
        <v>508</v>
      </c>
      <c r="E749" s="1545"/>
      <c r="F749" s="1546"/>
      <c r="G749" s="1546"/>
      <c r="H749" s="674"/>
      <c r="I749" s="674"/>
      <c r="J749" s="558"/>
    </row>
    <row r="750" spans="1:10">
      <c r="A750" s="661">
        <v>4.3</v>
      </c>
      <c r="B750" s="1420" t="s">
        <v>879</v>
      </c>
      <c r="C750" s="1461"/>
      <c r="D750" s="486"/>
      <c r="E750" s="958"/>
      <c r="F750" s="680"/>
      <c r="G750" s="959"/>
      <c r="H750" s="680"/>
      <c r="I750" s="680"/>
      <c r="J750" s="565"/>
    </row>
    <row r="751" spans="1:10">
      <c r="A751" s="1316" t="s">
        <v>537</v>
      </c>
      <c r="B751" s="960" t="s">
        <v>728</v>
      </c>
      <c r="C751" s="1459"/>
      <c r="D751" s="961"/>
      <c r="E751" s="683"/>
      <c r="F751" s="676"/>
      <c r="G751" s="682"/>
      <c r="H751" s="676"/>
      <c r="I751" s="676"/>
      <c r="J751" s="558"/>
    </row>
    <row r="752" spans="1:10">
      <c r="A752" s="502"/>
      <c r="B752" s="962" t="s">
        <v>730</v>
      </c>
      <c r="C752" s="1459"/>
      <c r="D752" s="510" t="s">
        <v>15</v>
      </c>
      <c r="E752" s="963"/>
      <c r="F752" s="674"/>
      <c r="G752" s="609"/>
      <c r="H752" s="674"/>
      <c r="I752" s="674"/>
      <c r="J752" s="558"/>
    </row>
    <row r="753" spans="1:10">
      <c r="A753" s="502"/>
      <c r="B753" s="962" t="s">
        <v>731</v>
      </c>
      <c r="C753" s="1459"/>
      <c r="D753" s="510" t="s">
        <v>15</v>
      </c>
      <c r="E753" s="963"/>
      <c r="F753" s="674"/>
      <c r="G753" s="609"/>
      <c r="H753" s="674"/>
      <c r="I753" s="674"/>
      <c r="J753" s="558"/>
    </row>
    <row r="754" spans="1:10">
      <c r="A754" s="502"/>
      <c r="B754" s="962" t="s">
        <v>741</v>
      </c>
      <c r="C754" s="1459"/>
      <c r="D754" s="510" t="s">
        <v>15</v>
      </c>
      <c r="E754" s="963"/>
      <c r="F754" s="674"/>
      <c r="G754" s="609"/>
      <c r="H754" s="674"/>
      <c r="I754" s="674"/>
      <c r="J754" s="558"/>
    </row>
    <row r="755" spans="1:10">
      <c r="A755" s="502"/>
      <c r="B755" s="962" t="s">
        <v>742</v>
      </c>
      <c r="C755" s="1459"/>
      <c r="D755" s="510" t="s">
        <v>15</v>
      </c>
      <c r="E755" s="963"/>
      <c r="F755" s="674"/>
      <c r="G755" s="609"/>
      <c r="H755" s="674"/>
      <c r="I755" s="674"/>
      <c r="J755" s="558"/>
    </row>
    <row r="756" spans="1:10">
      <c r="A756" s="502"/>
      <c r="B756" s="962" t="s">
        <v>1153</v>
      </c>
      <c r="C756" s="1459"/>
      <c r="D756" s="510" t="s">
        <v>15</v>
      </c>
      <c r="E756" s="963"/>
      <c r="F756" s="674"/>
      <c r="G756" s="609"/>
      <c r="H756" s="674"/>
      <c r="I756" s="674"/>
      <c r="J756" s="558"/>
    </row>
    <row r="757" spans="1:10">
      <c r="A757" s="502"/>
      <c r="B757" s="962" t="s">
        <v>1154</v>
      </c>
      <c r="C757" s="1459"/>
      <c r="D757" s="510" t="s">
        <v>15</v>
      </c>
      <c r="E757" s="963"/>
      <c r="F757" s="674"/>
      <c r="G757" s="609"/>
      <c r="H757" s="674"/>
      <c r="I757" s="674"/>
      <c r="J757" s="558"/>
    </row>
    <row r="758" spans="1:10">
      <c r="A758" s="502"/>
      <c r="B758" s="962" t="s">
        <v>743</v>
      </c>
      <c r="C758" s="1459"/>
      <c r="D758" s="510" t="s">
        <v>15</v>
      </c>
      <c r="E758" s="963"/>
      <c r="F758" s="674"/>
      <c r="G758" s="609"/>
      <c r="H758" s="674"/>
      <c r="I758" s="674"/>
      <c r="J758" s="558"/>
    </row>
    <row r="759" spans="1:10">
      <c r="A759" s="502"/>
      <c r="B759" s="962" t="s">
        <v>744</v>
      </c>
      <c r="C759" s="1459"/>
      <c r="D759" s="510" t="s">
        <v>15</v>
      </c>
      <c r="E759" s="963"/>
      <c r="F759" s="674"/>
      <c r="G759" s="609"/>
      <c r="H759" s="674"/>
      <c r="I759" s="674"/>
      <c r="J759" s="558"/>
    </row>
    <row r="760" spans="1:10">
      <c r="A760" s="502"/>
      <c r="B760" s="962" t="s">
        <v>751</v>
      </c>
      <c r="C760" s="1459"/>
      <c r="D760" s="510" t="s">
        <v>15</v>
      </c>
      <c r="E760" s="963"/>
      <c r="F760" s="674"/>
      <c r="G760" s="609"/>
      <c r="H760" s="674"/>
      <c r="I760" s="674"/>
      <c r="J760" s="558"/>
    </row>
    <row r="761" spans="1:10">
      <c r="A761" s="502"/>
      <c r="B761" s="962" t="s">
        <v>752</v>
      </c>
      <c r="C761" s="1459"/>
      <c r="D761" s="510" t="s">
        <v>15</v>
      </c>
      <c r="E761" s="963"/>
      <c r="F761" s="674"/>
      <c r="G761" s="609"/>
      <c r="H761" s="674"/>
      <c r="I761" s="674"/>
      <c r="J761" s="558"/>
    </row>
    <row r="762" spans="1:10">
      <c r="A762" s="1316" t="s">
        <v>540</v>
      </c>
      <c r="B762" s="960" t="s">
        <v>762</v>
      </c>
      <c r="C762" s="1459"/>
      <c r="D762" s="961"/>
      <c r="E762" s="683"/>
      <c r="F762" s="676"/>
      <c r="G762" s="682"/>
      <c r="H762" s="676"/>
      <c r="I762" s="676"/>
      <c r="J762" s="558"/>
    </row>
    <row r="763" spans="1:10">
      <c r="A763" s="502"/>
      <c r="B763" s="962" t="s">
        <v>763</v>
      </c>
      <c r="C763" s="1459"/>
      <c r="D763" s="510" t="s">
        <v>15</v>
      </c>
      <c r="E763" s="963"/>
      <c r="F763" s="674"/>
      <c r="G763" s="609"/>
      <c r="H763" s="674"/>
      <c r="I763" s="674"/>
      <c r="J763" s="558"/>
    </row>
    <row r="764" spans="1:10">
      <c r="A764" s="502"/>
      <c r="B764" s="962" t="s">
        <v>765</v>
      </c>
      <c r="C764" s="1459"/>
      <c r="D764" s="510" t="s">
        <v>15</v>
      </c>
      <c r="E764" s="963"/>
      <c r="F764" s="674"/>
      <c r="G764" s="609"/>
      <c r="H764" s="674"/>
      <c r="I764" s="674"/>
      <c r="J764" s="558"/>
    </row>
    <row r="765" spans="1:10">
      <c r="A765" s="502"/>
      <c r="B765" s="962" t="s">
        <v>766</v>
      </c>
      <c r="C765" s="1459"/>
      <c r="D765" s="510" t="s">
        <v>15</v>
      </c>
      <c r="E765" s="1418"/>
      <c r="F765" s="674"/>
      <c r="G765" s="609"/>
      <c r="H765" s="674"/>
      <c r="I765" s="674"/>
      <c r="J765" s="558"/>
    </row>
    <row r="766" spans="1:10">
      <c r="A766" s="502"/>
      <c r="B766" s="962" t="s">
        <v>767</v>
      </c>
      <c r="C766" s="1459"/>
      <c r="D766" s="510" t="s">
        <v>15</v>
      </c>
      <c r="E766" s="1418"/>
      <c r="F766" s="674"/>
      <c r="G766" s="609"/>
      <c r="H766" s="674"/>
      <c r="I766" s="674"/>
      <c r="J766" s="558"/>
    </row>
    <row r="767" spans="1:10">
      <c r="A767" s="502"/>
      <c r="B767" s="962" t="s">
        <v>768</v>
      </c>
      <c r="C767" s="1459"/>
      <c r="D767" s="510" t="s">
        <v>15</v>
      </c>
      <c r="E767" s="1418"/>
      <c r="F767" s="674"/>
      <c r="G767" s="609"/>
      <c r="H767" s="674"/>
      <c r="I767" s="674"/>
      <c r="J767" s="558"/>
    </row>
    <row r="768" spans="1:10">
      <c r="A768" s="502"/>
      <c r="B768" s="962" t="s">
        <v>769</v>
      </c>
      <c r="C768" s="1459"/>
      <c r="D768" s="510" t="s">
        <v>15</v>
      </c>
      <c r="E768" s="1418"/>
      <c r="F768" s="674"/>
      <c r="G768" s="609"/>
      <c r="H768" s="674"/>
      <c r="I768" s="674"/>
      <c r="J768" s="558"/>
    </row>
    <row r="769" spans="1:10">
      <c r="A769" s="502"/>
      <c r="B769" s="962" t="s">
        <v>771</v>
      </c>
      <c r="C769" s="1459"/>
      <c r="D769" s="510" t="s">
        <v>15</v>
      </c>
      <c r="E769" s="963"/>
      <c r="F769" s="674"/>
      <c r="G769" s="609"/>
      <c r="H769" s="674"/>
      <c r="I769" s="674"/>
      <c r="J769" s="558"/>
    </row>
    <row r="770" spans="1:10">
      <c r="A770" s="502"/>
      <c r="B770" s="962" t="s">
        <v>772</v>
      </c>
      <c r="C770" s="1459"/>
      <c r="D770" s="510" t="s">
        <v>15</v>
      </c>
      <c r="E770" s="963"/>
      <c r="F770" s="674"/>
      <c r="G770" s="609"/>
      <c r="H770" s="674"/>
      <c r="I770" s="674"/>
      <c r="J770" s="558"/>
    </row>
    <row r="771" spans="1:10">
      <c r="A771" s="502"/>
      <c r="B771" s="962" t="s">
        <v>1163</v>
      </c>
      <c r="C771" s="1459"/>
      <c r="D771" s="510" t="s">
        <v>15</v>
      </c>
      <c r="E771" s="963"/>
      <c r="F771" s="674"/>
      <c r="G771" s="609"/>
      <c r="H771" s="674"/>
      <c r="I771" s="674"/>
      <c r="J771" s="558"/>
    </row>
    <row r="772" spans="1:10">
      <c r="A772" s="502"/>
      <c r="B772" s="962" t="s">
        <v>773</v>
      </c>
      <c r="C772" s="1459"/>
      <c r="D772" s="510" t="s">
        <v>15</v>
      </c>
      <c r="E772" s="963"/>
      <c r="F772" s="674"/>
      <c r="G772" s="609"/>
      <c r="H772" s="674"/>
      <c r="I772" s="674"/>
      <c r="J772" s="558"/>
    </row>
    <row r="773" spans="1:10">
      <c r="A773" s="1316" t="s">
        <v>541</v>
      </c>
      <c r="B773" s="960" t="s">
        <v>776</v>
      </c>
      <c r="C773" s="1459"/>
      <c r="D773" s="961"/>
      <c r="E773" s="683"/>
      <c r="F773" s="676"/>
      <c r="G773" s="682"/>
      <c r="H773" s="676"/>
      <c r="I773" s="676"/>
      <c r="J773" s="558"/>
    </row>
    <row r="774" spans="1:10">
      <c r="A774" s="502"/>
      <c r="B774" s="962" t="s">
        <v>664</v>
      </c>
      <c r="C774" s="1459"/>
      <c r="D774" s="910" t="s">
        <v>57</v>
      </c>
      <c r="E774" s="489"/>
      <c r="F774" s="674"/>
      <c r="G774" s="672"/>
      <c r="H774" s="674"/>
      <c r="I774" s="674"/>
      <c r="J774" s="558"/>
    </row>
    <row r="775" spans="1:10">
      <c r="A775" s="502"/>
      <c r="B775" s="962" t="s">
        <v>779</v>
      </c>
      <c r="C775" s="1459"/>
      <c r="D775" s="910" t="s">
        <v>57</v>
      </c>
      <c r="E775" s="489"/>
      <c r="F775" s="674"/>
      <c r="G775" s="672"/>
      <c r="H775" s="674"/>
      <c r="I775" s="674"/>
      <c r="J775" s="558"/>
    </row>
    <row r="776" spans="1:10">
      <c r="A776" s="502"/>
      <c r="B776" s="962" t="s">
        <v>783</v>
      </c>
      <c r="C776" s="1459"/>
      <c r="D776" s="910" t="s">
        <v>57</v>
      </c>
      <c r="E776" s="489"/>
      <c r="F776" s="674"/>
      <c r="G776" s="672"/>
      <c r="H776" s="674"/>
      <c r="I776" s="674"/>
      <c r="J776" s="558"/>
    </row>
    <row r="777" spans="1:10">
      <c r="A777" s="502"/>
      <c r="B777" s="962" t="s">
        <v>784</v>
      </c>
      <c r="C777" s="1459"/>
      <c r="D777" s="910" t="s">
        <v>57</v>
      </c>
      <c r="E777" s="489"/>
      <c r="F777" s="674"/>
      <c r="G777" s="672"/>
      <c r="H777" s="674"/>
      <c r="I777" s="674"/>
      <c r="J777" s="558"/>
    </row>
    <row r="778" spans="1:10">
      <c r="A778" s="502"/>
      <c r="B778" s="962" t="s">
        <v>786</v>
      </c>
      <c r="C778" s="1459"/>
      <c r="D778" s="910" t="s">
        <v>57</v>
      </c>
      <c r="E778" s="489"/>
      <c r="F778" s="674"/>
      <c r="G778" s="672"/>
      <c r="H778" s="674"/>
      <c r="I778" s="674"/>
      <c r="J778" s="558"/>
    </row>
    <row r="779" spans="1:10">
      <c r="A779" s="502"/>
      <c r="B779" s="962" t="s">
        <v>787</v>
      </c>
      <c r="C779" s="1459"/>
      <c r="D779" s="910" t="s">
        <v>57</v>
      </c>
      <c r="E779" s="489"/>
      <c r="F779" s="674"/>
      <c r="G779" s="672"/>
      <c r="H779" s="674"/>
      <c r="I779" s="674"/>
      <c r="J779" s="558"/>
    </row>
    <row r="780" spans="1:10">
      <c r="A780" s="502"/>
      <c r="B780" s="962" t="s">
        <v>788</v>
      </c>
      <c r="C780" s="1459"/>
      <c r="D780" s="910" t="s">
        <v>57</v>
      </c>
      <c r="E780" s="489"/>
      <c r="F780" s="674"/>
      <c r="G780" s="672"/>
      <c r="H780" s="674"/>
      <c r="I780" s="674"/>
      <c r="J780" s="558"/>
    </row>
    <row r="781" spans="1:10" s="1297" customFormat="1">
      <c r="A781" s="518"/>
      <c r="B781" s="1544" t="s">
        <v>2652</v>
      </c>
      <c r="C781" s="1459"/>
      <c r="D781" s="685" t="s">
        <v>508</v>
      </c>
      <c r="E781" s="1545"/>
      <c r="F781" s="1546"/>
      <c r="G781" s="1546"/>
      <c r="H781" s="674"/>
      <c r="I781" s="674"/>
      <c r="J781" s="558"/>
    </row>
    <row r="782" spans="1:10">
      <c r="A782" s="1316" t="s">
        <v>2623</v>
      </c>
      <c r="B782" s="960" t="s">
        <v>793</v>
      </c>
      <c r="C782" s="1459"/>
      <c r="D782" s="961"/>
      <c r="E782" s="683"/>
      <c r="F782" s="676"/>
      <c r="G782" s="682"/>
      <c r="H782" s="676"/>
      <c r="I782" s="676"/>
      <c r="J782" s="558"/>
    </row>
    <row r="783" spans="1:10">
      <c r="A783" s="502"/>
      <c r="B783" s="962" t="s">
        <v>795</v>
      </c>
      <c r="C783" s="1459"/>
      <c r="D783" s="910" t="s">
        <v>57</v>
      </c>
      <c r="E783" s="489"/>
      <c r="F783" s="674"/>
      <c r="G783" s="672"/>
      <c r="H783" s="674"/>
      <c r="I783" s="674"/>
      <c r="J783" s="558"/>
    </row>
    <row r="784" spans="1:10">
      <c r="A784" s="502"/>
      <c r="B784" s="962" t="s">
        <v>800</v>
      </c>
      <c r="C784" s="1459"/>
      <c r="D784" s="910" t="s">
        <v>57</v>
      </c>
      <c r="E784" s="489"/>
      <c r="F784" s="674"/>
      <c r="G784" s="672"/>
      <c r="H784" s="674"/>
      <c r="I784" s="674"/>
      <c r="J784" s="558"/>
    </row>
    <row r="785" spans="1:10">
      <c r="A785" s="502"/>
      <c r="B785" s="962" t="s">
        <v>801</v>
      </c>
      <c r="C785" s="1459"/>
      <c r="D785" s="910" t="s">
        <v>57</v>
      </c>
      <c r="E785" s="489"/>
      <c r="F785" s="674"/>
      <c r="G785" s="672"/>
      <c r="H785" s="674"/>
      <c r="I785" s="674"/>
      <c r="J785" s="558"/>
    </row>
    <row r="786" spans="1:10">
      <c r="A786" s="502"/>
      <c r="B786" s="962" t="s">
        <v>802</v>
      </c>
      <c r="C786" s="1459"/>
      <c r="D786" s="910" t="s">
        <v>57</v>
      </c>
      <c r="E786" s="489"/>
      <c r="F786" s="674"/>
      <c r="G786" s="672"/>
      <c r="H786" s="674"/>
      <c r="I786" s="674"/>
      <c r="J786" s="558"/>
    </row>
    <row r="787" spans="1:10">
      <c r="A787" s="502"/>
      <c r="B787" s="962" t="s">
        <v>803</v>
      </c>
      <c r="C787" s="1459"/>
      <c r="D787" s="910" t="s">
        <v>57</v>
      </c>
      <c r="E787" s="489"/>
      <c r="F787" s="674"/>
      <c r="G787" s="672"/>
      <c r="H787" s="674"/>
      <c r="I787" s="674"/>
      <c r="J787" s="558"/>
    </row>
    <row r="788" spans="1:10">
      <c r="A788" s="502"/>
      <c r="B788" s="962" t="s">
        <v>804</v>
      </c>
      <c r="C788" s="1459"/>
      <c r="D788" s="910" t="s">
        <v>57</v>
      </c>
      <c r="E788" s="489"/>
      <c r="F788" s="674"/>
      <c r="G788" s="672"/>
      <c r="H788" s="674"/>
      <c r="I788" s="674"/>
      <c r="J788" s="558"/>
    </row>
    <row r="789" spans="1:10">
      <c r="A789" s="502"/>
      <c r="B789" s="962" t="s">
        <v>805</v>
      </c>
      <c r="C789" s="1459"/>
      <c r="D789" s="910" t="s">
        <v>57</v>
      </c>
      <c r="E789" s="489"/>
      <c r="F789" s="674"/>
      <c r="G789" s="672"/>
      <c r="H789" s="674"/>
      <c r="I789" s="674"/>
      <c r="J789" s="558"/>
    </row>
    <row r="790" spans="1:10">
      <c r="A790" s="502"/>
      <c r="B790" s="962" t="s">
        <v>806</v>
      </c>
      <c r="C790" s="1459"/>
      <c r="D790" s="910" t="s">
        <v>57</v>
      </c>
      <c r="E790" s="489"/>
      <c r="F790" s="674"/>
      <c r="G790" s="672"/>
      <c r="H790" s="674"/>
      <c r="I790" s="674"/>
      <c r="J790" s="558"/>
    </row>
    <row r="791" spans="1:10">
      <c r="A791" s="502"/>
      <c r="B791" s="962" t="s">
        <v>807</v>
      </c>
      <c r="C791" s="1459"/>
      <c r="D791" s="910" t="s">
        <v>57</v>
      </c>
      <c r="E791" s="489"/>
      <c r="F791" s="674"/>
      <c r="G791" s="672"/>
      <c r="H791" s="674"/>
      <c r="I791" s="674"/>
      <c r="J791" s="558"/>
    </row>
    <row r="792" spans="1:10" s="1297" customFormat="1">
      <c r="A792" s="518"/>
      <c r="B792" s="1544" t="s">
        <v>2652</v>
      </c>
      <c r="C792" s="1459"/>
      <c r="D792" s="685" t="s">
        <v>508</v>
      </c>
      <c r="E792" s="1545"/>
      <c r="F792" s="1546"/>
      <c r="G792" s="1546"/>
      <c r="H792" s="674"/>
      <c r="I792" s="674"/>
      <c r="J792" s="558"/>
    </row>
    <row r="793" spans="1:10">
      <c r="A793" s="1316" t="s">
        <v>2624</v>
      </c>
      <c r="B793" s="960" t="s">
        <v>811</v>
      </c>
      <c r="C793" s="1459"/>
      <c r="D793" s="961"/>
      <c r="E793" s="683"/>
      <c r="F793" s="676"/>
      <c r="G793" s="682"/>
      <c r="H793" s="676"/>
      <c r="I793" s="676"/>
      <c r="J793" s="558"/>
    </row>
    <row r="794" spans="1:10">
      <c r="A794" s="502"/>
      <c r="B794" s="962" t="s">
        <v>812</v>
      </c>
      <c r="C794" s="1459"/>
      <c r="D794" s="510" t="s">
        <v>15</v>
      </c>
      <c r="E794" s="489"/>
      <c r="F794" s="674"/>
      <c r="G794" s="672"/>
      <c r="H794" s="674"/>
      <c r="I794" s="674"/>
      <c r="J794" s="558"/>
    </row>
    <row r="795" spans="1:10">
      <c r="A795" s="502"/>
      <c r="B795" s="962" t="s">
        <v>813</v>
      </c>
      <c r="C795" s="1459"/>
      <c r="D795" s="510" t="s">
        <v>15</v>
      </c>
      <c r="E795" s="489"/>
      <c r="F795" s="674"/>
      <c r="G795" s="672"/>
      <c r="H795" s="674"/>
      <c r="I795" s="674"/>
      <c r="J795" s="558"/>
    </row>
    <row r="796" spans="1:10">
      <c r="A796" s="502"/>
      <c r="B796" s="962" t="s">
        <v>814</v>
      </c>
      <c r="C796" s="1459"/>
      <c r="D796" s="510" t="s">
        <v>15</v>
      </c>
      <c r="E796" s="489"/>
      <c r="F796" s="674"/>
      <c r="G796" s="672"/>
      <c r="H796" s="674"/>
      <c r="I796" s="674"/>
      <c r="J796" s="558"/>
    </row>
    <row r="797" spans="1:10">
      <c r="A797" s="502"/>
      <c r="B797" s="962" t="s">
        <v>815</v>
      </c>
      <c r="C797" s="1459"/>
      <c r="D797" s="510" t="s">
        <v>15</v>
      </c>
      <c r="E797" s="489"/>
      <c r="F797" s="674"/>
      <c r="G797" s="672"/>
      <c r="H797" s="674"/>
      <c r="I797" s="674"/>
      <c r="J797" s="558"/>
    </row>
    <row r="798" spans="1:10">
      <c r="A798" s="502"/>
      <c r="B798" s="962" t="s">
        <v>816</v>
      </c>
      <c r="C798" s="1459"/>
      <c r="D798" s="510" t="s">
        <v>15</v>
      </c>
      <c r="E798" s="489"/>
      <c r="F798" s="674"/>
      <c r="G798" s="672"/>
      <c r="H798" s="674"/>
      <c r="I798" s="674"/>
      <c r="J798" s="558"/>
    </row>
    <row r="799" spans="1:10">
      <c r="A799" s="502"/>
      <c r="B799" s="962" t="s">
        <v>817</v>
      </c>
      <c r="C799" s="1459"/>
      <c r="D799" s="510" t="s">
        <v>15</v>
      </c>
      <c r="E799" s="489"/>
      <c r="F799" s="674"/>
      <c r="G799" s="672"/>
      <c r="H799" s="674"/>
      <c r="I799" s="674"/>
      <c r="J799" s="558"/>
    </row>
    <row r="800" spans="1:10">
      <c r="A800" s="502"/>
      <c r="B800" s="962" t="s">
        <v>818</v>
      </c>
      <c r="C800" s="1459"/>
      <c r="D800" s="510" t="s">
        <v>15</v>
      </c>
      <c r="E800" s="489"/>
      <c r="F800" s="674"/>
      <c r="G800" s="672"/>
      <c r="H800" s="674"/>
      <c r="I800" s="674"/>
      <c r="J800" s="558"/>
    </row>
    <row r="801" spans="1:10">
      <c r="A801" s="502"/>
      <c r="B801" s="962" t="s">
        <v>819</v>
      </c>
      <c r="C801" s="1459"/>
      <c r="D801" s="510" t="s">
        <v>15</v>
      </c>
      <c r="E801" s="489"/>
      <c r="F801" s="674"/>
      <c r="G801" s="672"/>
      <c r="H801" s="674"/>
      <c r="I801" s="674"/>
      <c r="J801" s="558"/>
    </row>
    <row r="802" spans="1:10">
      <c r="A802" s="1316" t="s">
        <v>2625</v>
      </c>
      <c r="B802" s="965" t="s">
        <v>836</v>
      </c>
      <c r="C802" s="1445"/>
      <c r="D802" s="506"/>
      <c r="E802" s="506"/>
      <c r="F802" s="489"/>
      <c r="G802" s="676"/>
      <c r="H802" s="676"/>
      <c r="I802" s="676"/>
      <c r="J802" s="550"/>
    </row>
    <row r="803" spans="1:10">
      <c r="A803" s="966"/>
      <c r="B803" s="967" t="s">
        <v>837</v>
      </c>
      <c r="C803" s="1462"/>
      <c r="D803" s="968" t="s">
        <v>15</v>
      </c>
      <c r="E803" s="673"/>
      <c r="F803" s="673"/>
      <c r="G803" s="673"/>
      <c r="H803" s="673"/>
      <c r="I803" s="673"/>
      <c r="J803" s="550"/>
    </row>
    <row r="804" spans="1:10">
      <c r="A804" s="966"/>
      <c r="B804" s="967" t="s">
        <v>838</v>
      </c>
      <c r="C804" s="1462"/>
      <c r="D804" s="910" t="s">
        <v>57</v>
      </c>
      <c r="E804" s="673"/>
      <c r="F804" s="673"/>
      <c r="G804" s="673"/>
      <c r="H804" s="673"/>
      <c r="I804" s="673"/>
      <c r="J804" s="550"/>
    </row>
    <row r="805" spans="1:10">
      <c r="A805" s="966"/>
      <c r="B805" s="967" t="s">
        <v>839</v>
      </c>
      <c r="C805" s="1462"/>
      <c r="D805" s="968"/>
      <c r="E805" s="673"/>
      <c r="F805" s="673"/>
      <c r="G805" s="673"/>
      <c r="H805" s="673"/>
      <c r="I805" s="673"/>
      <c r="J805" s="550"/>
    </row>
    <row r="806" spans="1:10">
      <c r="A806" s="966"/>
      <c r="B806" s="967" t="s">
        <v>840</v>
      </c>
      <c r="C806" s="1462"/>
      <c r="D806" s="910" t="s">
        <v>57</v>
      </c>
      <c r="E806" s="673"/>
      <c r="F806" s="673"/>
      <c r="G806" s="673"/>
      <c r="H806" s="673"/>
      <c r="I806" s="673"/>
      <c r="J806" s="550"/>
    </row>
    <row r="807" spans="1:10">
      <c r="A807" s="966"/>
      <c r="B807" s="967" t="s">
        <v>841</v>
      </c>
      <c r="C807" s="1462"/>
      <c r="D807" s="968"/>
      <c r="E807" s="673"/>
      <c r="F807" s="673"/>
      <c r="G807" s="673"/>
      <c r="H807" s="673"/>
      <c r="I807" s="673"/>
      <c r="J807" s="550"/>
    </row>
    <row r="808" spans="1:10">
      <c r="A808" s="966"/>
      <c r="B808" s="967" t="s">
        <v>842</v>
      </c>
      <c r="C808" s="1462"/>
      <c r="D808" s="910" t="s">
        <v>57</v>
      </c>
      <c r="E808" s="489"/>
      <c r="F808" s="674"/>
      <c r="G808" s="672"/>
      <c r="H808" s="674"/>
      <c r="I808" s="674"/>
      <c r="J808" s="550"/>
    </row>
    <row r="809" spans="1:10">
      <c r="A809" s="969"/>
      <c r="B809" s="967" t="s">
        <v>843</v>
      </c>
      <c r="C809" s="1462"/>
      <c r="D809" s="910" t="s">
        <v>57</v>
      </c>
      <c r="E809" s="489"/>
      <c r="F809" s="674"/>
      <c r="G809" s="672"/>
      <c r="H809" s="674"/>
      <c r="I809" s="674"/>
      <c r="J809" s="550"/>
    </row>
    <row r="810" spans="1:10" s="1297" customFormat="1">
      <c r="A810" s="518"/>
      <c r="B810" s="1544" t="s">
        <v>2652</v>
      </c>
      <c r="C810" s="1459"/>
      <c r="D810" s="685" t="s">
        <v>508</v>
      </c>
      <c r="E810" s="1545"/>
      <c r="F810" s="1546"/>
      <c r="G810" s="1546"/>
      <c r="H810" s="674"/>
      <c r="I810" s="674"/>
      <c r="J810" s="558"/>
    </row>
    <row r="811" spans="1:10">
      <c r="A811" s="1316" t="s">
        <v>2626</v>
      </c>
      <c r="B811" s="572" t="s">
        <v>844</v>
      </c>
      <c r="C811" s="1463"/>
      <c r="D811" s="682"/>
      <c r="E811" s="682"/>
      <c r="F811" s="660"/>
      <c r="G811" s="676"/>
      <c r="H811" s="676"/>
      <c r="I811" s="676"/>
      <c r="J811" s="676"/>
    </row>
    <row r="812" spans="1:10">
      <c r="A812" s="966"/>
      <c r="B812" s="967" t="s">
        <v>845</v>
      </c>
      <c r="C812" s="1464"/>
      <c r="D812" s="573"/>
      <c r="E812" s="573"/>
      <c r="F812" s="573"/>
      <c r="G812" s="573"/>
      <c r="H812" s="573"/>
      <c r="I812" s="573"/>
      <c r="J812" s="550"/>
    </row>
    <row r="813" spans="1:10">
      <c r="A813" s="966"/>
      <c r="B813" s="967" t="s">
        <v>889</v>
      </c>
      <c r="C813" s="1462"/>
      <c r="D813" s="968" t="s">
        <v>15</v>
      </c>
      <c r="E813" s="673"/>
      <c r="F813" s="608"/>
      <c r="G813" s="608"/>
      <c r="H813" s="608"/>
      <c r="I813" s="608"/>
      <c r="J813" s="550"/>
    </row>
    <row r="814" spans="1:10">
      <c r="A814" s="1024"/>
      <c r="B814" s="967" t="s">
        <v>890</v>
      </c>
      <c r="C814" s="1472"/>
      <c r="D814" s="1006" t="s">
        <v>15</v>
      </c>
      <c r="E814" s="1025"/>
      <c r="F814" s="1025"/>
      <c r="G814" s="1025"/>
      <c r="H814" s="1025"/>
      <c r="I814" s="1025"/>
      <c r="J814" s="550"/>
    </row>
    <row r="815" spans="1:10">
      <c r="A815" s="1024"/>
      <c r="B815" s="967" t="s">
        <v>847</v>
      </c>
      <c r="C815" s="1472"/>
      <c r="D815" s="1006" t="s">
        <v>15</v>
      </c>
      <c r="E815" s="1025"/>
      <c r="F815" s="1025"/>
      <c r="G815" s="1025"/>
      <c r="H815" s="1025"/>
      <c r="I815" s="1025"/>
      <c r="J815" s="550"/>
    </row>
    <row r="816" spans="1:10">
      <c r="A816" s="1024"/>
      <c r="B816" s="967" t="s">
        <v>848</v>
      </c>
      <c r="C816" s="1472"/>
      <c r="D816" s="1006" t="s">
        <v>15</v>
      </c>
      <c r="E816" s="1025"/>
      <c r="F816" s="1025"/>
      <c r="G816" s="1025"/>
      <c r="H816" s="1025"/>
      <c r="I816" s="1025"/>
      <c r="J816" s="550"/>
    </row>
    <row r="817" spans="1:10">
      <c r="A817" s="1024"/>
      <c r="B817" s="967" t="s">
        <v>849</v>
      </c>
      <c r="C817" s="1472"/>
      <c r="D817" s="1002" t="s">
        <v>57</v>
      </c>
      <c r="E817" s="1025"/>
      <c r="F817" s="1025"/>
      <c r="G817" s="1025"/>
      <c r="H817" s="1025"/>
      <c r="I817" s="1025"/>
      <c r="J817" s="550"/>
    </row>
    <row r="818" spans="1:10">
      <c r="A818" s="1024"/>
      <c r="B818" s="967" t="s">
        <v>838</v>
      </c>
      <c r="C818" s="1472"/>
      <c r="D818" s="1002" t="s">
        <v>57</v>
      </c>
      <c r="E818" s="1025"/>
      <c r="F818" s="1025"/>
      <c r="G818" s="1025"/>
      <c r="H818" s="1025"/>
      <c r="I818" s="1025"/>
      <c r="J818" s="550"/>
    </row>
    <row r="819" spans="1:10">
      <c r="A819" s="1024"/>
      <c r="B819" s="967" t="s">
        <v>850</v>
      </c>
      <c r="C819" s="1472"/>
      <c r="D819" s="1006"/>
      <c r="E819" s="1025"/>
      <c r="F819" s="1025"/>
      <c r="G819" s="1025"/>
      <c r="H819" s="1025"/>
      <c r="I819" s="1025"/>
      <c r="J819" s="550"/>
    </row>
    <row r="820" spans="1:10">
      <c r="A820" s="1024"/>
      <c r="B820" s="967" t="s">
        <v>851</v>
      </c>
      <c r="C820" s="1472"/>
      <c r="D820" s="1002" t="s">
        <v>57</v>
      </c>
      <c r="E820" s="1025"/>
      <c r="F820" s="608"/>
      <c r="G820" s="608"/>
      <c r="H820" s="608"/>
      <c r="I820" s="608"/>
      <c r="J820" s="550"/>
    </row>
    <row r="821" spans="1:10">
      <c r="A821" s="1024"/>
      <c r="B821" s="967" t="s">
        <v>841</v>
      </c>
      <c r="C821" s="1473"/>
      <c r="D821" s="1006"/>
      <c r="E821" s="1025"/>
      <c r="F821" s="1025"/>
      <c r="G821" s="1025"/>
      <c r="H821" s="1025"/>
      <c r="I821" s="1025"/>
      <c r="J821" s="550"/>
    </row>
    <row r="822" spans="1:10">
      <c r="A822" s="1024"/>
      <c r="B822" s="967" t="s">
        <v>842</v>
      </c>
      <c r="C822" s="1473"/>
      <c r="D822" s="1002" t="s">
        <v>57</v>
      </c>
      <c r="E822" s="489"/>
      <c r="F822" s="1003"/>
      <c r="G822" s="672"/>
      <c r="H822" s="1003"/>
      <c r="I822" s="1003"/>
      <c r="J822" s="550"/>
    </row>
    <row r="823" spans="1:10">
      <c r="A823" s="1026"/>
      <c r="B823" s="967" t="s">
        <v>843</v>
      </c>
      <c r="C823" s="1473"/>
      <c r="D823" s="1002" t="s">
        <v>57</v>
      </c>
      <c r="E823" s="489"/>
      <c r="F823" s="1003"/>
      <c r="G823" s="672"/>
      <c r="H823" s="1003"/>
      <c r="I823" s="1003"/>
      <c r="J823" s="550"/>
    </row>
    <row r="824" spans="1:10" s="1297" customFormat="1">
      <c r="A824" s="518"/>
      <c r="B824" s="1544" t="s">
        <v>2652</v>
      </c>
      <c r="C824" s="1459"/>
      <c r="D824" s="685" t="s">
        <v>508</v>
      </c>
      <c r="E824" s="1545"/>
      <c r="F824" s="1546"/>
      <c r="G824" s="1546"/>
      <c r="H824" s="674"/>
      <c r="I824" s="674"/>
      <c r="J824" s="558"/>
    </row>
    <row r="825" spans="1:10">
      <c r="A825" s="1316" t="s">
        <v>2627</v>
      </c>
      <c r="B825" s="601" t="s">
        <v>852</v>
      </c>
      <c r="C825" s="1467"/>
      <c r="D825" s="574"/>
      <c r="E825" s="575"/>
      <c r="F825" s="568"/>
      <c r="G825" s="568"/>
      <c r="H825" s="568"/>
      <c r="I825" s="568"/>
      <c r="J825" s="569"/>
    </row>
    <row r="826" spans="1:10">
      <c r="A826" s="966"/>
      <c r="B826" s="967" t="s">
        <v>891</v>
      </c>
      <c r="C826" s="1462"/>
      <c r="D826" s="968" t="s">
        <v>15</v>
      </c>
      <c r="E826" s="673"/>
      <c r="F826" s="608"/>
      <c r="G826" s="608"/>
      <c r="H826" s="608"/>
      <c r="I826" s="608"/>
      <c r="J826" s="1027"/>
    </row>
    <row r="827" spans="1:10">
      <c r="A827" s="1024"/>
      <c r="B827" s="1028" t="s">
        <v>854</v>
      </c>
      <c r="C827" s="1472"/>
      <c r="D827" s="1006" t="s">
        <v>15</v>
      </c>
      <c r="E827" s="1025"/>
      <c r="F827" s="992"/>
      <c r="G827" s="992"/>
      <c r="H827" s="992"/>
      <c r="I827" s="992"/>
      <c r="J827" s="1027"/>
    </row>
    <row r="828" spans="1:10">
      <c r="A828" s="1024"/>
      <c r="B828" s="1028" t="s">
        <v>892</v>
      </c>
      <c r="C828" s="1472"/>
      <c r="D828" s="1006" t="s">
        <v>15</v>
      </c>
      <c r="E828" s="1025"/>
      <c r="F828" s="992"/>
      <c r="G828" s="992"/>
      <c r="H828" s="992"/>
      <c r="I828" s="992"/>
      <c r="J828" s="1027"/>
    </row>
    <row r="829" spans="1:10">
      <c r="A829" s="1024"/>
      <c r="B829" s="1028" t="s">
        <v>893</v>
      </c>
      <c r="C829" s="1472"/>
      <c r="D829" s="1029"/>
      <c r="E829" s="1025"/>
      <c r="F829" s="1025"/>
      <c r="G829" s="1025"/>
      <c r="H829" s="1025"/>
      <c r="I829" s="1025"/>
      <c r="J829" s="1027"/>
    </row>
    <row r="830" spans="1:10">
      <c r="A830" s="1024"/>
      <c r="B830" s="1030" t="s">
        <v>894</v>
      </c>
      <c r="C830" s="1474"/>
      <c r="D830" s="1031"/>
      <c r="E830" s="1031"/>
      <c r="F830" s="1031"/>
      <c r="G830" s="1031"/>
      <c r="H830" s="1031"/>
      <c r="I830" s="1031"/>
      <c r="J830" s="1027"/>
    </row>
    <row r="831" spans="1:10">
      <c r="A831" s="1024"/>
      <c r="B831" s="1028" t="s">
        <v>853</v>
      </c>
      <c r="C831" s="1472"/>
      <c r="D831" s="1006" t="s">
        <v>15</v>
      </c>
      <c r="E831" s="1025"/>
      <c r="F831" s="992"/>
      <c r="G831" s="992"/>
      <c r="H831" s="992"/>
      <c r="I831" s="992"/>
      <c r="J831" s="550"/>
    </row>
    <row r="832" spans="1:10">
      <c r="A832" s="1024"/>
      <c r="B832" s="1028" t="s">
        <v>855</v>
      </c>
      <c r="C832" s="1472"/>
      <c r="D832" s="1006" t="s">
        <v>15</v>
      </c>
      <c r="E832" s="1025"/>
      <c r="F832" s="608"/>
      <c r="G832" s="608"/>
      <c r="H832" s="608"/>
      <c r="I832" s="608"/>
      <c r="J832" s="676"/>
    </row>
    <row r="833" spans="1:10">
      <c r="A833" s="966"/>
      <c r="B833" s="967" t="s">
        <v>856</v>
      </c>
      <c r="C833" s="1462"/>
      <c r="D833" s="968" t="s">
        <v>15</v>
      </c>
      <c r="E833" s="673"/>
      <c r="F833" s="608"/>
      <c r="G833" s="608"/>
      <c r="H833" s="608"/>
      <c r="I833" s="608"/>
      <c r="J833" s="676"/>
    </row>
    <row r="834" spans="1:10">
      <c r="A834" s="966"/>
      <c r="B834" s="967" t="s">
        <v>857</v>
      </c>
      <c r="C834" s="1462"/>
      <c r="D834" s="968" t="s">
        <v>15</v>
      </c>
      <c r="E834" s="673"/>
      <c r="F834" s="608"/>
      <c r="G834" s="608"/>
      <c r="H834" s="608"/>
      <c r="I834" s="608"/>
      <c r="J834" s="676"/>
    </row>
    <row r="835" spans="1:10">
      <c r="A835" s="966"/>
      <c r="B835" s="967" t="s">
        <v>895</v>
      </c>
      <c r="C835" s="1462"/>
      <c r="D835" s="968" t="s">
        <v>15</v>
      </c>
      <c r="E835" s="673"/>
      <c r="F835" s="608"/>
      <c r="G835" s="608"/>
      <c r="H835" s="608"/>
      <c r="I835" s="608"/>
      <c r="J835" s="676"/>
    </row>
    <row r="836" spans="1:10">
      <c r="A836" s="966"/>
      <c r="B836" s="967" t="s">
        <v>858</v>
      </c>
      <c r="C836" s="1462"/>
      <c r="D836" s="968" t="s">
        <v>15</v>
      </c>
      <c r="E836" s="673"/>
      <c r="F836" s="608"/>
      <c r="G836" s="608"/>
      <c r="H836" s="608"/>
      <c r="I836" s="608"/>
      <c r="J836" s="676"/>
    </row>
    <row r="837" spans="1:10">
      <c r="A837" s="966"/>
      <c r="B837" s="967" t="s">
        <v>896</v>
      </c>
      <c r="C837" s="1462"/>
      <c r="D837" s="968" t="s">
        <v>15</v>
      </c>
      <c r="E837" s="673"/>
      <c r="F837" s="608"/>
      <c r="G837" s="608"/>
      <c r="H837" s="608"/>
      <c r="I837" s="608"/>
      <c r="J837" s="676"/>
    </row>
    <row r="838" spans="1:10">
      <c r="A838" s="966"/>
      <c r="B838" s="967" t="s">
        <v>859</v>
      </c>
      <c r="C838" s="1462"/>
      <c r="D838" s="968" t="s">
        <v>15</v>
      </c>
      <c r="E838" s="673"/>
      <c r="F838" s="608"/>
      <c r="G838" s="608"/>
      <c r="H838" s="608"/>
      <c r="I838" s="608"/>
      <c r="J838" s="676"/>
    </row>
    <row r="839" spans="1:10">
      <c r="A839" s="966"/>
      <c r="B839" s="967" t="s">
        <v>860</v>
      </c>
      <c r="C839" s="1462"/>
      <c r="D839" s="968" t="s">
        <v>15</v>
      </c>
      <c r="E839" s="673"/>
      <c r="F839" s="608"/>
      <c r="G839" s="608"/>
      <c r="H839" s="608"/>
      <c r="I839" s="608"/>
      <c r="J839" s="676"/>
    </row>
    <row r="840" spans="1:10">
      <c r="A840" s="966"/>
      <c r="B840" s="967" t="s">
        <v>897</v>
      </c>
      <c r="C840" s="1462"/>
      <c r="D840" s="968" t="s">
        <v>15</v>
      </c>
      <c r="E840" s="673"/>
      <c r="F840" s="608"/>
      <c r="G840" s="608"/>
      <c r="H840" s="608"/>
      <c r="I840" s="608"/>
      <c r="J840" s="676"/>
    </row>
    <row r="841" spans="1:10">
      <c r="A841" s="966"/>
      <c r="B841" s="967" t="s">
        <v>861</v>
      </c>
      <c r="C841" s="1462"/>
      <c r="D841" s="978"/>
      <c r="E841" s="673"/>
      <c r="F841" s="673"/>
      <c r="G841" s="673"/>
      <c r="H841" s="673"/>
      <c r="I841" s="673"/>
      <c r="J841" s="676"/>
    </row>
    <row r="842" spans="1:10">
      <c r="A842" s="969"/>
      <c r="B842" s="967" t="s">
        <v>2573</v>
      </c>
      <c r="C842" s="1462"/>
      <c r="D842" s="910" t="s">
        <v>57</v>
      </c>
      <c r="E842" s="673"/>
      <c r="F842" s="608"/>
      <c r="G842" s="608"/>
      <c r="H842" s="608"/>
      <c r="I842" s="608"/>
      <c r="J842" s="676"/>
    </row>
    <row r="843" spans="1:10">
      <c r="A843" s="969"/>
      <c r="B843" s="967" t="s">
        <v>2574</v>
      </c>
      <c r="C843" s="1462"/>
      <c r="D843" s="910" t="s">
        <v>57</v>
      </c>
      <c r="E843" s="673"/>
      <c r="F843" s="608"/>
      <c r="G843" s="608"/>
      <c r="H843" s="608"/>
      <c r="I843" s="608"/>
      <c r="J843" s="676"/>
    </row>
    <row r="844" spans="1:10">
      <c r="A844" s="966"/>
      <c r="B844" s="967" t="s">
        <v>2575</v>
      </c>
      <c r="C844" s="1462"/>
      <c r="D844" s="910" t="s">
        <v>57</v>
      </c>
      <c r="E844" s="673"/>
      <c r="F844" s="608"/>
      <c r="G844" s="608"/>
      <c r="H844" s="608"/>
      <c r="I844" s="608"/>
      <c r="J844" s="676"/>
    </row>
    <row r="845" spans="1:10">
      <c r="A845" s="966"/>
      <c r="B845" s="967" t="s">
        <v>2576</v>
      </c>
      <c r="C845" s="1462"/>
      <c r="D845" s="910" t="s">
        <v>57</v>
      </c>
      <c r="E845" s="673"/>
      <c r="F845" s="608"/>
      <c r="G845" s="608"/>
      <c r="H845" s="608"/>
      <c r="I845" s="608"/>
      <c r="J845" s="676"/>
    </row>
    <row r="846" spans="1:10">
      <c r="A846" s="969"/>
      <c r="B846" s="967" t="s">
        <v>841</v>
      </c>
      <c r="C846" s="1462"/>
      <c r="D846" s="978"/>
      <c r="E846" s="673"/>
      <c r="F846" s="673"/>
      <c r="G846" s="673"/>
      <c r="H846" s="673"/>
      <c r="I846" s="673"/>
      <c r="J846" s="676"/>
    </row>
    <row r="847" spans="1:10">
      <c r="A847" s="969"/>
      <c r="B847" s="967" t="s">
        <v>2577</v>
      </c>
      <c r="C847" s="1462"/>
      <c r="D847" s="910" t="s">
        <v>57</v>
      </c>
      <c r="E847" s="489"/>
      <c r="F847" s="674"/>
      <c r="G847" s="672"/>
      <c r="H847" s="674"/>
      <c r="I847" s="674"/>
      <c r="J847" s="676"/>
    </row>
    <row r="848" spans="1:10">
      <c r="A848" s="969"/>
      <c r="B848" s="967" t="s">
        <v>2578</v>
      </c>
      <c r="C848" s="1462"/>
      <c r="D848" s="910" t="s">
        <v>57</v>
      </c>
      <c r="E848" s="489"/>
      <c r="F848" s="674"/>
      <c r="G848" s="672"/>
      <c r="H848" s="674"/>
      <c r="I848" s="674"/>
      <c r="J848" s="676"/>
    </row>
    <row r="849" spans="1:10">
      <c r="A849" s="969"/>
      <c r="B849" s="967" t="s">
        <v>868</v>
      </c>
      <c r="C849" s="1462"/>
      <c r="D849" s="978"/>
      <c r="E849" s="673"/>
      <c r="F849" s="608"/>
      <c r="G849" s="608"/>
      <c r="H849" s="608"/>
      <c r="I849" s="608"/>
      <c r="J849" s="676"/>
    </row>
    <row r="850" spans="1:10">
      <c r="A850" s="966"/>
      <c r="B850" s="967" t="s">
        <v>2579</v>
      </c>
      <c r="C850" s="1462"/>
      <c r="D850" s="910" t="s">
        <v>57</v>
      </c>
      <c r="E850" s="673"/>
      <c r="F850" s="608"/>
      <c r="G850" s="608"/>
      <c r="H850" s="608"/>
      <c r="I850" s="608"/>
      <c r="J850" s="676"/>
    </row>
    <row r="851" spans="1:10" s="1297" customFormat="1">
      <c r="A851" s="518"/>
      <c r="B851" s="1544" t="s">
        <v>2652</v>
      </c>
      <c r="C851" s="1459"/>
      <c r="D851" s="685" t="s">
        <v>508</v>
      </c>
      <c r="E851" s="1545"/>
      <c r="F851" s="1546"/>
      <c r="G851" s="1546"/>
      <c r="H851" s="674"/>
      <c r="I851" s="674"/>
      <c r="J851" s="558"/>
    </row>
    <row r="852" spans="1:10">
      <c r="A852" s="1316" t="s">
        <v>2628</v>
      </c>
      <c r="B852" s="601" t="s">
        <v>870</v>
      </c>
      <c r="C852" s="1468"/>
      <c r="D852" s="603"/>
      <c r="E852" s="604"/>
      <c r="F852" s="571"/>
      <c r="G852" s="534"/>
      <c r="H852" s="571"/>
      <c r="I852" s="571"/>
      <c r="J852" s="569"/>
    </row>
    <row r="853" spans="1:10">
      <c r="A853" s="1033"/>
      <c r="B853" s="967" t="s">
        <v>871</v>
      </c>
      <c r="C853" s="1468"/>
      <c r="D853" s="603"/>
      <c r="E853" s="604"/>
      <c r="F853" s="571"/>
      <c r="G853" s="534"/>
      <c r="H853" s="571"/>
      <c r="I853" s="571"/>
      <c r="J853" s="571"/>
    </row>
    <row r="854" spans="1:10">
      <c r="A854" s="1033"/>
      <c r="B854" s="967" t="s">
        <v>2580</v>
      </c>
      <c r="C854" s="1475"/>
      <c r="D854" s="1034" t="s">
        <v>15</v>
      </c>
      <c r="E854" s="1035"/>
      <c r="F854" s="1035"/>
      <c r="G854" s="1035"/>
      <c r="H854" s="1035"/>
      <c r="I854" s="1035"/>
      <c r="J854" s="571"/>
    </row>
    <row r="855" spans="1:10">
      <c r="A855" s="1033"/>
      <c r="B855" s="967" t="s">
        <v>873</v>
      </c>
      <c r="C855" s="1475"/>
      <c r="D855" s="1036" t="s">
        <v>57</v>
      </c>
      <c r="E855" s="1035"/>
      <c r="F855" s="608"/>
      <c r="G855" s="608"/>
      <c r="H855" s="608"/>
      <c r="I855" s="608"/>
      <c r="J855" s="571"/>
    </row>
    <row r="856" spans="1:10">
      <c r="A856" s="1033"/>
      <c r="B856" s="967" t="s">
        <v>874</v>
      </c>
      <c r="C856" s="1475"/>
      <c r="D856" s="1036" t="s">
        <v>57</v>
      </c>
      <c r="E856" s="1035"/>
      <c r="F856" s="608"/>
      <c r="G856" s="608"/>
      <c r="H856" s="608"/>
      <c r="I856" s="608"/>
      <c r="J856" s="571"/>
    </row>
    <row r="857" spans="1:10">
      <c r="A857" s="1033"/>
      <c r="B857" s="967" t="s">
        <v>841</v>
      </c>
      <c r="C857" s="1475"/>
      <c r="D857" s="1037"/>
      <c r="E857" s="1035"/>
      <c r="F857" s="1035"/>
      <c r="G857" s="1035"/>
      <c r="H857" s="1035"/>
      <c r="I857" s="1035"/>
      <c r="J857" s="571"/>
    </row>
    <row r="858" spans="1:10">
      <c r="A858" s="1033"/>
      <c r="B858" s="967" t="s">
        <v>2582</v>
      </c>
      <c r="C858" s="1475"/>
      <c r="D858" s="1036" t="s">
        <v>57</v>
      </c>
      <c r="E858" s="489"/>
      <c r="F858" s="1038"/>
      <c r="G858" s="672"/>
      <c r="H858" s="1038"/>
      <c r="I858" s="1038"/>
      <c r="J858" s="571"/>
    </row>
    <row r="859" spans="1:10">
      <c r="A859" s="1033"/>
      <c r="B859" s="967" t="s">
        <v>2577</v>
      </c>
      <c r="C859" s="1475"/>
      <c r="D859" s="1036" t="s">
        <v>57</v>
      </c>
      <c r="E859" s="489"/>
      <c r="F859" s="1038"/>
      <c r="G859" s="672"/>
      <c r="H859" s="1038"/>
      <c r="I859" s="1038"/>
      <c r="J859" s="550"/>
    </row>
    <row r="860" spans="1:10">
      <c r="A860" s="1039"/>
      <c r="B860" s="967" t="s">
        <v>2578</v>
      </c>
      <c r="C860" s="1475"/>
      <c r="D860" s="1036" t="s">
        <v>57</v>
      </c>
      <c r="E860" s="489"/>
      <c r="F860" s="1038"/>
      <c r="G860" s="672"/>
      <c r="H860" s="1038"/>
      <c r="I860" s="1038"/>
      <c r="J860" s="571"/>
    </row>
    <row r="861" spans="1:10" s="1297" customFormat="1">
      <c r="A861" s="518"/>
      <c r="B861" s="1544" t="s">
        <v>2652</v>
      </c>
      <c r="C861" s="1459"/>
      <c r="D861" s="685" t="s">
        <v>508</v>
      </c>
      <c r="E861" s="1545"/>
      <c r="F861" s="1546"/>
      <c r="G861" s="1546"/>
      <c r="H861" s="674"/>
      <c r="I861" s="674"/>
      <c r="J861" s="558"/>
    </row>
    <row r="862" spans="1:10">
      <c r="A862" s="661">
        <v>4.4000000000000004</v>
      </c>
      <c r="B862" s="1420" t="s">
        <v>898</v>
      </c>
      <c r="C862" s="1461"/>
      <c r="D862" s="486"/>
      <c r="E862" s="958"/>
      <c r="F862" s="680"/>
      <c r="G862" s="959"/>
      <c r="H862" s="680"/>
      <c r="I862" s="680"/>
      <c r="J862" s="565"/>
    </row>
    <row r="863" spans="1:10">
      <c r="A863" s="1316" t="s">
        <v>544</v>
      </c>
      <c r="B863" s="960" t="s">
        <v>728</v>
      </c>
      <c r="C863" s="1459"/>
      <c r="D863" s="961"/>
      <c r="E863" s="683"/>
      <c r="F863" s="676"/>
      <c r="G863" s="682"/>
      <c r="H863" s="676"/>
      <c r="I863" s="676"/>
      <c r="J863" s="558"/>
    </row>
    <row r="864" spans="1:10">
      <c r="A864" s="502"/>
      <c r="B864" s="962" t="s">
        <v>732</v>
      </c>
      <c r="C864" s="1459"/>
      <c r="D864" s="510" t="s">
        <v>15</v>
      </c>
      <c r="E864" s="963"/>
      <c r="F864" s="674"/>
      <c r="G864" s="609"/>
      <c r="H864" s="674"/>
      <c r="I864" s="674"/>
      <c r="J864" s="558"/>
    </row>
    <row r="865" spans="1:10">
      <c r="A865" s="502"/>
      <c r="B865" s="962" t="s">
        <v>733</v>
      </c>
      <c r="C865" s="1459"/>
      <c r="D865" s="510" t="s">
        <v>15</v>
      </c>
      <c r="E865" s="963"/>
      <c r="F865" s="674"/>
      <c r="G865" s="609"/>
      <c r="H865" s="674"/>
      <c r="I865" s="674"/>
      <c r="J865" s="558"/>
    </row>
    <row r="866" spans="1:10">
      <c r="A866" s="502"/>
      <c r="B866" s="962" t="s">
        <v>745</v>
      </c>
      <c r="C866" s="1459"/>
      <c r="D866" s="510" t="s">
        <v>15</v>
      </c>
      <c r="E866" s="963"/>
      <c r="F866" s="674"/>
      <c r="G866" s="609"/>
      <c r="H866" s="674"/>
      <c r="I866" s="674"/>
      <c r="J866" s="558"/>
    </row>
    <row r="867" spans="1:10">
      <c r="A867" s="502"/>
      <c r="B867" s="962" t="s">
        <v>746</v>
      </c>
      <c r="C867" s="1459"/>
      <c r="D867" s="510" t="s">
        <v>15</v>
      </c>
      <c r="E867" s="963"/>
      <c r="F867" s="674"/>
      <c r="G867" s="609"/>
      <c r="H867" s="674"/>
      <c r="I867" s="674"/>
      <c r="J867" s="558"/>
    </row>
    <row r="868" spans="1:10">
      <c r="A868" s="502"/>
      <c r="B868" s="962" t="s">
        <v>1155</v>
      </c>
      <c r="C868" s="1459"/>
      <c r="D868" s="510" t="s">
        <v>15</v>
      </c>
      <c r="E868" s="963"/>
      <c r="F868" s="674"/>
      <c r="G868" s="609"/>
      <c r="H868" s="674"/>
      <c r="I868" s="674"/>
      <c r="J868" s="558"/>
    </row>
    <row r="869" spans="1:10">
      <c r="A869" s="502"/>
      <c r="B869" s="962" t="s">
        <v>1156</v>
      </c>
      <c r="C869" s="1459"/>
      <c r="D869" s="510" t="s">
        <v>15</v>
      </c>
      <c r="E869" s="963"/>
      <c r="F869" s="674"/>
      <c r="G869" s="609"/>
      <c r="H869" s="674"/>
      <c r="I869" s="674"/>
      <c r="J869" s="558"/>
    </row>
    <row r="870" spans="1:10">
      <c r="A870" s="502"/>
      <c r="B870" s="962" t="s">
        <v>1157</v>
      </c>
      <c r="C870" s="1459"/>
      <c r="D870" s="510" t="s">
        <v>15</v>
      </c>
      <c r="E870" s="963"/>
      <c r="F870" s="674"/>
      <c r="G870" s="609"/>
      <c r="H870" s="674"/>
      <c r="I870" s="674"/>
      <c r="J870" s="558"/>
    </row>
    <row r="871" spans="1:10">
      <c r="A871" s="502"/>
      <c r="B871" s="962" t="s">
        <v>747</v>
      </c>
      <c r="C871" s="1459"/>
      <c r="D871" s="510" t="s">
        <v>15</v>
      </c>
      <c r="E871" s="963"/>
      <c r="F871" s="674"/>
      <c r="G871" s="609"/>
      <c r="H871" s="674"/>
      <c r="I871" s="674"/>
      <c r="J871" s="558"/>
    </row>
    <row r="872" spans="1:10">
      <c r="A872" s="502"/>
      <c r="B872" s="962" t="s">
        <v>748</v>
      </c>
      <c r="C872" s="1459"/>
      <c r="D872" s="510" t="s">
        <v>15</v>
      </c>
      <c r="E872" s="963"/>
      <c r="F872" s="674"/>
      <c r="G872" s="609"/>
      <c r="H872" s="674"/>
      <c r="I872" s="674"/>
      <c r="J872" s="558"/>
    </row>
    <row r="873" spans="1:10">
      <c r="A873" s="502"/>
      <c r="B873" s="962" t="s">
        <v>753</v>
      </c>
      <c r="C873" s="1459"/>
      <c r="D873" s="510" t="s">
        <v>15</v>
      </c>
      <c r="E873" s="963"/>
      <c r="F873" s="674"/>
      <c r="G873" s="609"/>
      <c r="H873" s="674"/>
      <c r="I873" s="674"/>
      <c r="J873" s="558"/>
    </row>
    <row r="874" spans="1:10">
      <c r="A874" s="502"/>
      <c r="B874" s="962" t="s">
        <v>754</v>
      </c>
      <c r="C874" s="1459"/>
      <c r="D874" s="510" t="s">
        <v>15</v>
      </c>
      <c r="E874" s="963"/>
      <c r="F874" s="674"/>
      <c r="G874" s="609"/>
      <c r="H874" s="674"/>
      <c r="I874" s="674"/>
      <c r="J874" s="558"/>
    </row>
    <row r="875" spans="1:10">
      <c r="A875" s="1316" t="s">
        <v>547</v>
      </c>
      <c r="B875" s="960" t="s">
        <v>762</v>
      </c>
      <c r="C875" s="1459"/>
      <c r="D875" s="961"/>
      <c r="E875" s="683"/>
      <c r="F875" s="676"/>
      <c r="G875" s="682"/>
      <c r="H875" s="676"/>
      <c r="I875" s="676"/>
      <c r="J875" s="558"/>
    </row>
    <row r="876" spans="1:10">
      <c r="A876" s="502"/>
      <c r="B876" s="962" t="s">
        <v>763</v>
      </c>
      <c r="C876" s="1459"/>
      <c r="D876" s="510" t="s">
        <v>15</v>
      </c>
      <c r="E876" s="963"/>
      <c r="F876" s="674"/>
      <c r="G876" s="609"/>
      <c r="H876" s="674"/>
      <c r="I876" s="674"/>
      <c r="J876" s="558"/>
    </row>
    <row r="877" spans="1:10">
      <c r="A877" s="502"/>
      <c r="B877" s="962" t="s">
        <v>765</v>
      </c>
      <c r="C877" s="1459"/>
      <c r="D877" s="510" t="s">
        <v>15</v>
      </c>
      <c r="E877" s="1418"/>
      <c r="F877" s="674"/>
      <c r="G877" s="609"/>
      <c r="H877" s="674"/>
      <c r="I877" s="674"/>
      <c r="J877" s="558"/>
    </row>
    <row r="878" spans="1:10">
      <c r="A878" s="502"/>
      <c r="B878" s="962" t="s">
        <v>767</v>
      </c>
      <c r="C878" s="1459"/>
      <c r="D878" s="510" t="s">
        <v>15</v>
      </c>
      <c r="E878" s="1418"/>
      <c r="F878" s="674"/>
      <c r="G878" s="609"/>
      <c r="H878" s="674"/>
      <c r="I878" s="674"/>
      <c r="J878" s="558"/>
    </row>
    <row r="879" spans="1:10">
      <c r="A879" s="502"/>
      <c r="B879" s="962" t="s">
        <v>768</v>
      </c>
      <c r="C879" s="1459"/>
      <c r="D879" s="510" t="s">
        <v>15</v>
      </c>
      <c r="E879" s="1418"/>
      <c r="F879" s="674"/>
      <c r="G879" s="609"/>
      <c r="H879" s="674"/>
      <c r="I879" s="674"/>
      <c r="J879" s="558"/>
    </row>
    <row r="880" spans="1:10">
      <c r="A880" s="502"/>
      <c r="B880" s="962" t="s">
        <v>769</v>
      </c>
      <c r="C880" s="1459"/>
      <c r="D880" s="510" t="s">
        <v>15</v>
      </c>
      <c r="E880" s="1418"/>
      <c r="F880" s="674"/>
      <c r="G880" s="609"/>
      <c r="H880" s="674"/>
      <c r="I880" s="674"/>
      <c r="J880" s="558"/>
    </row>
    <row r="881" spans="1:10">
      <c r="A881" s="502"/>
      <c r="B881" s="962" t="s">
        <v>771</v>
      </c>
      <c r="C881" s="1459"/>
      <c r="D881" s="510" t="s">
        <v>15</v>
      </c>
      <c r="E881" s="963"/>
      <c r="F881" s="674"/>
      <c r="G881" s="609"/>
      <c r="H881" s="674"/>
      <c r="I881" s="674"/>
      <c r="J881" s="558"/>
    </row>
    <row r="882" spans="1:10">
      <c r="A882" s="502"/>
      <c r="B882" s="962" t="s">
        <v>1163</v>
      </c>
      <c r="C882" s="1459"/>
      <c r="D882" s="510" t="s">
        <v>15</v>
      </c>
      <c r="E882" s="963"/>
      <c r="F882" s="674"/>
      <c r="G882" s="609"/>
      <c r="H882" s="674"/>
      <c r="I882" s="674"/>
      <c r="J882" s="558"/>
    </row>
    <row r="883" spans="1:10">
      <c r="A883" s="502"/>
      <c r="B883" s="962" t="s">
        <v>774</v>
      </c>
      <c r="C883" s="1459"/>
      <c r="D883" s="510" t="s">
        <v>15</v>
      </c>
      <c r="E883" s="963"/>
      <c r="F883" s="674"/>
      <c r="G883" s="609"/>
      <c r="H883" s="674"/>
      <c r="I883" s="674"/>
      <c r="J883" s="558"/>
    </row>
    <row r="884" spans="1:10">
      <c r="A884" s="1316" t="s">
        <v>549</v>
      </c>
      <c r="B884" s="960" t="s">
        <v>776</v>
      </c>
      <c r="C884" s="1459"/>
      <c r="D884" s="961"/>
      <c r="E884" s="683"/>
      <c r="F884" s="676"/>
      <c r="G884" s="682"/>
      <c r="H884" s="676"/>
      <c r="I884" s="676"/>
      <c r="J884" s="558"/>
    </row>
    <row r="885" spans="1:10">
      <c r="A885" s="502"/>
      <c r="B885" s="962" t="s">
        <v>664</v>
      </c>
      <c r="C885" s="1459"/>
      <c r="D885" s="910" t="s">
        <v>57</v>
      </c>
      <c r="E885" s="489"/>
      <c r="F885" s="674"/>
      <c r="G885" s="672"/>
      <c r="H885" s="674"/>
      <c r="I885" s="674"/>
      <c r="J885" s="558"/>
    </row>
    <row r="886" spans="1:10">
      <c r="A886" s="502"/>
      <c r="B886" s="962" t="s">
        <v>777</v>
      </c>
      <c r="C886" s="1459"/>
      <c r="D886" s="910" t="s">
        <v>57</v>
      </c>
      <c r="E886" s="489"/>
      <c r="F886" s="674"/>
      <c r="G886" s="672"/>
      <c r="H886" s="674"/>
      <c r="I886" s="674"/>
      <c r="J886" s="558"/>
    </row>
    <row r="887" spans="1:10">
      <c r="A887" s="502"/>
      <c r="B887" s="962" t="s">
        <v>778</v>
      </c>
      <c r="C887" s="1459"/>
      <c r="D887" s="910" t="s">
        <v>57</v>
      </c>
      <c r="E887" s="489"/>
      <c r="F887" s="674"/>
      <c r="G887" s="672"/>
      <c r="H887" s="674"/>
      <c r="I887" s="674"/>
      <c r="J887" s="558"/>
    </row>
    <row r="888" spans="1:10">
      <c r="A888" s="502"/>
      <c r="B888" s="962" t="s">
        <v>779</v>
      </c>
      <c r="C888" s="1459"/>
      <c r="D888" s="910" t="s">
        <v>57</v>
      </c>
      <c r="E888" s="489"/>
      <c r="F888" s="674"/>
      <c r="G888" s="672"/>
      <c r="H888" s="674"/>
      <c r="I888" s="674"/>
      <c r="J888" s="558"/>
    </row>
    <row r="889" spans="1:10">
      <c r="A889" s="502"/>
      <c r="B889" s="962" t="s">
        <v>784</v>
      </c>
      <c r="C889" s="1459"/>
      <c r="D889" s="910" t="s">
        <v>57</v>
      </c>
      <c r="E889" s="489"/>
      <c r="F889" s="674"/>
      <c r="G889" s="672"/>
      <c r="H889" s="674"/>
      <c r="I889" s="674"/>
      <c r="J889" s="558"/>
    </row>
    <row r="890" spans="1:10">
      <c r="A890" s="502"/>
      <c r="B890" s="962" t="s">
        <v>786</v>
      </c>
      <c r="C890" s="1459"/>
      <c r="D890" s="910" t="s">
        <v>57</v>
      </c>
      <c r="E890" s="489"/>
      <c r="F890" s="674"/>
      <c r="G890" s="672"/>
      <c r="H890" s="674"/>
      <c r="I890" s="674"/>
      <c r="J890" s="558"/>
    </row>
    <row r="891" spans="1:10">
      <c r="A891" s="502"/>
      <c r="B891" s="962" t="s">
        <v>787</v>
      </c>
      <c r="C891" s="1459"/>
      <c r="D891" s="910" t="s">
        <v>57</v>
      </c>
      <c r="E891" s="489"/>
      <c r="F891" s="674"/>
      <c r="G891" s="672"/>
      <c r="H891" s="674"/>
      <c r="I891" s="674"/>
      <c r="J891" s="558"/>
    </row>
    <row r="892" spans="1:10">
      <c r="A892" s="502"/>
      <c r="B892" s="962" t="s">
        <v>788</v>
      </c>
      <c r="C892" s="1459"/>
      <c r="D892" s="910" t="s">
        <v>57</v>
      </c>
      <c r="E892" s="489"/>
      <c r="F892" s="674"/>
      <c r="G892" s="672"/>
      <c r="H892" s="674"/>
      <c r="I892" s="674"/>
      <c r="J892" s="558"/>
    </row>
    <row r="893" spans="1:10" s="1297" customFormat="1">
      <c r="A893" s="518"/>
      <c r="B893" s="1544" t="s">
        <v>2652</v>
      </c>
      <c r="C893" s="1459"/>
      <c r="D893" s="685" t="s">
        <v>508</v>
      </c>
      <c r="E893" s="1545"/>
      <c r="F893" s="1546"/>
      <c r="G893" s="1546"/>
      <c r="H893" s="674"/>
      <c r="I893" s="674"/>
      <c r="J893" s="558"/>
    </row>
    <row r="894" spans="1:10">
      <c r="A894" s="1316" t="s">
        <v>551</v>
      </c>
      <c r="B894" s="960" t="s">
        <v>793</v>
      </c>
      <c r="C894" s="1459"/>
      <c r="D894" s="961"/>
      <c r="E894" s="683"/>
      <c r="F894" s="676"/>
      <c r="G894" s="682"/>
      <c r="H894" s="676"/>
      <c r="I894" s="676"/>
      <c r="J894" s="558"/>
    </row>
    <row r="895" spans="1:10">
      <c r="A895" s="502"/>
      <c r="B895" s="962" t="s">
        <v>795</v>
      </c>
      <c r="C895" s="1459"/>
      <c r="D895" s="910" t="s">
        <v>57</v>
      </c>
      <c r="E895" s="489"/>
      <c r="F895" s="674"/>
      <c r="G895" s="672"/>
      <c r="H895" s="674"/>
      <c r="I895" s="674"/>
      <c r="J895" s="558"/>
    </row>
    <row r="896" spans="1:10">
      <c r="A896" s="502"/>
      <c r="B896" s="962" t="s">
        <v>797</v>
      </c>
      <c r="C896" s="1459"/>
      <c r="D896" s="910" t="s">
        <v>57</v>
      </c>
      <c r="E896" s="489"/>
      <c r="F896" s="674"/>
      <c r="G896" s="672"/>
      <c r="H896" s="674"/>
      <c r="I896" s="674"/>
      <c r="J896" s="558"/>
    </row>
    <row r="897" spans="1:10">
      <c r="A897" s="502"/>
      <c r="B897" s="962" t="s">
        <v>798</v>
      </c>
      <c r="C897" s="1459"/>
      <c r="D897" s="910" t="s">
        <v>57</v>
      </c>
      <c r="E897" s="489"/>
      <c r="F897" s="674"/>
      <c r="G897" s="672"/>
      <c r="H897" s="674"/>
      <c r="I897" s="674"/>
      <c r="J897" s="558"/>
    </row>
    <row r="898" spans="1:10">
      <c r="A898" s="502"/>
      <c r="B898" s="962" t="s">
        <v>800</v>
      </c>
      <c r="C898" s="1459"/>
      <c r="D898" s="910" t="s">
        <v>57</v>
      </c>
      <c r="E898" s="489"/>
      <c r="F898" s="674"/>
      <c r="G898" s="672"/>
      <c r="H898" s="674"/>
      <c r="I898" s="674"/>
      <c r="J898" s="558"/>
    </row>
    <row r="899" spans="1:10">
      <c r="A899" s="502"/>
      <c r="B899" s="962" t="s">
        <v>802</v>
      </c>
      <c r="C899" s="1459"/>
      <c r="D899" s="910" t="s">
        <v>57</v>
      </c>
      <c r="E899" s="489"/>
      <c r="F899" s="674"/>
      <c r="G899" s="672"/>
      <c r="H899" s="674"/>
      <c r="I899" s="674"/>
      <c r="J899" s="558"/>
    </row>
    <row r="900" spans="1:10">
      <c r="A900" s="502"/>
      <c r="B900" s="962" t="s">
        <v>803</v>
      </c>
      <c r="C900" s="1459"/>
      <c r="D900" s="910" t="s">
        <v>57</v>
      </c>
      <c r="E900" s="489"/>
      <c r="F900" s="674"/>
      <c r="G900" s="672"/>
      <c r="H900" s="674"/>
      <c r="I900" s="674"/>
      <c r="J900" s="558"/>
    </row>
    <row r="901" spans="1:10">
      <c r="A901" s="502"/>
      <c r="B901" s="962" t="s">
        <v>804</v>
      </c>
      <c r="C901" s="1459"/>
      <c r="D901" s="910" t="s">
        <v>57</v>
      </c>
      <c r="E901" s="489"/>
      <c r="F901" s="674"/>
      <c r="G901" s="672"/>
      <c r="H901" s="674"/>
      <c r="I901" s="674"/>
      <c r="J901" s="558"/>
    </row>
    <row r="902" spans="1:10">
      <c r="A902" s="502"/>
      <c r="B902" s="962" t="s">
        <v>805</v>
      </c>
      <c r="C902" s="1459"/>
      <c r="D902" s="910" t="s">
        <v>57</v>
      </c>
      <c r="E902" s="489"/>
      <c r="F902" s="674"/>
      <c r="G902" s="672"/>
      <c r="H902" s="674"/>
      <c r="I902" s="674"/>
      <c r="J902" s="558"/>
    </row>
    <row r="903" spans="1:10">
      <c r="A903" s="502"/>
      <c r="B903" s="962" t="s">
        <v>806</v>
      </c>
      <c r="C903" s="1459"/>
      <c r="D903" s="910" t="s">
        <v>57</v>
      </c>
      <c r="E903" s="489"/>
      <c r="F903" s="674"/>
      <c r="G903" s="672"/>
      <c r="H903" s="674"/>
      <c r="I903" s="674"/>
      <c r="J903" s="558"/>
    </row>
    <row r="904" spans="1:10">
      <c r="A904" s="502"/>
      <c r="B904" s="962" t="s">
        <v>807</v>
      </c>
      <c r="C904" s="1459"/>
      <c r="D904" s="910" t="s">
        <v>57</v>
      </c>
      <c r="E904" s="489"/>
      <c r="F904" s="674"/>
      <c r="G904" s="672"/>
      <c r="H904" s="674"/>
      <c r="I904" s="674"/>
      <c r="J904" s="558"/>
    </row>
    <row r="905" spans="1:10" s="1297" customFormat="1">
      <c r="A905" s="518"/>
      <c r="B905" s="1544" t="s">
        <v>2652</v>
      </c>
      <c r="C905" s="1459"/>
      <c r="D905" s="685" t="s">
        <v>508</v>
      </c>
      <c r="E905" s="1545"/>
      <c r="F905" s="1546"/>
      <c r="G905" s="1546"/>
      <c r="H905" s="674"/>
      <c r="I905" s="674"/>
      <c r="J905" s="558"/>
    </row>
    <row r="906" spans="1:10">
      <c r="A906" s="1316" t="s">
        <v>2633</v>
      </c>
      <c r="B906" s="960" t="s">
        <v>811</v>
      </c>
      <c r="C906" s="1459"/>
      <c r="D906" s="961"/>
      <c r="E906" s="683"/>
      <c r="F906" s="676"/>
      <c r="G906" s="682"/>
      <c r="H906" s="676"/>
      <c r="I906" s="676"/>
      <c r="J906" s="558"/>
    </row>
    <row r="907" spans="1:10">
      <c r="A907" s="502"/>
      <c r="B907" s="962" t="s">
        <v>812</v>
      </c>
      <c r="C907" s="1459"/>
      <c r="D907" s="510" t="s">
        <v>15</v>
      </c>
      <c r="E907" s="489"/>
      <c r="F907" s="674"/>
      <c r="G907" s="672"/>
      <c r="H907" s="674"/>
      <c r="I907" s="674"/>
      <c r="J907" s="558"/>
    </row>
    <row r="908" spans="1:10">
      <c r="A908" s="502"/>
      <c r="B908" s="962" t="s">
        <v>813</v>
      </c>
      <c r="C908" s="1459"/>
      <c r="D908" s="510" t="s">
        <v>15</v>
      </c>
      <c r="E908" s="489"/>
      <c r="F908" s="674"/>
      <c r="G908" s="672"/>
      <c r="H908" s="674"/>
      <c r="I908" s="674"/>
      <c r="J908" s="558"/>
    </row>
    <row r="909" spans="1:10">
      <c r="A909" s="502"/>
      <c r="B909" s="962" t="s">
        <v>815</v>
      </c>
      <c r="C909" s="1459"/>
      <c r="D909" s="510" t="s">
        <v>15</v>
      </c>
      <c r="E909" s="489"/>
      <c r="F909" s="674"/>
      <c r="G909" s="672"/>
      <c r="H909" s="674"/>
      <c r="I909" s="674"/>
      <c r="J909" s="558"/>
    </row>
    <row r="910" spans="1:10">
      <c r="A910" s="502"/>
      <c r="B910" s="962" t="s">
        <v>816</v>
      </c>
      <c r="C910" s="1459"/>
      <c r="D910" s="510" t="s">
        <v>15</v>
      </c>
      <c r="E910" s="489"/>
      <c r="F910" s="674"/>
      <c r="G910" s="672"/>
      <c r="H910" s="674"/>
      <c r="I910" s="674"/>
      <c r="J910" s="558"/>
    </row>
    <row r="911" spans="1:10">
      <c r="A911" s="502"/>
      <c r="B911" s="962" t="s">
        <v>817</v>
      </c>
      <c r="C911" s="1459"/>
      <c r="D911" s="510" t="s">
        <v>15</v>
      </c>
      <c r="E911" s="489"/>
      <c r="F911" s="674"/>
      <c r="G911" s="672"/>
      <c r="H911" s="674"/>
      <c r="I911" s="674"/>
      <c r="J911" s="558"/>
    </row>
    <row r="912" spans="1:10">
      <c r="A912" s="502"/>
      <c r="B912" s="962" t="s">
        <v>818</v>
      </c>
      <c r="C912" s="1459"/>
      <c r="D912" s="510" t="s">
        <v>15</v>
      </c>
      <c r="E912" s="489"/>
      <c r="F912" s="674"/>
      <c r="G912" s="672"/>
      <c r="H912" s="674"/>
      <c r="I912" s="674"/>
      <c r="J912" s="558"/>
    </row>
    <row r="913" spans="1:10">
      <c r="A913" s="502"/>
      <c r="B913" s="962" t="s">
        <v>819</v>
      </c>
      <c r="C913" s="1459"/>
      <c r="D913" s="510" t="s">
        <v>15</v>
      </c>
      <c r="E913" s="489"/>
      <c r="F913" s="674"/>
      <c r="G913" s="672"/>
      <c r="H913" s="674"/>
      <c r="I913" s="674"/>
      <c r="J913" s="558"/>
    </row>
    <row r="914" spans="1:10">
      <c r="A914" s="1316" t="s">
        <v>2634</v>
      </c>
      <c r="B914" s="965" t="s">
        <v>836</v>
      </c>
      <c r="C914" s="1445"/>
      <c r="D914" s="506"/>
      <c r="E914" s="506"/>
      <c r="F914" s="489"/>
      <c r="G914" s="676"/>
      <c r="H914" s="676"/>
      <c r="I914" s="676"/>
      <c r="J914" s="550"/>
    </row>
    <row r="915" spans="1:10">
      <c r="A915" s="966"/>
      <c r="B915" s="1047" t="s">
        <v>837</v>
      </c>
      <c r="C915" s="1462"/>
      <c r="D915" s="968" t="s">
        <v>15</v>
      </c>
      <c r="E915" s="673"/>
      <c r="F915" s="673"/>
      <c r="G915" s="673"/>
      <c r="H915" s="673"/>
      <c r="I915" s="673"/>
      <c r="J915" s="550"/>
    </row>
    <row r="916" spans="1:10">
      <c r="A916" s="966"/>
      <c r="B916" s="1047" t="s">
        <v>838</v>
      </c>
      <c r="C916" s="1462"/>
      <c r="D916" s="910" t="s">
        <v>57</v>
      </c>
      <c r="E916" s="673"/>
      <c r="F916" s="673"/>
      <c r="G916" s="673"/>
      <c r="H916" s="673"/>
      <c r="I916" s="673"/>
      <c r="J916" s="550"/>
    </row>
    <row r="917" spans="1:10">
      <c r="A917" s="966"/>
      <c r="B917" s="1047" t="s">
        <v>839</v>
      </c>
      <c r="C917" s="1462"/>
      <c r="D917" s="968"/>
      <c r="E917" s="673"/>
      <c r="F917" s="673"/>
      <c r="G917" s="673"/>
      <c r="H917" s="673"/>
      <c r="I917" s="673"/>
      <c r="J917" s="550"/>
    </row>
    <row r="918" spans="1:10">
      <c r="A918" s="966"/>
      <c r="B918" s="1047" t="s">
        <v>2630</v>
      </c>
      <c r="C918" s="1462"/>
      <c r="D918" s="910" t="s">
        <v>57</v>
      </c>
      <c r="E918" s="673"/>
      <c r="F918" s="673"/>
      <c r="G918" s="673"/>
      <c r="H918" s="673"/>
      <c r="I918" s="673"/>
      <c r="J918" s="550"/>
    </row>
    <row r="919" spans="1:10">
      <c r="A919" s="966"/>
      <c r="B919" s="1047" t="s">
        <v>841</v>
      </c>
      <c r="C919" s="1462"/>
      <c r="D919" s="968"/>
      <c r="E919" s="673"/>
      <c r="F919" s="673"/>
      <c r="G919" s="673"/>
      <c r="H919" s="673"/>
      <c r="I919" s="673"/>
      <c r="J919" s="550"/>
    </row>
    <row r="920" spans="1:10">
      <c r="A920" s="966"/>
      <c r="B920" s="1047" t="s">
        <v>2631</v>
      </c>
      <c r="C920" s="1462"/>
      <c r="D920" s="910" t="s">
        <v>57</v>
      </c>
      <c r="E920" s="489"/>
      <c r="F920" s="674"/>
      <c r="G920" s="672"/>
      <c r="H920" s="674"/>
      <c r="I920" s="674"/>
      <c r="J920" s="550"/>
    </row>
    <row r="921" spans="1:10">
      <c r="A921" s="969"/>
      <c r="B921" s="1047" t="s">
        <v>2632</v>
      </c>
      <c r="C921" s="1462"/>
      <c r="D921" s="910" t="s">
        <v>57</v>
      </c>
      <c r="E921" s="489"/>
      <c r="F921" s="674"/>
      <c r="G921" s="672"/>
      <c r="H921" s="674"/>
      <c r="I921" s="674"/>
      <c r="J921" s="550"/>
    </row>
    <row r="922" spans="1:10" s="1297" customFormat="1">
      <c r="A922" s="518"/>
      <c r="B922" s="1544" t="s">
        <v>2652</v>
      </c>
      <c r="C922" s="1459"/>
      <c r="D922" s="685" t="s">
        <v>508</v>
      </c>
      <c r="E922" s="1545"/>
      <c r="F922" s="1546"/>
      <c r="G922" s="1546"/>
      <c r="H922" s="674"/>
      <c r="I922" s="674"/>
      <c r="J922" s="558"/>
    </row>
    <row r="923" spans="1:10">
      <c r="A923" s="1316" t="s">
        <v>2635</v>
      </c>
      <c r="B923" s="572" t="s">
        <v>844</v>
      </c>
      <c r="C923" s="1463"/>
      <c r="D923" s="682"/>
      <c r="E923" s="682"/>
      <c r="F923" s="660"/>
      <c r="G923" s="676"/>
      <c r="H923" s="676"/>
      <c r="I923" s="676"/>
      <c r="J923" s="550"/>
    </row>
    <row r="924" spans="1:10">
      <c r="A924" s="966"/>
      <c r="B924" s="1047" t="s">
        <v>845</v>
      </c>
      <c r="C924" s="1464"/>
      <c r="D924" s="573"/>
      <c r="E924" s="573"/>
      <c r="F924" s="573"/>
      <c r="G924" s="573"/>
      <c r="H924" s="573"/>
      <c r="I924" s="573"/>
      <c r="J924" s="550"/>
    </row>
    <row r="925" spans="1:10">
      <c r="A925" s="966"/>
      <c r="B925" s="1047" t="s">
        <v>2604</v>
      </c>
      <c r="C925" s="1462"/>
      <c r="D925" s="968" t="s">
        <v>15</v>
      </c>
      <c r="E925" s="673"/>
      <c r="F925" s="673"/>
      <c r="G925" s="673"/>
      <c r="H925" s="673"/>
      <c r="I925" s="673"/>
      <c r="J925" s="550"/>
    </row>
    <row r="926" spans="1:10">
      <c r="A926" s="966"/>
      <c r="B926" s="1047" t="s">
        <v>2605</v>
      </c>
      <c r="C926" s="1462"/>
      <c r="D926" s="968" t="s">
        <v>15</v>
      </c>
      <c r="E926" s="673"/>
      <c r="F926" s="673"/>
      <c r="G926" s="673"/>
      <c r="H926" s="673"/>
      <c r="I926" s="673"/>
      <c r="J926" s="550"/>
    </row>
    <row r="927" spans="1:10">
      <c r="A927" s="966"/>
      <c r="B927" s="1047" t="s">
        <v>848</v>
      </c>
      <c r="C927" s="1462"/>
      <c r="D927" s="968" t="s">
        <v>15</v>
      </c>
      <c r="E927" s="673"/>
      <c r="F927" s="673"/>
      <c r="G927" s="673"/>
      <c r="H927" s="673"/>
      <c r="I927" s="673"/>
      <c r="J927" s="550"/>
    </row>
    <row r="928" spans="1:10">
      <c r="A928" s="966"/>
      <c r="B928" s="1047" t="s">
        <v>849</v>
      </c>
      <c r="C928" s="1462"/>
      <c r="D928" s="910" t="s">
        <v>57</v>
      </c>
      <c r="E928" s="673"/>
      <c r="F928" s="673"/>
      <c r="G928" s="673"/>
      <c r="H928" s="673"/>
      <c r="I928" s="673"/>
      <c r="J928" s="550"/>
    </row>
    <row r="929" spans="1:10">
      <c r="A929" s="966"/>
      <c r="B929" s="1047" t="s">
        <v>838</v>
      </c>
      <c r="C929" s="1462"/>
      <c r="D929" s="910" t="s">
        <v>57</v>
      </c>
      <c r="E929" s="673"/>
      <c r="F929" s="673"/>
      <c r="G929" s="673"/>
      <c r="H929" s="673"/>
      <c r="I929" s="673"/>
      <c r="J929" s="550"/>
    </row>
    <row r="930" spans="1:10">
      <c r="A930" s="966"/>
      <c r="B930" s="1047" t="s">
        <v>850</v>
      </c>
      <c r="C930" s="1462"/>
      <c r="D930" s="968"/>
      <c r="E930" s="673"/>
      <c r="F930" s="673"/>
      <c r="G930" s="673"/>
      <c r="H930" s="673"/>
      <c r="I930" s="673"/>
      <c r="J930" s="550"/>
    </row>
    <row r="931" spans="1:10">
      <c r="A931" s="966"/>
      <c r="B931" s="1047" t="s">
        <v>2579</v>
      </c>
      <c r="C931" s="1462"/>
      <c r="D931" s="910" t="s">
        <v>57</v>
      </c>
      <c r="E931" s="673"/>
      <c r="F931" s="608"/>
      <c r="G931" s="608"/>
      <c r="H931" s="608"/>
      <c r="I931" s="608"/>
      <c r="J931" s="550"/>
    </row>
    <row r="932" spans="1:10">
      <c r="A932" s="1049"/>
      <c r="B932" s="1047" t="s">
        <v>841</v>
      </c>
      <c r="C932" s="1476"/>
      <c r="D932" s="1050"/>
      <c r="E932" s="1051"/>
      <c r="F932" s="1051"/>
      <c r="G932" s="1051"/>
      <c r="H932" s="1051"/>
      <c r="I932" s="1051"/>
      <c r="J932" s="550"/>
    </row>
    <row r="933" spans="1:10">
      <c r="A933" s="1049"/>
      <c r="B933" s="1047" t="s">
        <v>2577</v>
      </c>
      <c r="C933" s="1476"/>
      <c r="D933" s="1052" t="s">
        <v>57</v>
      </c>
      <c r="E933" s="489"/>
      <c r="F933" s="1053"/>
      <c r="G933" s="672"/>
      <c r="H933" s="1053"/>
      <c r="I933" s="1053"/>
      <c r="J933" s="550"/>
    </row>
    <row r="934" spans="1:10">
      <c r="A934" s="1054"/>
      <c r="B934" s="1047" t="s">
        <v>2578</v>
      </c>
      <c r="C934" s="1476"/>
      <c r="D934" s="1052" t="s">
        <v>57</v>
      </c>
      <c r="E934" s="489"/>
      <c r="F934" s="1053"/>
      <c r="G934" s="672"/>
      <c r="H934" s="1053"/>
      <c r="I934" s="1053"/>
      <c r="J934" s="550"/>
    </row>
    <row r="935" spans="1:10" s="1297" customFormat="1">
      <c r="A935" s="518"/>
      <c r="B935" s="1544" t="s">
        <v>2652</v>
      </c>
      <c r="C935" s="1459"/>
      <c r="D935" s="685" t="s">
        <v>508</v>
      </c>
      <c r="E935" s="1545"/>
      <c r="F935" s="1546"/>
      <c r="G935" s="1546"/>
      <c r="H935" s="674"/>
      <c r="I935" s="674"/>
      <c r="J935" s="558"/>
    </row>
    <row r="936" spans="1:10">
      <c r="A936" s="1316" t="s">
        <v>2636</v>
      </c>
      <c r="B936" s="601" t="s">
        <v>852</v>
      </c>
      <c r="C936" s="1467"/>
      <c r="D936" s="574"/>
      <c r="E936" s="575"/>
      <c r="F936" s="568"/>
      <c r="G936" s="568"/>
      <c r="H936" s="568"/>
      <c r="I936" s="568"/>
      <c r="J936" s="569"/>
    </row>
    <row r="937" spans="1:10">
      <c r="A937" s="966"/>
      <c r="B937" s="1047" t="s">
        <v>853</v>
      </c>
      <c r="C937" s="1462"/>
      <c r="D937" s="968" t="s">
        <v>15</v>
      </c>
      <c r="E937" s="673"/>
      <c r="F937" s="608"/>
      <c r="G937" s="608"/>
      <c r="H937" s="608"/>
      <c r="I937" s="608"/>
      <c r="J937" s="550"/>
    </row>
    <row r="938" spans="1:10">
      <c r="A938" s="966"/>
      <c r="B938" s="1047" t="s">
        <v>855</v>
      </c>
      <c r="C938" s="1462"/>
      <c r="D938" s="968" t="s">
        <v>15</v>
      </c>
      <c r="E938" s="673"/>
      <c r="F938" s="608"/>
      <c r="G938" s="608"/>
      <c r="H938" s="608"/>
      <c r="I938" s="608"/>
      <c r="J938" s="676"/>
    </row>
    <row r="939" spans="1:10">
      <c r="A939" s="966"/>
      <c r="B939" s="1047" t="s">
        <v>856</v>
      </c>
      <c r="C939" s="1462"/>
      <c r="D939" s="968" t="s">
        <v>15</v>
      </c>
      <c r="E939" s="673"/>
      <c r="F939" s="608"/>
      <c r="G939" s="608"/>
      <c r="H939" s="608"/>
      <c r="I939" s="608"/>
      <c r="J939" s="676"/>
    </row>
    <row r="940" spans="1:10">
      <c r="A940" s="966"/>
      <c r="B940" s="1047" t="s">
        <v>857</v>
      </c>
      <c r="C940" s="1462"/>
      <c r="D940" s="968" t="s">
        <v>15</v>
      </c>
      <c r="E940" s="673"/>
      <c r="F940" s="608"/>
      <c r="G940" s="608"/>
      <c r="H940" s="608"/>
      <c r="I940" s="608"/>
      <c r="J940" s="676"/>
    </row>
    <row r="941" spans="1:10">
      <c r="A941" s="966"/>
      <c r="B941" s="1047" t="s">
        <v>858</v>
      </c>
      <c r="C941" s="1462"/>
      <c r="D941" s="968" t="s">
        <v>15</v>
      </c>
      <c r="E941" s="673"/>
      <c r="F941" s="608"/>
      <c r="G941" s="608"/>
      <c r="H941" s="608"/>
      <c r="I941" s="608"/>
      <c r="J941" s="676"/>
    </row>
    <row r="942" spans="1:10">
      <c r="A942" s="966"/>
      <c r="B942" s="1047" t="s">
        <v>859</v>
      </c>
      <c r="C942" s="1462"/>
      <c r="D942" s="968" t="s">
        <v>15</v>
      </c>
      <c r="E942" s="673"/>
      <c r="F942" s="608"/>
      <c r="G942" s="608"/>
      <c r="H942" s="608"/>
      <c r="I942" s="608"/>
      <c r="J942" s="676"/>
    </row>
    <row r="943" spans="1:10">
      <c r="A943" s="966"/>
      <c r="B943" s="1047" t="s">
        <v>860</v>
      </c>
      <c r="C943" s="1462"/>
      <c r="D943" s="968" t="s">
        <v>15</v>
      </c>
      <c r="E943" s="673"/>
      <c r="F943" s="608"/>
      <c r="G943" s="608"/>
      <c r="H943" s="608"/>
      <c r="I943" s="608"/>
      <c r="J943" s="676"/>
    </row>
    <row r="944" spans="1:10">
      <c r="A944" s="966"/>
      <c r="B944" s="1047" t="s">
        <v>897</v>
      </c>
      <c r="C944" s="1462"/>
      <c r="D944" s="968" t="s">
        <v>15</v>
      </c>
      <c r="E944" s="673"/>
      <c r="F944" s="608"/>
      <c r="G944" s="608"/>
      <c r="H944" s="608"/>
      <c r="I944" s="608"/>
      <c r="J944" s="676"/>
    </row>
    <row r="945" spans="1:10">
      <c r="A945" s="966"/>
      <c r="B945" s="1047" t="s">
        <v>861</v>
      </c>
      <c r="C945" s="1462"/>
      <c r="D945" s="978"/>
      <c r="E945" s="673"/>
      <c r="F945" s="673"/>
      <c r="G945" s="673"/>
      <c r="H945" s="673"/>
      <c r="I945" s="673"/>
      <c r="J945" s="676"/>
    </row>
    <row r="946" spans="1:10">
      <c r="A946" s="969"/>
      <c r="B946" s="1047" t="s">
        <v>2573</v>
      </c>
      <c r="C946" s="1462"/>
      <c r="D946" s="910" t="s">
        <v>57</v>
      </c>
      <c r="E946" s="673"/>
      <c r="F946" s="608"/>
      <c r="G946" s="608"/>
      <c r="H946" s="608"/>
      <c r="I946" s="608"/>
      <c r="J946" s="676"/>
    </row>
    <row r="947" spans="1:10">
      <c r="A947" s="969"/>
      <c r="B947" s="1047" t="s">
        <v>2574</v>
      </c>
      <c r="C947" s="1462"/>
      <c r="D947" s="910" t="s">
        <v>57</v>
      </c>
      <c r="E947" s="673"/>
      <c r="F947" s="608"/>
      <c r="G947" s="608"/>
      <c r="H947" s="608"/>
      <c r="I947" s="608"/>
      <c r="J947" s="676"/>
    </row>
    <row r="948" spans="1:10">
      <c r="A948" s="966"/>
      <c r="B948" s="1047" t="s">
        <v>2575</v>
      </c>
      <c r="C948" s="1462"/>
      <c r="D948" s="910" t="s">
        <v>57</v>
      </c>
      <c r="E948" s="673"/>
      <c r="F948" s="608"/>
      <c r="G948" s="608"/>
      <c r="H948" s="608"/>
      <c r="I948" s="608"/>
      <c r="J948" s="676"/>
    </row>
    <row r="949" spans="1:10">
      <c r="A949" s="966"/>
      <c r="B949" s="1047" t="s">
        <v>2576</v>
      </c>
      <c r="C949" s="1462"/>
      <c r="D949" s="910" t="s">
        <v>57</v>
      </c>
      <c r="E949" s="673"/>
      <c r="F949" s="608"/>
      <c r="G949" s="608"/>
      <c r="H949" s="608"/>
      <c r="I949" s="608"/>
      <c r="J949" s="676"/>
    </row>
    <row r="950" spans="1:10">
      <c r="A950" s="969"/>
      <c r="B950" s="1047" t="s">
        <v>841</v>
      </c>
      <c r="C950" s="1462"/>
      <c r="D950" s="978"/>
      <c r="E950" s="673"/>
      <c r="F950" s="673"/>
      <c r="G950" s="673"/>
      <c r="H950" s="673"/>
      <c r="I950" s="673"/>
      <c r="J950" s="676"/>
    </row>
    <row r="951" spans="1:10">
      <c r="A951" s="969"/>
      <c r="B951" s="1047" t="s">
        <v>2577</v>
      </c>
      <c r="C951" s="1462"/>
      <c r="D951" s="910" t="s">
        <v>57</v>
      </c>
      <c r="E951" s="489"/>
      <c r="F951" s="674"/>
      <c r="G951" s="672"/>
      <c r="H951" s="674"/>
      <c r="I951" s="674"/>
      <c r="J951" s="676"/>
    </row>
    <row r="952" spans="1:10">
      <c r="A952" s="969"/>
      <c r="B952" s="1047" t="s">
        <v>2578</v>
      </c>
      <c r="C952" s="1462"/>
      <c r="D952" s="910" t="s">
        <v>57</v>
      </c>
      <c r="E952" s="489"/>
      <c r="F952" s="674"/>
      <c r="G952" s="672"/>
      <c r="H952" s="674"/>
      <c r="I952" s="674"/>
      <c r="J952" s="676"/>
    </row>
    <row r="953" spans="1:10">
      <c r="A953" s="969"/>
      <c r="B953" s="1047" t="s">
        <v>868</v>
      </c>
      <c r="C953" s="1462"/>
      <c r="D953" s="978"/>
      <c r="E953" s="673"/>
      <c r="F953" s="608"/>
      <c r="G953" s="608"/>
      <c r="H953" s="608"/>
      <c r="I953" s="608"/>
      <c r="J953" s="676"/>
    </row>
    <row r="954" spans="1:10">
      <c r="A954" s="966"/>
      <c r="B954" s="1047" t="s">
        <v>2579</v>
      </c>
      <c r="C954" s="1462"/>
      <c r="D954" s="910" t="s">
        <v>57</v>
      </c>
      <c r="E954" s="673"/>
      <c r="F954" s="608"/>
      <c r="G954" s="608"/>
      <c r="H954" s="608"/>
      <c r="I954" s="608"/>
      <c r="J954" s="676"/>
    </row>
    <row r="955" spans="1:10" s="1297" customFormat="1">
      <c r="A955" s="518"/>
      <c r="B955" s="1544" t="s">
        <v>2652</v>
      </c>
      <c r="C955" s="1459"/>
      <c r="D955" s="685" t="s">
        <v>508</v>
      </c>
      <c r="E955" s="1545"/>
      <c r="F955" s="1546"/>
      <c r="G955" s="1546"/>
      <c r="H955" s="674"/>
      <c r="I955" s="674"/>
      <c r="J955" s="558"/>
    </row>
    <row r="956" spans="1:10">
      <c r="A956" s="1316" t="s">
        <v>2637</v>
      </c>
      <c r="B956" s="1059" t="s">
        <v>870</v>
      </c>
      <c r="C956" s="1468"/>
      <c r="D956" s="603"/>
      <c r="E956" s="604"/>
      <c r="F956" s="571"/>
      <c r="G956" s="534"/>
      <c r="H956" s="571"/>
      <c r="I956" s="571"/>
      <c r="J956" s="569"/>
    </row>
    <row r="957" spans="1:10">
      <c r="A957" s="1060"/>
      <c r="B957" s="1061" t="s">
        <v>871</v>
      </c>
      <c r="C957" s="1468"/>
      <c r="D957" s="603"/>
      <c r="E957" s="604"/>
      <c r="F957" s="571"/>
      <c r="G957" s="534"/>
      <c r="H957" s="571"/>
      <c r="I957" s="571"/>
      <c r="J957" s="571"/>
    </row>
    <row r="958" spans="1:10">
      <c r="A958" s="1060"/>
      <c r="B958" s="1061" t="s">
        <v>872</v>
      </c>
      <c r="C958" s="1477"/>
      <c r="D958" s="1062" t="s">
        <v>15</v>
      </c>
      <c r="E958" s="1063"/>
      <c r="F958" s="1063"/>
      <c r="G958" s="1063"/>
      <c r="H958" s="1063"/>
      <c r="I958" s="1063"/>
      <c r="J958" s="571"/>
    </row>
    <row r="959" spans="1:10">
      <c r="A959" s="1060"/>
      <c r="B959" s="1061" t="s">
        <v>873</v>
      </c>
      <c r="C959" s="1477"/>
      <c r="D959" s="1064" t="s">
        <v>57</v>
      </c>
      <c r="E959" s="1063"/>
      <c r="F959" s="1057"/>
      <c r="G959" s="1057"/>
      <c r="H959" s="1057"/>
      <c r="I959" s="1057"/>
      <c r="J959" s="571"/>
    </row>
    <row r="960" spans="1:10">
      <c r="A960" s="1060"/>
      <c r="B960" s="1061" t="s">
        <v>874</v>
      </c>
      <c r="C960" s="1477"/>
      <c r="D960" s="1064" t="s">
        <v>57</v>
      </c>
      <c r="E960" s="1063"/>
      <c r="F960" s="1057"/>
      <c r="G960" s="1057"/>
      <c r="H960" s="1057"/>
      <c r="I960" s="1057"/>
      <c r="J960" s="571"/>
    </row>
    <row r="961" spans="1:10">
      <c r="A961" s="1060"/>
      <c r="B961" s="1061" t="s">
        <v>841</v>
      </c>
      <c r="C961" s="1477"/>
      <c r="D961" s="1065"/>
      <c r="E961" s="1063"/>
      <c r="F961" s="1063"/>
      <c r="G961" s="1063"/>
      <c r="H961" s="1063"/>
      <c r="I961" s="1063"/>
      <c r="J961" s="571"/>
    </row>
    <row r="962" spans="1:10">
      <c r="A962" s="1060"/>
      <c r="B962" s="1061" t="s">
        <v>875</v>
      </c>
      <c r="C962" s="1477"/>
      <c r="D962" s="1064" t="s">
        <v>57</v>
      </c>
      <c r="E962" s="489"/>
      <c r="F962" s="1066"/>
      <c r="G962" s="1067"/>
      <c r="H962" s="1066"/>
      <c r="I962" s="1066"/>
      <c r="J962" s="571"/>
    </row>
    <row r="963" spans="1:10">
      <c r="A963" s="1068"/>
      <c r="B963" s="1061" t="s">
        <v>866</v>
      </c>
      <c r="C963" s="1477"/>
      <c r="D963" s="1064" t="s">
        <v>57</v>
      </c>
      <c r="E963" s="489"/>
      <c r="F963" s="1066"/>
      <c r="G963" s="1067"/>
      <c r="H963" s="1066"/>
      <c r="I963" s="1066"/>
      <c r="J963" s="1058"/>
    </row>
    <row r="964" spans="1:10">
      <c r="A964" s="1068"/>
      <c r="B964" s="1061" t="s">
        <v>867</v>
      </c>
      <c r="C964" s="1477"/>
      <c r="D964" s="1064" t="s">
        <v>57</v>
      </c>
      <c r="E964" s="489"/>
      <c r="F964" s="1066"/>
      <c r="G964" s="1067"/>
      <c r="H964" s="1066"/>
      <c r="I964" s="1066"/>
      <c r="J964" s="571"/>
    </row>
    <row r="965" spans="1:10" s="1297" customFormat="1">
      <c r="A965" s="518"/>
      <c r="B965" s="1544" t="s">
        <v>2652</v>
      </c>
      <c r="C965" s="1459"/>
      <c r="D965" s="685" t="s">
        <v>508</v>
      </c>
      <c r="E965" s="1545"/>
      <c r="F965" s="1546"/>
      <c r="G965" s="1546"/>
      <c r="H965" s="674"/>
      <c r="I965" s="674"/>
      <c r="J965" s="558"/>
    </row>
    <row r="966" spans="1:10">
      <c r="A966" s="1347">
        <v>4.5</v>
      </c>
      <c r="B966" s="1345" t="s">
        <v>908</v>
      </c>
      <c r="C966" s="1478"/>
      <c r="D966" s="486"/>
      <c r="E966" s="1020"/>
      <c r="F966" s="1021"/>
      <c r="G966" s="1022"/>
      <c r="H966" s="1021"/>
      <c r="I966" s="1021"/>
      <c r="J966" s="565"/>
    </row>
    <row r="967" spans="1:10">
      <c r="A967" s="1316" t="s">
        <v>2629</v>
      </c>
      <c r="B967" s="1080" t="s">
        <v>728</v>
      </c>
      <c r="C967" s="1479"/>
      <c r="D967" s="1082"/>
      <c r="E967" s="1081"/>
      <c r="F967" s="1083"/>
      <c r="G967" s="1084"/>
      <c r="H967" s="1083"/>
      <c r="I967" s="1083"/>
      <c r="J967" s="558"/>
    </row>
    <row r="968" spans="1:10">
      <c r="A968" s="502"/>
      <c r="B968" s="1085" t="s">
        <v>1148</v>
      </c>
      <c r="C968" s="1479"/>
      <c r="D968" s="510" t="s">
        <v>15</v>
      </c>
      <c r="E968" s="1088"/>
      <c r="F968" s="1086"/>
      <c r="G968" s="1087"/>
      <c r="H968" s="1086"/>
      <c r="I968" s="1086"/>
      <c r="J968" s="558"/>
    </row>
    <row r="969" spans="1:10">
      <c r="A969" s="502"/>
      <c r="B969" s="1085" t="s">
        <v>1158</v>
      </c>
      <c r="C969" s="1479"/>
      <c r="D969" s="510" t="s">
        <v>15</v>
      </c>
      <c r="E969" s="1088"/>
      <c r="F969" s="1086"/>
      <c r="G969" s="1087"/>
      <c r="H969" s="1086"/>
      <c r="I969" s="1086"/>
      <c r="J969" s="558"/>
    </row>
    <row r="970" spans="1:10">
      <c r="A970" s="502"/>
      <c r="B970" s="1085" t="s">
        <v>1159</v>
      </c>
      <c r="C970" s="1479"/>
      <c r="D970" s="510" t="s">
        <v>15</v>
      </c>
      <c r="E970" s="1088"/>
      <c r="F970" s="1086"/>
      <c r="G970" s="1087"/>
      <c r="H970" s="1086"/>
      <c r="I970" s="1086"/>
      <c r="J970" s="558"/>
    </row>
    <row r="971" spans="1:10">
      <c r="A971" s="502"/>
      <c r="B971" s="1085" t="s">
        <v>1160</v>
      </c>
      <c r="C971" s="1479"/>
      <c r="D971" s="510" t="s">
        <v>15</v>
      </c>
      <c r="E971" s="1088"/>
      <c r="F971" s="1086"/>
      <c r="G971" s="1087"/>
      <c r="H971" s="1086"/>
      <c r="I971" s="1086"/>
      <c r="J971" s="558"/>
    </row>
    <row r="972" spans="1:10">
      <c r="A972" s="502"/>
      <c r="B972" s="1085" t="s">
        <v>1161</v>
      </c>
      <c r="C972" s="1479"/>
      <c r="D972" s="510" t="s">
        <v>15</v>
      </c>
      <c r="E972" s="1088"/>
      <c r="F972" s="1086"/>
      <c r="G972" s="1087"/>
      <c r="H972" s="1086"/>
      <c r="I972" s="1086"/>
      <c r="J972" s="558"/>
    </row>
    <row r="973" spans="1:10">
      <c r="A973" s="502"/>
      <c r="B973" s="1085" t="s">
        <v>1168</v>
      </c>
      <c r="C973" s="1479"/>
      <c r="D973" s="510" t="s">
        <v>15</v>
      </c>
      <c r="E973" s="1088"/>
      <c r="F973" s="1086"/>
      <c r="G973" s="1087"/>
      <c r="H973" s="1086"/>
      <c r="I973" s="1086"/>
      <c r="J973" s="558"/>
    </row>
    <row r="974" spans="1:10">
      <c r="A974" s="1316" t="s">
        <v>1243</v>
      </c>
      <c r="B974" s="1080" t="s">
        <v>762</v>
      </c>
      <c r="C974" s="1479"/>
      <c r="D974" s="1082"/>
      <c r="E974" s="1081"/>
      <c r="F974" s="1083"/>
      <c r="G974" s="1084"/>
      <c r="H974" s="1083"/>
      <c r="I974" s="1083"/>
      <c r="J974" s="558"/>
    </row>
    <row r="975" spans="1:10">
      <c r="A975" s="502"/>
      <c r="B975" s="1085" t="s">
        <v>768</v>
      </c>
      <c r="C975" s="1479"/>
      <c r="D975" s="510" t="s">
        <v>15</v>
      </c>
      <c r="E975" s="1421"/>
      <c r="F975" s="1086"/>
      <c r="G975" s="1087"/>
      <c r="H975" s="1086"/>
      <c r="I975" s="1086"/>
      <c r="J975" s="558"/>
    </row>
    <row r="976" spans="1:10">
      <c r="A976" s="502"/>
      <c r="B976" s="1085" t="s">
        <v>769</v>
      </c>
      <c r="C976" s="1479"/>
      <c r="D976" s="510" t="s">
        <v>15</v>
      </c>
      <c r="E976" s="1421"/>
      <c r="F976" s="1086"/>
      <c r="G976" s="1087"/>
      <c r="H976" s="1086"/>
      <c r="I976" s="1086"/>
      <c r="J976" s="558"/>
    </row>
    <row r="977" spans="1:10">
      <c r="A977" s="502"/>
      <c r="B977" s="1085" t="s">
        <v>774</v>
      </c>
      <c r="C977" s="1479"/>
      <c r="D977" s="510" t="s">
        <v>15</v>
      </c>
      <c r="E977" s="1088"/>
      <c r="F977" s="1086"/>
      <c r="G977" s="1087"/>
      <c r="H977" s="1086"/>
      <c r="I977" s="1086"/>
      <c r="J977" s="558"/>
    </row>
    <row r="978" spans="1:10">
      <c r="A978" s="1316" t="s">
        <v>2638</v>
      </c>
      <c r="B978" s="1080" t="s">
        <v>776</v>
      </c>
      <c r="C978" s="1479"/>
      <c r="D978" s="1082"/>
      <c r="E978" s="1081"/>
      <c r="F978" s="1083"/>
      <c r="G978" s="1084"/>
      <c r="H978" s="1083"/>
      <c r="I978" s="1083"/>
      <c r="J978" s="558"/>
    </row>
    <row r="979" spans="1:10">
      <c r="A979" s="502"/>
      <c r="B979" s="1085" t="s">
        <v>778</v>
      </c>
      <c r="C979" s="1479"/>
      <c r="D979" s="1094" t="s">
        <v>57</v>
      </c>
      <c r="E979" s="489"/>
      <c r="F979" s="1086"/>
      <c r="G979" s="1067"/>
      <c r="H979" s="1086"/>
      <c r="I979" s="1086"/>
      <c r="J979" s="558"/>
    </row>
    <row r="980" spans="1:10">
      <c r="A980" s="502"/>
      <c r="B980" s="1085" t="s">
        <v>779</v>
      </c>
      <c r="C980" s="1479"/>
      <c r="D980" s="1094" t="s">
        <v>57</v>
      </c>
      <c r="E980" s="489"/>
      <c r="F980" s="1086"/>
      <c r="G980" s="1067"/>
      <c r="H980" s="1086"/>
      <c r="I980" s="1086"/>
      <c r="J980" s="558"/>
    </row>
    <row r="981" spans="1:10">
      <c r="A981" s="502"/>
      <c r="B981" s="1085" t="s">
        <v>782</v>
      </c>
      <c r="C981" s="1479"/>
      <c r="D981" s="1094" t="s">
        <v>57</v>
      </c>
      <c r="E981" s="489"/>
      <c r="F981" s="1086"/>
      <c r="G981" s="1067"/>
      <c r="H981" s="1086"/>
      <c r="I981" s="1086"/>
      <c r="J981" s="558"/>
    </row>
    <row r="982" spans="1:10">
      <c r="A982" s="502"/>
      <c r="B982" s="1085" t="s">
        <v>788</v>
      </c>
      <c r="C982" s="1479"/>
      <c r="D982" s="1094" t="s">
        <v>57</v>
      </c>
      <c r="E982" s="489"/>
      <c r="F982" s="1086"/>
      <c r="G982" s="1067"/>
      <c r="H982" s="1086"/>
      <c r="I982" s="1086"/>
      <c r="J982" s="558"/>
    </row>
    <row r="983" spans="1:10" s="1297" customFormat="1">
      <c r="A983" s="518"/>
      <c r="B983" s="1544" t="s">
        <v>2652</v>
      </c>
      <c r="C983" s="1459"/>
      <c r="D983" s="685" t="s">
        <v>508</v>
      </c>
      <c r="E983" s="1545"/>
      <c r="F983" s="1546"/>
      <c r="G983" s="1546"/>
      <c r="H983" s="674"/>
      <c r="I983" s="674"/>
      <c r="J983" s="558"/>
    </row>
    <row r="984" spans="1:10">
      <c r="A984" s="1316" t="s">
        <v>2639</v>
      </c>
      <c r="B984" s="1080" t="s">
        <v>793</v>
      </c>
      <c r="C984" s="1479"/>
      <c r="D984" s="1082"/>
      <c r="E984" s="1081"/>
      <c r="F984" s="1083"/>
      <c r="G984" s="1084"/>
      <c r="H984" s="1083"/>
      <c r="I984" s="1083"/>
      <c r="J984" s="558"/>
    </row>
    <row r="985" spans="1:10">
      <c r="A985" s="502"/>
      <c r="B985" s="1085" t="s">
        <v>798</v>
      </c>
      <c r="C985" s="1479"/>
      <c r="D985" s="1094" t="s">
        <v>57</v>
      </c>
      <c r="E985" s="489"/>
      <c r="F985" s="1086"/>
      <c r="G985" s="1067"/>
      <c r="H985" s="1086"/>
      <c r="I985" s="1086"/>
      <c r="J985" s="558"/>
    </row>
    <row r="986" spans="1:10">
      <c r="A986" s="502"/>
      <c r="B986" s="1085" t="s">
        <v>799</v>
      </c>
      <c r="C986" s="1479"/>
      <c r="D986" s="1094" t="s">
        <v>57</v>
      </c>
      <c r="E986" s="489"/>
      <c r="F986" s="1086"/>
      <c r="G986" s="1067"/>
      <c r="H986" s="1086"/>
      <c r="I986" s="1086"/>
      <c r="J986" s="558"/>
    </row>
    <row r="987" spans="1:10">
      <c r="A987" s="502"/>
      <c r="B987" s="1085" t="s">
        <v>800</v>
      </c>
      <c r="C987" s="1479"/>
      <c r="D987" s="1094" t="s">
        <v>57</v>
      </c>
      <c r="E987" s="489"/>
      <c r="F987" s="1086"/>
      <c r="G987" s="1067"/>
      <c r="H987" s="1086"/>
      <c r="I987" s="1086"/>
      <c r="J987" s="558"/>
    </row>
    <row r="988" spans="1:10">
      <c r="A988" s="502"/>
      <c r="B988" s="1085" t="s">
        <v>803</v>
      </c>
      <c r="C988" s="1479"/>
      <c r="D988" s="1094" t="s">
        <v>57</v>
      </c>
      <c r="E988" s="489"/>
      <c r="F988" s="1086"/>
      <c r="G988" s="1067"/>
      <c r="H988" s="1086"/>
      <c r="I988" s="1086"/>
      <c r="J988" s="558"/>
    </row>
    <row r="989" spans="1:10">
      <c r="A989" s="502"/>
      <c r="B989" s="1085" t="s">
        <v>807</v>
      </c>
      <c r="C989" s="1479"/>
      <c r="D989" s="1094" t="s">
        <v>57</v>
      </c>
      <c r="E989" s="489"/>
      <c r="F989" s="1086"/>
      <c r="G989" s="1067"/>
      <c r="H989" s="1086"/>
      <c r="I989" s="1086"/>
      <c r="J989" s="558"/>
    </row>
    <row r="990" spans="1:10" s="1297" customFormat="1">
      <c r="A990" s="518"/>
      <c r="B990" s="1544" t="s">
        <v>2652</v>
      </c>
      <c r="C990" s="1459"/>
      <c r="D990" s="685" t="s">
        <v>508</v>
      </c>
      <c r="E990" s="1545"/>
      <c r="F990" s="1546"/>
      <c r="G990" s="1546"/>
      <c r="H990" s="674"/>
      <c r="I990" s="674"/>
      <c r="J990" s="558"/>
    </row>
    <row r="991" spans="1:10">
      <c r="A991" s="1316" t="s">
        <v>2640</v>
      </c>
      <c r="B991" s="1080" t="s">
        <v>811</v>
      </c>
      <c r="C991" s="1479"/>
      <c r="D991" s="1082"/>
      <c r="E991" s="1081"/>
      <c r="F991" s="1083"/>
      <c r="G991" s="1084"/>
      <c r="H991" s="1083"/>
      <c r="I991" s="1083"/>
      <c r="J991" s="558"/>
    </row>
    <row r="992" spans="1:10">
      <c r="A992" s="502"/>
      <c r="B992" s="1085" t="s">
        <v>812</v>
      </c>
      <c r="C992" s="1479"/>
      <c r="D992" s="510" t="s">
        <v>15</v>
      </c>
      <c r="E992" s="489"/>
      <c r="F992" s="1086"/>
      <c r="G992" s="1067"/>
      <c r="H992" s="1086"/>
      <c r="I992" s="1086"/>
      <c r="J992" s="558"/>
    </row>
    <row r="993" spans="1:10">
      <c r="A993" s="502"/>
      <c r="B993" s="1085" t="s">
        <v>815</v>
      </c>
      <c r="C993" s="1479"/>
      <c r="D993" s="510" t="s">
        <v>15</v>
      </c>
      <c r="E993" s="489"/>
      <c r="F993" s="1086"/>
      <c r="G993" s="1067"/>
      <c r="H993" s="1086"/>
      <c r="I993" s="1086"/>
      <c r="J993" s="558"/>
    </row>
    <row r="994" spans="1:10">
      <c r="A994" s="502"/>
      <c r="B994" s="1085" t="s">
        <v>816</v>
      </c>
      <c r="C994" s="1479"/>
      <c r="D994" s="510" t="s">
        <v>15</v>
      </c>
      <c r="E994" s="489"/>
      <c r="F994" s="1086"/>
      <c r="G994" s="1067"/>
      <c r="H994" s="1086"/>
      <c r="I994" s="1086"/>
      <c r="J994" s="558"/>
    </row>
    <row r="995" spans="1:10">
      <c r="A995" s="502"/>
      <c r="B995" s="1085" t="s">
        <v>818</v>
      </c>
      <c r="C995" s="1479"/>
      <c r="D995" s="510" t="s">
        <v>15</v>
      </c>
      <c r="E995" s="489"/>
      <c r="F995" s="1086"/>
      <c r="G995" s="1067"/>
      <c r="H995" s="1086"/>
      <c r="I995" s="1086"/>
      <c r="J995" s="558"/>
    </row>
    <row r="996" spans="1:10">
      <c r="A996" s="504">
        <v>4.5999999999999996</v>
      </c>
      <c r="B996" s="1422" t="s">
        <v>1169</v>
      </c>
      <c r="C996" s="1479"/>
      <c r="D996" s="1092"/>
      <c r="E996" s="1088"/>
      <c r="F996" s="1086"/>
      <c r="G996" s="1093"/>
      <c r="H996" s="1086"/>
      <c r="I996" s="1086"/>
      <c r="J996" s="558"/>
    </row>
    <row r="997" spans="1:10">
      <c r="A997" s="1317" t="s">
        <v>2586</v>
      </c>
      <c r="B997" s="1423" t="s">
        <v>728</v>
      </c>
      <c r="C997" s="1479"/>
      <c r="D997" s="1082"/>
      <c r="E997" s="1081"/>
      <c r="F997" s="1083"/>
      <c r="G997" s="1084"/>
      <c r="H997" s="1083"/>
      <c r="I997" s="1083"/>
      <c r="J997" s="558"/>
    </row>
    <row r="998" spans="1:10">
      <c r="A998" s="502"/>
      <c r="B998" s="1085" t="s">
        <v>915</v>
      </c>
      <c r="C998" s="1479"/>
      <c r="D998" s="510" t="s">
        <v>15</v>
      </c>
      <c r="E998" s="1088"/>
      <c r="F998" s="1086"/>
      <c r="G998" s="1087"/>
      <c r="H998" s="1086"/>
      <c r="I998" s="1086"/>
      <c r="J998" s="558"/>
    </row>
    <row r="999" spans="1:10">
      <c r="A999" s="502"/>
      <c r="B999" s="1085" t="s">
        <v>916</v>
      </c>
      <c r="C999" s="1479"/>
      <c r="D999" s="510" t="s">
        <v>15</v>
      </c>
      <c r="E999" s="1088"/>
      <c r="F999" s="1086"/>
      <c r="G999" s="1087"/>
      <c r="H999" s="1086"/>
      <c r="I999" s="1086"/>
      <c r="J999" s="558"/>
    </row>
    <row r="1000" spans="1:10">
      <c r="A1000" s="502"/>
      <c r="B1000" s="1085" t="s">
        <v>917</v>
      </c>
      <c r="C1000" s="1479"/>
      <c r="D1000" s="510" t="s">
        <v>15</v>
      </c>
      <c r="E1000" s="1088"/>
      <c r="F1000" s="1086"/>
      <c r="G1000" s="1087"/>
      <c r="H1000" s="1086"/>
      <c r="I1000" s="1086"/>
      <c r="J1000" s="558"/>
    </row>
    <row r="1001" spans="1:10">
      <c r="A1001" s="1317" t="s">
        <v>2587</v>
      </c>
      <c r="B1001" s="1080" t="s">
        <v>762</v>
      </c>
      <c r="C1001" s="1479"/>
      <c r="D1001" s="1082"/>
      <c r="E1001" s="1081"/>
      <c r="F1001" s="1083"/>
      <c r="G1001" s="1084"/>
      <c r="H1001" s="1083"/>
      <c r="I1001" s="1083"/>
      <c r="J1001" s="558"/>
    </row>
    <row r="1002" spans="1:10">
      <c r="A1002" s="502"/>
      <c r="B1002" s="1085" t="s">
        <v>763</v>
      </c>
      <c r="C1002" s="1479"/>
      <c r="D1002" s="510" t="s">
        <v>15</v>
      </c>
      <c r="E1002" s="1088"/>
      <c r="F1002" s="1086"/>
      <c r="G1002" s="1087"/>
      <c r="H1002" s="1086"/>
      <c r="I1002" s="1086"/>
      <c r="J1002" s="558"/>
    </row>
    <row r="1003" spans="1:10">
      <c r="A1003" s="502"/>
      <c r="B1003" s="1085" t="s">
        <v>769</v>
      </c>
      <c r="C1003" s="1479"/>
      <c r="D1003" s="510" t="s">
        <v>15</v>
      </c>
      <c r="E1003" s="1421"/>
      <c r="F1003" s="1086"/>
      <c r="G1003" s="1087"/>
      <c r="H1003" s="1086"/>
      <c r="I1003" s="1086"/>
      <c r="J1003" s="558"/>
    </row>
    <row r="1004" spans="1:10">
      <c r="A1004" s="502"/>
      <c r="B1004" s="1085" t="s">
        <v>770</v>
      </c>
      <c r="C1004" s="1479"/>
      <c r="D1004" s="510" t="s">
        <v>15</v>
      </c>
      <c r="E1004" s="1421"/>
      <c r="F1004" s="1086"/>
      <c r="G1004" s="1087"/>
      <c r="H1004" s="1086"/>
      <c r="I1004" s="1086"/>
      <c r="J1004" s="558"/>
    </row>
    <row r="1005" spans="1:10">
      <c r="A1005" s="502"/>
      <c r="B1005" s="1085" t="s">
        <v>1162</v>
      </c>
      <c r="C1005" s="1479"/>
      <c r="D1005" s="510" t="s">
        <v>15</v>
      </c>
      <c r="E1005" s="1088"/>
      <c r="F1005" s="1086"/>
      <c r="G1005" s="1087"/>
      <c r="H1005" s="1086"/>
      <c r="I1005" s="1086"/>
      <c r="J1005" s="558"/>
    </row>
    <row r="1006" spans="1:10">
      <c r="A1006" s="502"/>
      <c r="B1006" s="1085" t="s">
        <v>771</v>
      </c>
      <c r="C1006" s="1479"/>
      <c r="D1006" s="510" t="s">
        <v>15</v>
      </c>
      <c r="E1006" s="1088"/>
      <c r="F1006" s="1086"/>
      <c r="G1006" s="1087"/>
      <c r="H1006" s="1086"/>
      <c r="I1006" s="1086"/>
      <c r="J1006" s="558"/>
    </row>
    <row r="1007" spans="1:10">
      <c r="A1007" s="502"/>
      <c r="B1007" s="1085" t="s">
        <v>1165</v>
      </c>
      <c r="C1007" s="1479"/>
      <c r="D1007" s="510" t="s">
        <v>15</v>
      </c>
      <c r="E1007" s="1088"/>
      <c r="F1007" s="1086"/>
      <c r="G1007" s="1087"/>
      <c r="H1007" s="1086"/>
      <c r="I1007" s="1086"/>
      <c r="J1007" s="558"/>
    </row>
    <row r="1008" spans="1:10">
      <c r="A1008" s="1317" t="s">
        <v>2588</v>
      </c>
      <c r="B1008" s="1080" t="s">
        <v>776</v>
      </c>
      <c r="C1008" s="1479"/>
      <c r="D1008" s="1082"/>
      <c r="E1008" s="1081"/>
      <c r="F1008" s="1083"/>
      <c r="G1008" s="1084"/>
      <c r="H1008" s="1083"/>
      <c r="I1008" s="1083"/>
      <c r="J1008" s="558"/>
    </row>
    <row r="1009" spans="1:10">
      <c r="A1009" s="502"/>
      <c r="B1009" s="1085" t="s">
        <v>784</v>
      </c>
      <c r="C1009" s="1479"/>
      <c r="D1009" s="1094" t="s">
        <v>57</v>
      </c>
      <c r="E1009" s="489"/>
      <c r="F1009" s="1086"/>
      <c r="G1009" s="1067"/>
      <c r="H1009" s="1086"/>
      <c r="I1009" s="1086"/>
      <c r="J1009" s="558"/>
    </row>
    <row r="1010" spans="1:10">
      <c r="A1010" s="502"/>
      <c r="B1010" s="1085" t="s">
        <v>786</v>
      </c>
      <c r="C1010" s="1479"/>
      <c r="D1010" s="1094" t="s">
        <v>57</v>
      </c>
      <c r="E1010" s="489"/>
      <c r="F1010" s="1086"/>
      <c r="G1010" s="1067"/>
      <c r="H1010" s="1086"/>
      <c r="I1010" s="1086"/>
      <c r="J1010" s="558"/>
    </row>
    <row r="1011" spans="1:10">
      <c r="A1011" s="502"/>
      <c r="B1011" s="1085" t="s">
        <v>787</v>
      </c>
      <c r="C1011" s="1479"/>
      <c r="D1011" s="1094" t="s">
        <v>57</v>
      </c>
      <c r="E1011" s="489"/>
      <c r="F1011" s="1086"/>
      <c r="G1011" s="1067"/>
      <c r="H1011" s="1086"/>
      <c r="I1011" s="1086"/>
      <c r="J1011" s="558"/>
    </row>
    <row r="1012" spans="1:10">
      <c r="A1012" s="502"/>
      <c r="B1012" s="1085" t="s">
        <v>788</v>
      </c>
      <c r="C1012" s="1479"/>
      <c r="D1012" s="1094" t="s">
        <v>57</v>
      </c>
      <c r="E1012" s="489"/>
      <c r="F1012" s="1086"/>
      <c r="G1012" s="1067"/>
      <c r="H1012" s="1086"/>
      <c r="I1012" s="1086"/>
      <c r="J1012" s="558"/>
    </row>
    <row r="1013" spans="1:10" s="1297" customFormat="1">
      <c r="A1013" s="518"/>
      <c r="B1013" s="1544" t="s">
        <v>2652</v>
      </c>
      <c r="C1013" s="1459"/>
      <c r="D1013" s="685" t="s">
        <v>508</v>
      </c>
      <c r="E1013" s="1545"/>
      <c r="F1013" s="1546"/>
      <c r="G1013" s="1546"/>
      <c r="H1013" s="674"/>
      <c r="I1013" s="674"/>
      <c r="J1013" s="558"/>
    </row>
    <row r="1014" spans="1:10">
      <c r="A1014" s="1317" t="s">
        <v>2589</v>
      </c>
      <c r="B1014" s="1080" t="s">
        <v>793</v>
      </c>
      <c r="C1014" s="1479"/>
      <c r="D1014" s="1082"/>
      <c r="E1014" s="1081"/>
      <c r="F1014" s="1083"/>
      <c r="G1014" s="1084"/>
      <c r="H1014" s="1083"/>
      <c r="I1014" s="1083"/>
      <c r="J1014" s="558"/>
    </row>
    <row r="1015" spans="1:10">
      <c r="A1015" s="502"/>
      <c r="B1015" s="1085" t="s">
        <v>802</v>
      </c>
      <c r="C1015" s="1479"/>
      <c r="D1015" s="1094" t="s">
        <v>57</v>
      </c>
      <c r="E1015" s="489"/>
      <c r="F1015" s="1086"/>
      <c r="G1015" s="1067"/>
      <c r="H1015" s="1086"/>
      <c r="I1015" s="1086"/>
      <c r="J1015" s="558"/>
    </row>
    <row r="1016" spans="1:10">
      <c r="A1016" s="502"/>
      <c r="B1016" s="1085" t="s">
        <v>804</v>
      </c>
      <c r="C1016" s="1479"/>
      <c r="D1016" s="1094" t="s">
        <v>57</v>
      </c>
      <c r="E1016" s="489"/>
      <c r="F1016" s="1086"/>
      <c r="G1016" s="1067"/>
      <c r="H1016" s="1086"/>
      <c r="I1016" s="1086"/>
      <c r="J1016" s="558"/>
    </row>
    <row r="1017" spans="1:10">
      <c r="A1017" s="502"/>
      <c r="B1017" s="1085" t="s">
        <v>805</v>
      </c>
      <c r="C1017" s="1479"/>
      <c r="D1017" s="1094" t="s">
        <v>57</v>
      </c>
      <c r="E1017" s="489"/>
      <c r="F1017" s="1086"/>
      <c r="G1017" s="1067"/>
      <c r="H1017" s="1086"/>
      <c r="I1017" s="1086"/>
      <c r="J1017" s="558"/>
    </row>
    <row r="1018" spans="1:10">
      <c r="A1018" s="502"/>
      <c r="B1018" s="1085" t="s">
        <v>806</v>
      </c>
      <c r="C1018" s="1479"/>
      <c r="D1018" s="1094" t="s">
        <v>57</v>
      </c>
      <c r="E1018" s="489"/>
      <c r="F1018" s="1086"/>
      <c r="G1018" s="1067"/>
      <c r="H1018" s="1086"/>
      <c r="I1018" s="1086"/>
      <c r="J1018" s="558"/>
    </row>
    <row r="1019" spans="1:10">
      <c r="A1019" s="502"/>
      <c r="B1019" s="1085" t="s">
        <v>807</v>
      </c>
      <c r="C1019" s="1479"/>
      <c r="D1019" s="1094" t="s">
        <v>57</v>
      </c>
      <c r="E1019" s="489"/>
      <c r="F1019" s="1086"/>
      <c r="G1019" s="1067"/>
      <c r="H1019" s="1086"/>
      <c r="I1019" s="1086"/>
      <c r="J1019" s="558"/>
    </row>
    <row r="1020" spans="1:10" s="1297" customFormat="1">
      <c r="A1020" s="518"/>
      <c r="B1020" s="1544" t="s">
        <v>2652</v>
      </c>
      <c r="C1020" s="1459"/>
      <c r="D1020" s="685" t="s">
        <v>508</v>
      </c>
      <c r="E1020" s="1545"/>
      <c r="F1020" s="1546"/>
      <c r="G1020" s="1546"/>
      <c r="H1020" s="674"/>
      <c r="I1020" s="674"/>
      <c r="J1020" s="558"/>
    </row>
    <row r="1021" spans="1:10">
      <c r="A1021" s="1317" t="s">
        <v>2590</v>
      </c>
      <c r="B1021" s="1080" t="s">
        <v>811</v>
      </c>
      <c r="C1021" s="1479"/>
      <c r="D1021" s="1082"/>
      <c r="E1021" s="1081"/>
      <c r="F1021" s="1083"/>
      <c r="G1021" s="1084"/>
      <c r="H1021" s="1083"/>
      <c r="I1021" s="1083"/>
      <c r="J1021" s="558"/>
    </row>
    <row r="1022" spans="1:10">
      <c r="A1022" s="502"/>
      <c r="B1022" s="1085" t="s">
        <v>812</v>
      </c>
      <c r="C1022" s="1479"/>
      <c r="D1022" s="510" t="s">
        <v>15</v>
      </c>
      <c r="E1022" s="489"/>
      <c r="F1022" s="1086"/>
      <c r="G1022" s="1067"/>
      <c r="H1022" s="1086"/>
      <c r="I1022" s="1086"/>
      <c r="J1022" s="558"/>
    </row>
    <row r="1023" spans="1:10">
      <c r="A1023" s="502"/>
      <c r="B1023" s="1085" t="s">
        <v>815</v>
      </c>
      <c r="C1023" s="1479"/>
      <c r="D1023" s="510" t="s">
        <v>15</v>
      </c>
      <c r="E1023" s="489"/>
      <c r="F1023" s="1086"/>
      <c r="G1023" s="1067"/>
      <c r="H1023" s="1086"/>
      <c r="I1023" s="1086"/>
      <c r="J1023" s="558"/>
    </row>
    <row r="1024" spans="1:10">
      <c r="A1024" s="502"/>
      <c r="B1024" s="1085" t="s">
        <v>816</v>
      </c>
      <c r="C1024" s="1479"/>
      <c r="D1024" s="510" t="s">
        <v>15</v>
      </c>
      <c r="E1024" s="489"/>
      <c r="F1024" s="1086"/>
      <c r="G1024" s="1067"/>
      <c r="H1024" s="1086"/>
      <c r="I1024" s="1086"/>
      <c r="J1024" s="558"/>
    </row>
    <row r="1025" spans="1:10">
      <c r="A1025" s="502"/>
      <c r="B1025" s="1085" t="s">
        <v>818</v>
      </c>
      <c r="C1025" s="1479"/>
      <c r="D1025" s="510" t="s">
        <v>15</v>
      </c>
      <c r="E1025" s="489"/>
      <c r="F1025" s="1086"/>
      <c r="G1025" s="1067"/>
      <c r="H1025" s="1086"/>
      <c r="I1025" s="1086"/>
      <c r="J1025" s="558"/>
    </row>
    <row r="1026" spans="1:10">
      <c r="A1026" s="1317" t="s">
        <v>2591</v>
      </c>
      <c r="B1026" s="1080" t="s">
        <v>658</v>
      </c>
      <c r="C1026" s="1479"/>
      <c r="D1026" s="1082"/>
      <c r="E1026" s="1081"/>
      <c r="F1026" s="1083"/>
      <c r="G1026" s="1084"/>
      <c r="H1026" s="1083"/>
      <c r="I1026" s="1083"/>
      <c r="J1026" s="558"/>
    </row>
    <row r="1027" spans="1:10">
      <c r="A1027" s="502"/>
      <c r="B1027" s="1085" t="s">
        <v>820</v>
      </c>
      <c r="C1027" s="1479"/>
      <c r="D1027" s="1094" t="s">
        <v>57</v>
      </c>
      <c r="E1027" s="489"/>
      <c r="F1027" s="1086"/>
      <c r="G1027" s="1067"/>
      <c r="H1027" s="1086"/>
      <c r="I1027" s="1086"/>
      <c r="J1027" s="558"/>
    </row>
    <row r="1028" spans="1:10">
      <c r="A1028" s="502"/>
      <c r="B1028" s="1085" t="s">
        <v>821</v>
      </c>
      <c r="C1028" s="1479"/>
      <c r="D1028" s="1094" t="s">
        <v>57</v>
      </c>
      <c r="E1028" s="489"/>
      <c r="F1028" s="1086"/>
      <c r="G1028" s="1067"/>
      <c r="H1028" s="1086"/>
      <c r="I1028" s="1086"/>
      <c r="J1028" s="558"/>
    </row>
    <row r="1029" spans="1:10" s="1297" customFormat="1">
      <c r="A1029" s="518"/>
      <c r="B1029" s="1544" t="s">
        <v>2652</v>
      </c>
      <c r="C1029" s="1459"/>
      <c r="D1029" s="685" t="s">
        <v>508</v>
      </c>
      <c r="E1029" s="1545"/>
      <c r="F1029" s="1546"/>
      <c r="G1029" s="1546"/>
      <c r="H1029" s="674"/>
      <c r="I1029" s="674"/>
      <c r="J1029" s="558"/>
    </row>
    <row r="1030" spans="1:10">
      <c r="A1030" s="502"/>
      <c r="B1030" s="1085" t="s">
        <v>822</v>
      </c>
      <c r="C1030" s="1479"/>
      <c r="D1030" s="510" t="s">
        <v>15</v>
      </c>
      <c r="E1030" s="489"/>
      <c r="F1030" s="1086"/>
      <c r="G1030" s="1067"/>
      <c r="H1030" s="1086"/>
      <c r="I1030" s="1086"/>
      <c r="J1030" s="558"/>
    </row>
    <row r="1031" spans="1:10">
      <c r="A1031" s="502"/>
      <c r="B1031" s="1085" t="s">
        <v>823</v>
      </c>
      <c r="C1031" s="1479"/>
      <c r="D1031" s="510" t="s">
        <v>15</v>
      </c>
      <c r="E1031" s="489"/>
      <c r="F1031" s="1086"/>
      <c r="G1031" s="1067"/>
      <c r="H1031" s="1086"/>
      <c r="I1031" s="1086"/>
      <c r="J1031" s="558"/>
    </row>
    <row r="1032" spans="1:10">
      <c r="A1032" s="502"/>
      <c r="B1032" s="1085" t="s">
        <v>824</v>
      </c>
      <c r="C1032" s="1479"/>
      <c r="D1032" s="510" t="s">
        <v>15</v>
      </c>
      <c r="E1032" s="489"/>
      <c r="F1032" s="1086"/>
      <c r="G1032" s="1067"/>
      <c r="H1032" s="1086"/>
      <c r="I1032" s="1086"/>
      <c r="J1032" s="558"/>
    </row>
    <row r="1033" spans="1:10">
      <c r="A1033" s="1317" t="s">
        <v>2592</v>
      </c>
      <c r="B1033" s="572" t="s">
        <v>844</v>
      </c>
      <c r="C1033" s="1437"/>
      <c r="D1033" s="506"/>
      <c r="E1033" s="506"/>
      <c r="F1033" s="489"/>
      <c r="G1033" s="550"/>
      <c r="H1033" s="550"/>
      <c r="I1033" s="550"/>
      <c r="J1033" s="558"/>
    </row>
    <row r="1034" spans="1:10">
      <c r="A1034" s="502"/>
      <c r="B1034" s="1061" t="s">
        <v>845</v>
      </c>
      <c r="C1034" s="1480"/>
      <c r="D1034" s="577"/>
      <c r="E1034" s="573"/>
      <c r="F1034" s="573"/>
      <c r="G1034" s="573"/>
      <c r="H1034" s="573"/>
      <c r="I1034" s="573"/>
      <c r="J1034" s="558"/>
    </row>
    <row r="1035" spans="1:10">
      <c r="A1035" s="502"/>
      <c r="B1035" s="1061" t="s">
        <v>2605</v>
      </c>
      <c r="C1035" s="1481"/>
      <c r="D1035" s="1099" t="s">
        <v>15</v>
      </c>
      <c r="E1035" s="1100"/>
      <c r="F1035" s="1100"/>
      <c r="G1035" s="1100"/>
      <c r="H1035" s="1100"/>
      <c r="I1035" s="1100"/>
      <c r="J1035" s="558"/>
    </row>
    <row r="1036" spans="1:10">
      <c r="A1036" s="502"/>
      <c r="B1036" s="1061" t="s">
        <v>848</v>
      </c>
      <c r="C1036" s="1481"/>
      <c r="D1036" s="1099" t="s">
        <v>15</v>
      </c>
      <c r="E1036" s="1100"/>
      <c r="F1036" s="1100"/>
      <c r="G1036" s="1100"/>
      <c r="H1036" s="1100"/>
      <c r="I1036" s="1100"/>
      <c r="J1036" s="558"/>
    </row>
    <row r="1037" spans="1:10">
      <c r="A1037" s="502"/>
      <c r="B1037" s="1061" t="s">
        <v>849</v>
      </c>
      <c r="C1037" s="1481"/>
      <c r="D1037" s="1094" t="s">
        <v>57</v>
      </c>
      <c r="E1037" s="1100"/>
      <c r="F1037" s="1100"/>
      <c r="G1037" s="1100"/>
      <c r="H1037" s="1100"/>
      <c r="I1037" s="1100"/>
      <c r="J1037" s="558"/>
    </row>
    <row r="1038" spans="1:10">
      <c r="A1038" s="502"/>
      <c r="B1038" s="1061" t="s">
        <v>838</v>
      </c>
      <c r="C1038" s="1481"/>
      <c r="D1038" s="1094" t="s">
        <v>57</v>
      </c>
      <c r="E1038" s="1100"/>
      <c r="F1038" s="1100"/>
      <c r="G1038" s="1100"/>
      <c r="H1038" s="1100"/>
      <c r="I1038" s="1100"/>
      <c r="J1038" s="558"/>
    </row>
    <row r="1039" spans="1:10">
      <c r="A1039" s="502"/>
      <c r="B1039" s="1061" t="s">
        <v>841</v>
      </c>
      <c r="C1039" s="1482"/>
      <c r="D1039" s="1099"/>
      <c r="E1039" s="1100"/>
      <c r="F1039" s="1100"/>
      <c r="G1039" s="1100"/>
      <c r="H1039" s="1100"/>
      <c r="I1039" s="1100"/>
      <c r="J1039" s="558"/>
    </row>
    <row r="1040" spans="1:10">
      <c r="A1040" s="502"/>
      <c r="B1040" s="1061" t="s">
        <v>2619</v>
      </c>
      <c r="C1040" s="1481"/>
      <c r="D1040" s="1094" t="s">
        <v>57</v>
      </c>
      <c r="E1040" s="489"/>
      <c r="F1040" s="1086"/>
      <c r="G1040" s="1067"/>
      <c r="H1040" s="1086"/>
      <c r="I1040" s="1086"/>
      <c r="J1040" s="558"/>
    </row>
    <row r="1041" spans="1:10">
      <c r="A1041" s="502"/>
      <c r="B1041" s="1061" t="s">
        <v>2631</v>
      </c>
      <c r="C1041" s="1482"/>
      <c r="D1041" s="1094" t="s">
        <v>57</v>
      </c>
      <c r="E1041" s="489"/>
      <c r="F1041" s="1086"/>
      <c r="G1041" s="1067"/>
      <c r="H1041" s="1086"/>
      <c r="I1041" s="1086"/>
      <c r="J1041" s="558"/>
    </row>
    <row r="1042" spans="1:10">
      <c r="A1042" s="502"/>
      <c r="B1042" s="1061" t="s">
        <v>2632</v>
      </c>
      <c r="C1042" s="1482"/>
      <c r="D1042" s="1094" t="s">
        <v>57</v>
      </c>
      <c r="E1042" s="489"/>
      <c r="F1042" s="1086"/>
      <c r="G1042" s="1067"/>
      <c r="H1042" s="1086"/>
      <c r="I1042" s="1086"/>
      <c r="J1042" s="558"/>
    </row>
    <row r="1043" spans="1:10" s="1297" customFormat="1">
      <c r="A1043" s="518"/>
      <c r="B1043" s="1544" t="s">
        <v>2652</v>
      </c>
      <c r="C1043" s="1459"/>
      <c r="D1043" s="685" t="s">
        <v>508</v>
      </c>
      <c r="E1043" s="1545"/>
      <c r="F1043" s="1546"/>
      <c r="G1043" s="1546"/>
      <c r="H1043" s="674"/>
      <c r="I1043" s="674"/>
      <c r="J1043" s="558"/>
    </row>
    <row r="1044" spans="1:10">
      <c r="A1044" s="1317" t="s">
        <v>2593</v>
      </c>
      <c r="B1044" s="601" t="s">
        <v>852</v>
      </c>
      <c r="C1044" s="1483"/>
      <c r="D1044" s="574"/>
      <c r="E1044" s="575"/>
      <c r="F1044" s="568"/>
      <c r="G1044" s="568"/>
      <c r="H1044" s="568"/>
      <c r="I1044" s="568"/>
      <c r="J1044" s="558"/>
    </row>
    <row r="1045" spans="1:10">
      <c r="A1045" s="502"/>
      <c r="B1045" s="1061" t="s">
        <v>853</v>
      </c>
      <c r="C1045" s="1481"/>
      <c r="D1045" s="1099" t="s">
        <v>15</v>
      </c>
      <c r="E1045" s="1100"/>
      <c r="F1045" s="1057"/>
      <c r="G1045" s="1057"/>
      <c r="H1045" s="1057"/>
      <c r="I1045" s="1057"/>
      <c r="J1045" s="558"/>
    </row>
    <row r="1046" spans="1:10">
      <c r="A1046" s="502"/>
      <c r="B1046" s="1061" t="s">
        <v>855</v>
      </c>
      <c r="C1046" s="1481"/>
      <c r="D1046" s="1099" t="s">
        <v>15</v>
      </c>
      <c r="E1046" s="1100"/>
      <c r="F1046" s="1057"/>
      <c r="G1046" s="1057"/>
      <c r="H1046" s="1057"/>
      <c r="I1046" s="1057"/>
      <c r="J1046" s="558"/>
    </row>
    <row r="1047" spans="1:10">
      <c r="A1047" s="502"/>
      <c r="B1047" s="1061" t="s">
        <v>856</v>
      </c>
      <c r="C1047" s="1481"/>
      <c r="D1047" s="1099" t="s">
        <v>15</v>
      </c>
      <c r="E1047" s="1100"/>
      <c r="F1047" s="1057"/>
      <c r="G1047" s="1057"/>
      <c r="H1047" s="1057"/>
      <c r="I1047" s="1057"/>
      <c r="J1047" s="558"/>
    </row>
    <row r="1048" spans="1:10">
      <c r="A1048" s="502"/>
      <c r="B1048" s="1061" t="s">
        <v>857</v>
      </c>
      <c r="C1048" s="1481"/>
      <c r="D1048" s="1099" t="s">
        <v>15</v>
      </c>
      <c r="E1048" s="1100"/>
      <c r="F1048" s="1057"/>
      <c r="G1048" s="1057"/>
      <c r="H1048" s="1057"/>
      <c r="I1048" s="1057"/>
      <c r="J1048" s="558"/>
    </row>
    <row r="1049" spans="1:10">
      <c r="A1049" s="502"/>
      <c r="B1049" s="1061" t="s">
        <v>858</v>
      </c>
      <c r="C1049" s="1481"/>
      <c r="D1049" s="1099" t="s">
        <v>15</v>
      </c>
      <c r="E1049" s="1100"/>
      <c r="F1049" s="1057"/>
      <c r="G1049" s="1057"/>
      <c r="H1049" s="1057"/>
      <c r="I1049" s="1057"/>
      <c r="J1049" s="558"/>
    </row>
    <row r="1050" spans="1:10">
      <c r="A1050" s="502"/>
      <c r="B1050" s="1061" t="s">
        <v>859</v>
      </c>
      <c r="C1050" s="1481"/>
      <c r="D1050" s="1099" t="s">
        <v>15</v>
      </c>
      <c r="E1050" s="1100"/>
      <c r="F1050" s="1057"/>
      <c r="G1050" s="1057"/>
      <c r="H1050" s="1057"/>
      <c r="I1050" s="1057"/>
      <c r="J1050" s="558"/>
    </row>
    <row r="1051" spans="1:10">
      <c r="A1051" s="1104"/>
      <c r="B1051" s="1061" t="s">
        <v>897</v>
      </c>
      <c r="C1051" s="1481"/>
      <c r="D1051" s="1099" t="s">
        <v>15</v>
      </c>
      <c r="E1051" s="1100"/>
      <c r="F1051" s="1057"/>
      <c r="G1051" s="1057"/>
      <c r="H1051" s="1057"/>
      <c r="I1051" s="1057"/>
      <c r="J1051" s="1083"/>
    </row>
    <row r="1052" spans="1:10">
      <c r="A1052" s="502"/>
      <c r="B1052" s="1061" t="s">
        <v>860</v>
      </c>
      <c r="C1052" s="1481"/>
      <c r="D1052" s="1099" t="s">
        <v>15</v>
      </c>
      <c r="E1052" s="1100"/>
      <c r="F1052" s="1057"/>
      <c r="G1052" s="1057"/>
      <c r="H1052" s="1057"/>
      <c r="I1052" s="1057"/>
      <c r="J1052" s="558"/>
    </row>
    <row r="1053" spans="1:10">
      <c r="A1053" s="502"/>
      <c r="B1053" s="1061" t="s">
        <v>861</v>
      </c>
      <c r="C1053" s="1481"/>
      <c r="D1053" s="1105"/>
      <c r="E1053" s="1100"/>
      <c r="F1053" s="1100"/>
      <c r="G1053" s="1100"/>
      <c r="H1053" s="1100"/>
      <c r="I1053" s="1100"/>
      <c r="J1053" s="558"/>
    </row>
    <row r="1054" spans="1:10">
      <c r="A1054" s="502"/>
      <c r="B1054" s="1061" t="s">
        <v>2573</v>
      </c>
      <c r="C1054" s="1481"/>
      <c r="D1054" s="1094" t="s">
        <v>57</v>
      </c>
      <c r="E1054" s="1100"/>
      <c r="F1054" s="1057"/>
      <c r="G1054" s="1057"/>
      <c r="H1054" s="1057"/>
      <c r="I1054" s="1057"/>
      <c r="J1054" s="558"/>
    </row>
    <row r="1055" spans="1:10">
      <c r="A1055" s="502"/>
      <c r="B1055" s="1061" t="s">
        <v>2574</v>
      </c>
      <c r="C1055" s="1481"/>
      <c r="D1055" s="1094" t="s">
        <v>57</v>
      </c>
      <c r="E1055" s="1100"/>
      <c r="F1055" s="1057"/>
      <c r="G1055" s="1057"/>
      <c r="H1055" s="1057"/>
      <c r="I1055" s="1057"/>
      <c r="J1055" s="558"/>
    </row>
    <row r="1056" spans="1:10">
      <c r="A1056" s="502"/>
      <c r="B1056" s="1061" t="s">
        <v>2575</v>
      </c>
      <c r="C1056" s="1481"/>
      <c r="D1056" s="1094" t="s">
        <v>57</v>
      </c>
      <c r="E1056" s="1100"/>
      <c r="F1056" s="1057"/>
      <c r="G1056" s="1057"/>
      <c r="H1056" s="1057"/>
      <c r="I1056" s="1057"/>
      <c r="J1056" s="558"/>
    </row>
    <row r="1057" spans="1:10">
      <c r="A1057" s="502"/>
      <c r="B1057" s="1061" t="s">
        <v>2576</v>
      </c>
      <c r="C1057" s="1481"/>
      <c r="D1057" s="1094" t="s">
        <v>57</v>
      </c>
      <c r="E1057" s="1100"/>
      <c r="F1057" s="1057"/>
      <c r="G1057" s="1057"/>
      <c r="H1057" s="1057"/>
      <c r="I1057" s="1057"/>
      <c r="J1057" s="558"/>
    </row>
    <row r="1058" spans="1:10">
      <c r="A1058" s="502"/>
      <c r="B1058" s="1061" t="s">
        <v>841</v>
      </c>
      <c r="C1058" s="1481"/>
      <c r="D1058" s="1105"/>
      <c r="E1058" s="1100"/>
      <c r="F1058" s="1100"/>
      <c r="G1058" s="1100"/>
      <c r="H1058" s="1100"/>
      <c r="I1058" s="1100"/>
      <c r="J1058" s="558"/>
    </row>
    <row r="1059" spans="1:10">
      <c r="A1059" s="502"/>
      <c r="B1059" s="1061" t="s">
        <v>2577</v>
      </c>
      <c r="C1059" s="1481"/>
      <c r="D1059" s="1094" t="s">
        <v>57</v>
      </c>
      <c r="E1059" s="489"/>
      <c r="F1059" s="1086"/>
      <c r="G1059" s="1067"/>
      <c r="H1059" s="1086"/>
      <c r="I1059" s="1086"/>
      <c r="J1059" s="558"/>
    </row>
    <row r="1060" spans="1:10">
      <c r="A1060" s="502"/>
      <c r="B1060" s="1061" t="s">
        <v>2578</v>
      </c>
      <c r="C1060" s="1481"/>
      <c r="D1060" s="1094" t="s">
        <v>57</v>
      </c>
      <c r="E1060" s="489"/>
      <c r="F1060" s="1086"/>
      <c r="G1060" s="1067"/>
      <c r="H1060" s="1086"/>
      <c r="I1060" s="1086"/>
      <c r="J1060" s="558"/>
    </row>
    <row r="1061" spans="1:10" s="1297" customFormat="1">
      <c r="A1061" s="518"/>
      <c r="B1061" s="1544" t="s">
        <v>2652</v>
      </c>
      <c r="C1061" s="1459"/>
      <c r="D1061" s="685" t="s">
        <v>508</v>
      </c>
      <c r="E1061" s="1545"/>
      <c r="F1061" s="1546"/>
      <c r="G1061" s="1546"/>
      <c r="H1061" s="674"/>
      <c r="I1061" s="674"/>
      <c r="J1061" s="558"/>
    </row>
    <row r="1062" spans="1:10">
      <c r="A1062" s="1317" t="s">
        <v>2594</v>
      </c>
      <c r="B1062" s="1111" t="s">
        <v>870</v>
      </c>
      <c r="C1062" s="1484"/>
      <c r="D1062" s="603"/>
      <c r="E1062" s="604"/>
      <c r="F1062" s="571"/>
      <c r="G1062" s="534"/>
      <c r="H1062" s="571"/>
      <c r="I1062" s="571"/>
      <c r="J1062" s="558"/>
    </row>
    <row r="1063" spans="1:10">
      <c r="A1063" s="496"/>
      <c r="B1063" s="1146" t="s">
        <v>2610</v>
      </c>
      <c r="C1063" s="1485"/>
      <c r="D1063" s="968" t="s">
        <v>15</v>
      </c>
      <c r="E1063" s="673"/>
      <c r="F1063" s="673"/>
      <c r="G1063" s="673"/>
      <c r="H1063" s="673"/>
      <c r="I1063" s="673"/>
      <c r="J1063" s="558"/>
    </row>
    <row r="1064" spans="1:10">
      <c r="A1064" s="502"/>
      <c r="B1064" s="1061" t="s">
        <v>871</v>
      </c>
      <c r="C1064" s="1484"/>
      <c r="D1064" s="603"/>
      <c r="E1064" s="604"/>
      <c r="F1064" s="571"/>
      <c r="G1064" s="534"/>
      <c r="H1064" s="571"/>
      <c r="I1064" s="571"/>
      <c r="J1064" s="558"/>
    </row>
    <row r="1065" spans="1:10">
      <c r="A1065" s="502"/>
      <c r="B1065" s="1061" t="s">
        <v>2618</v>
      </c>
      <c r="C1065" s="1481"/>
      <c r="D1065" s="1099" t="s">
        <v>15</v>
      </c>
      <c r="E1065" s="1100"/>
      <c r="F1065" s="1100"/>
      <c r="G1065" s="1100"/>
      <c r="H1065" s="1100"/>
      <c r="I1065" s="1100"/>
      <c r="J1065" s="558"/>
    </row>
    <row r="1066" spans="1:10">
      <c r="A1066" s="502"/>
      <c r="B1066" s="1061" t="s">
        <v>2641</v>
      </c>
      <c r="C1066" s="1481"/>
      <c r="D1066" s="1094" t="s">
        <v>57</v>
      </c>
      <c r="E1066" s="1100"/>
      <c r="F1066" s="1072"/>
      <c r="G1066" s="1072"/>
      <c r="H1066" s="1072"/>
      <c r="I1066" s="1072"/>
      <c r="J1066" s="558"/>
    </row>
    <row r="1067" spans="1:10">
      <c r="A1067" s="502"/>
      <c r="B1067" s="1061" t="s">
        <v>2642</v>
      </c>
      <c r="C1067" s="1481"/>
      <c r="D1067" s="1094" t="s">
        <v>57</v>
      </c>
      <c r="E1067" s="1100"/>
      <c r="F1067" s="1072"/>
      <c r="G1067" s="1072"/>
      <c r="H1067" s="1072"/>
      <c r="I1067" s="1072"/>
      <c r="J1067" s="558"/>
    </row>
    <row r="1068" spans="1:10">
      <c r="A1068" s="502"/>
      <c r="B1068" s="1061" t="s">
        <v>841</v>
      </c>
      <c r="C1068" s="1481"/>
      <c r="D1068" s="1105"/>
      <c r="E1068" s="1100"/>
      <c r="F1068" s="1100"/>
      <c r="G1068" s="1100"/>
      <c r="H1068" s="1100"/>
      <c r="I1068" s="1100"/>
      <c r="J1068" s="558"/>
    </row>
    <row r="1069" spans="1:10">
      <c r="A1069" s="502"/>
      <c r="B1069" s="1061" t="s">
        <v>2619</v>
      </c>
      <c r="C1069" s="1481"/>
      <c r="D1069" s="1094" t="s">
        <v>57</v>
      </c>
      <c r="E1069" s="489"/>
      <c r="F1069" s="1086"/>
      <c r="G1069" s="1067"/>
      <c r="H1069" s="1086"/>
      <c r="I1069" s="1086"/>
      <c r="J1069" s="558"/>
    </row>
    <row r="1070" spans="1:10">
      <c r="A1070" s="502"/>
      <c r="B1070" s="1061" t="s">
        <v>2631</v>
      </c>
      <c r="C1070" s="1481"/>
      <c r="D1070" s="1094" t="s">
        <v>57</v>
      </c>
      <c r="E1070" s="489"/>
      <c r="F1070" s="1086"/>
      <c r="G1070" s="1067"/>
      <c r="H1070" s="1086"/>
      <c r="I1070" s="1086"/>
      <c r="J1070" s="558"/>
    </row>
    <row r="1071" spans="1:10">
      <c r="A1071" s="502"/>
      <c r="B1071" s="1061" t="s">
        <v>2632</v>
      </c>
      <c r="C1071" s="1481"/>
      <c r="D1071" s="1094" t="s">
        <v>57</v>
      </c>
      <c r="E1071" s="489"/>
      <c r="F1071" s="1086"/>
      <c r="G1071" s="1067"/>
      <c r="H1071" s="1086"/>
      <c r="I1071" s="1086"/>
      <c r="J1071" s="558"/>
    </row>
    <row r="1072" spans="1:10" s="1297" customFormat="1">
      <c r="A1072" s="518"/>
      <c r="B1072" s="1544" t="s">
        <v>2652</v>
      </c>
      <c r="C1072" s="1459"/>
      <c r="D1072" s="685" t="s">
        <v>508</v>
      </c>
      <c r="E1072" s="1545"/>
      <c r="F1072" s="1546"/>
      <c r="G1072" s="1546"/>
      <c r="H1072" s="674"/>
      <c r="I1072" s="674"/>
      <c r="J1072" s="558"/>
    </row>
    <row r="1073" spans="1:10">
      <c r="A1073" s="504">
        <v>4.7</v>
      </c>
      <c r="B1073" s="1422" t="s">
        <v>1170</v>
      </c>
      <c r="C1073" s="1479"/>
      <c r="D1073" s="1092"/>
      <c r="E1073" s="1088"/>
      <c r="F1073" s="1086"/>
      <c r="G1073" s="1093"/>
      <c r="H1073" s="1086"/>
      <c r="I1073" s="1086"/>
      <c r="J1073" s="558"/>
    </row>
    <row r="1074" spans="1:10">
      <c r="A1074" s="1316" t="s">
        <v>2585</v>
      </c>
      <c r="B1074" s="1080" t="s">
        <v>728</v>
      </c>
      <c r="C1074" s="1486"/>
      <c r="D1074" s="1116"/>
      <c r="E1074" s="1113"/>
      <c r="F1074" s="1117"/>
      <c r="G1074" s="1118"/>
      <c r="H1074" s="1117"/>
      <c r="I1074" s="1117"/>
      <c r="J1074" s="558"/>
    </row>
    <row r="1075" spans="1:10">
      <c r="A1075" s="502"/>
      <c r="B1075" s="1085" t="s">
        <v>1171</v>
      </c>
      <c r="C1075" s="1486"/>
      <c r="D1075" s="510" t="s">
        <v>15</v>
      </c>
      <c r="E1075" s="1114"/>
      <c r="F1075" s="1115"/>
      <c r="G1075" s="1087"/>
      <c r="H1075" s="1086"/>
      <c r="I1075" s="1086"/>
      <c r="J1075" s="558"/>
    </row>
    <row r="1076" spans="1:10">
      <c r="A1076" s="1316" t="s">
        <v>2584</v>
      </c>
      <c r="B1076" s="1080" t="s">
        <v>762</v>
      </c>
      <c r="C1076" s="1479"/>
      <c r="D1076" s="1082"/>
      <c r="E1076" s="1081"/>
      <c r="F1076" s="1083"/>
      <c r="G1076" s="1084"/>
      <c r="H1076" s="1083"/>
      <c r="I1076" s="1083"/>
      <c r="J1076" s="558"/>
    </row>
    <row r="1077" spans="1:10">
      <c r="A1077" s="496"/>
      <c r="B1077" s="1085" t="s">
        <v>768</v>
      </c>
      <c r="C1077" s="1479"/>
      <c r="D1077" s="510" t="s">
        <v>15</v>
      </c>
      <c r="E1077" s="1421"/>
      <c r="F1077" s="1086"/>
      <c r="G1077" s="1087"/>
      <c r="H1077" s="1086"/>
      <c r="I1077" s="1086"/>
      <c r="J1077" s="558"/>
    </row>
    <row r="1078" spans="1:10">
      <c r="A1078" s="496"/>
      <c r="B1078" s="1085" t="s">
        <v>768</v>
      </c>
      <c r="C1078" s="1479"/>
      <c r="D1078" s="510" t="s">
        <v>15</v>
      </c>
      <c r="E1078" s="1421"/>
      <c r="F1078" s="1086"/>
      <c r="G1078" s="1087"/>
      <c r="H1078" s="1086"/>
      <c r="I1078" s="1086"/>
      <c r="J1078" s="558"/>
    </row>
    <row r="1079" spans="1:10">
      <c r="A1079" s="1316" t="s">
        <v>2583</v>
      </c>
      <c r="B1079" s="1080" t="s">
        <v>776</v>
      </c>
      <c r="C1079" s="1479"/>
      <c r="D1079" s="1082"/>
      <c r="E1079" s="1081"/>
      <c r="F1079" s="1083"/>
      <c r="G1079" s="1084"/>
      <c r="H1079" s="1083"/>
      <c r="I1079" s="1083"/>
      <c r="J1079" s="558"/>
    </row>
    <row r="1080" spans="1:10">
      <c r="A1080" s="502"/>
      <c r="B1080" s="1085" t="s">
        <v>2643</v>
      </c>
      <c r="C1080" s="1479"/>
      <c r="D1080" s="1094" t="s">
        <v>57</v>
      </c>
      <c r="E1080" s="489"/>
      <c r="F1080" s="1086"/>
      <c r="G1080" s="1067"/>
      <c r="H1080" s="1086"/>
      <c r="I1080" s="1086"/>
      <c r="J1080" s="558"/>
    </row>
    <row r="1081" spans="1:10">
      <c r="A1081" s="502"/>
      <c r="B1081" s="1085" t="s">
        <v>2644</v>
      </c>
      <c r="C1081" s="1479"/>
      <c r="D1081" s="1094" t="s">
        <v>57</v>
      </c>
      <c r="E1081" s="489"/>
      <c r="F1081" s="1086"/>
      <c r="G1081" s="1067"/>
      <c r="H1081" s="1086"/>
      <c r="I1081" s="1086"/>
      <c r="J1081" s="558"/>
    </row>
    <row r="1082" spans="1:10" s="1297" customFormat="1">
      <c r="A1082" s="518"/>
      <c r="B1082" s="1544" t="s">
        <v>2652</v>
      </c>
      <c r="C1082" s="1459"/>
      <c r="D1082" s="685" t="s">
        <v>508</v>
      </c>
      <c r="E1082" s="1545"/>
      <c r="F1082" s="1546"/>
      <c r="G1082" s="1546"/>
      <c r="H1082" s="674"/>
      <c r="I1082" s="674"/>
      <c r="J1082" s="558"/>
    </row>
    <row r="1083" spans="1:10">
      <c r="A1083" s="1316" t="s">
        <v>2530</v>
      </c>
      <c r="B1083" s="1080" t="s">
        <v>793</v>
      </c>
      <c r="C1083" s="1479"/>
      <c r="D1083" s="1082"/>
      <c r="E1083" s="1081"/>
      <c r="F1083" s="1083"/>
      <c r="G1083" s="1084"/>
      <c r="H1083" s="1083"/>
      <c r="I1083" s="1083"/>
      <c r="J1083" s="558"/>
    </row>
    <row r="1084" spans="1:10">
      <c r="A1084" s="502"/>
      <c r="B1084" s="1085" t="s">
        <v>804</v>
      </c>
      <c r="C1084" s="1479"/>
      <c r="D1084" s="1094" t="s">
        <v>57</v>
      </c>
      <c r="E1084" s="489"/>
      <c r="F1084" s="1086"/>
      <c r="G1084" s="1067"/>
      <c r="H1084" s="1086"/>
      <c r="I1084" s="1086"/>
      <c r="J1084" s="558"/>
    </row>
    <row r="1085" spans="1:10">
      <c r="A1085" s="502"/>
      <c r="B1085" s="1085" t="s">
        <v>805</v>
      </c>
      <c r="C1085" s="1479"/>
      <c r="D1085" s="1094" t="s">
        <v>57</v>
      </c>
      <c r="E1085" s="489"/>
      <c r="F1085" s="1086"/>
      <c r="G1085" s="1067"/>
      <c r="H1085" s="1086"/>
      <c r="I1085" s="1086"/>
      <c r="J1085" s="558"/>
    </row>
    <row r="1086" spans="1:10">
      <c r="A1086" s="502"/>
      <c r="B1086" s="1085" t="s">
        <v>806</v>
      </c>
      <c r="C1086" s="1479"/>
      <c r="D1086" s="1094" t="s">
        <v>57</v>
      </c>
      <c r="E1086" s="489"/>
      <c r="F1086" s="1086"/>
      <c r="G1086" s="1067"/>
      <c r="H1086" s="1086"/>
      <c r="I1086" s="1086"/>
      <c r="J1086" s="558"/>
    </row>
    <row r="1087" spans="1:10">
      <c r="A1087" s="502"/>
      <c r="B1087" s="1085" t="s">
        <v>807</v>
      </c>
      <c r="C1087" s="1479"/>
      <c r="D1087" s="1094" t="s">
        <v>57</v>
      </c>
      <c r="E1087" s="489"/>
      <c r="F1087" s="1086"/>
      <c r="G1087" s="1067"/>
      <c r="H1087" s="1086"/>
      <c r="I1087" s="1086"/>
      <c r="J1087" s="558"/>
    </row>
    <row r="1088" spans="1:10" s="1297" customFormat="1">
      <c r="A1088" s="518"/>
      <c r="B1088" s="1544" t="s">
        <v>2652</v>
      </c>
      <c r="C1088" s="1459"/>
      <c r="D1088" s="685" t="s">
        <v>508</v>
      </c>
      <c r="E1088" s="1545"/>
      <c r="F1088" s="1546"/>
      <c r="G1088" s="1546"/>
      <c r="H1088" s="674"/>
      <c r="I1088" s="674"/>
      <c r="J1088" s="558"/>
    </row>
    <row r="1089" spans="1:10">
      <c r="A1089" s="1316" t="s">
        <v>2529</v>
      </c>
      <c r="B1089" s="1080" t="s">
        <v>811</v>
      </c>
      <c r="C1089" s="1479"/>
      <c r="D1089" s="1082"/>
      <c r="E1089" s="1081"/>
      <c r="F1089" s="1083"/>
      <c r="G1089" s="1084"/>
      <c r="H1089" s="1083"/>
      <c r="I1089" s="1083"/>
      <c r="J1089" s="558"/>
    </row>
    <row r="1090" spans="1:10">
      <c r="A1090" s="502"/>
      <c r="B1090" s="1085" t="s">
        <v>812</v>
      </c>
      <c r="C1090" s="1479"/>
      <c r="D1090" s="510" t="s">
        <v>15</v>
      </c>
      <c r="E1090" s="489"/>
      <c r="F1090" s="1086"/>
      <c r="G1090" s="1067"/>
      <c r="H1090" s="1086"/>
      <c r="I1090" s="1086"/>
      <c r="J1090" s="558"/>
    </row>
    <row r="1091" spans="1:10">
      <c r="A1091" s="502"/>
      <c r="B1091" s="1085" t="s">
        <v>816</v>
      </c>
      <c r="C1091" s="1479"/>
      <c r="D1091" s="510" t="s">
        <v>15</v>
      </c>
      <c r="E1091" s="489"/>
      <c r="F1091" s="1086"/>
      <c r="G1091" s="1067"/>
      <c r="H1091" s="1086"/>
      <c r="I1091" s="1086"/>
      <c r="J1091" s="558"/>
    </row>
    <row r="1092" spans="1:10">
      <c r="A1092" s="1316" t="s">
        <v>2528</v>
      </c>
      <c r="B1092" s="572" t="s">
        <v>844</v>
      </c>
      <c r="C1092" s="1437"/>
      <c r="D1092" s="506"/>
      <c r="E1092" s="506"/>
      <c r="F1092" s="489"/>
      <c r="G1092" s="550"/>
      <c r="H1092" s="550"/>
      <c r="I1092" s="550"/>
      <c r="J1092" s="558"/>
    </row>
    <row r="1093" spans="1:10">
      <c r="A1093" s="502"/>
      <c r="B1093" s="1061" t="s">
        <v>848</v>
      </c>
      <c r="C1093" s="1487"/>
      <c r="D1093" s="1099" t="s">
        <v>15</v>
      </c>
      <c r="E1093" s="1100"/>
      <c r="F1093" s="1100"/>
      <c r="G1093" s="1100"/>
      <c r="H1093" s="1100"/>
      <c r="I1093" s="1100"/>
      <c r="J1093" s="558"/>
    </row>
    <row r="1094" spans="1:10">
      <c r="A1094" s="502"/>
      <c r="B1094" s="1061" t="s">
        <v>838</v>
      </c>
      <c r="C1094" s="1487"/>
      <c r="D1094" s="1094" t="s">
        <v>57</v>
      </c>
      <c r="E1094" s="1100"/>
      <c r="F1094" s="1100"/>
      <c r="G1094" s="1100"/>
      <c r="H1094" s="1100"/>
      <c r="I1094" s="1100"/>
      <c r="J1094" s="558"/>
    </row>
    <row r="1095" spans="1:10">
      <c r="A1095" s="502"/>
      <c r="B1095" s="1061" t="s">
        <v>841</v>
      </c>
      <c r="C1095" s="1488"/>
      <c r="D1095" s="1099"/>
      <c r="E1095" s="1100"/>
      <c r="F1095" s="1100"/>
      <c r="G1095" s="1100"/>
      <c r="H1095" s="1100"/>
      <c r="I1095" s="1100"/>
      <c r="J1095" s="558"/>
    </row>
    <row r="1096" spans="1:10">
      <c r="A1096" s="502"/>
      <c r="B1096" s="1061" t="s">
        <v>2631</v>
      </c>
      <c r="C1096" s="1488"/>
      <c r="D1096" s="1094" t="s">
        <v>57</v>
      </c>
      <c r="E1096" s="489"/>
      <c r="F1096" s="1086"/>
      <c r="G1096" s="1067"/>
      <c r="H1096" s="1086"/>
      <c r="I1096" s="1086"/>
      <c r="J1096" s="558"/>
    </row>
    <row r="1097" spans="1:10">
      <c r="A1097" s="502"/>
      <c r="B1097" s="1061" t="s">
        <v>2632</v>
      </c>
      <c r="C1097" s="1488"/>
      <c r="D1097" s="1094" t="s">
        <v>57</v>
      </c>
      <c r="E1097" s="489"/>
      <c r="F1097" s="1086"/>
      <c r="G1097" s="1067"/>
      <c r="H1097" s="1086"/>
      <c r="I1097" s="1086"/>
      <c r="J1097" s="558"/>
    </row>
    <row r="1098" spans="1:10" s="1297" customFormat="1">
      <c r="A1098" s="518"/>
      <c r="B1098" s="1544" t="s">
        <v>2652</v>
      </c>
      <c r="C1098" s="1459"/>
      <c r="D1098" s="685" t="s">
        <v>508</v>
      </c>
      <c r="E1098" s="1545"/>
      <c r="F1098" s="1546"/>
      <c r="G1098" s="1546"/>
      <c r="H1098" s="674"/>
      <c r="I1098" s="674"/>
      <c r="J1098" s="558"/>
    </row>
    <row r="1099" spans="1:10">
      <c r="A1099" s="1316" t="s">
        <v>2527</v>
      </c>
      <c r="B1099" s="601" t="s">
        <v>852</v>
      </c>
      <c r="C1099" s="1467"/>
      <c r="D1099" s="574"/>
      <c r="E1099" s="575"/>
      <c r="F1099" s="568"/>
      <c r="G1099" s="568"/>
      <c r="H1099" s="568"/>
      <c r="I1099" s="568"/>
      <c r="J1099" s="558"/>
    </row>
    <row r="1100" spans="1:10">
      <c r="A1100" s="502"/>
      <c r="B1100" s="1061" t="s">
        <v>857</v>
      </c>
      <c r="C1100" s="1487"/>
      <c r="D1100" s="1099" t="s">
        <v>15</v>
      </c>
      <c r="E1100" s="1100"/>
      <c r="F1100" s="1072"/>
      <c r="G1100" s="1072"/>
      <c r="H1100" s="1072"/>
      <c r="I1100" s="1072"/>
      <c r="J1100" s="558"/>
    </row>
    <row r="1101" spans="1:10">
      <c r="A1101" s="502"/>
      <c r="B1101" s="1061" t="s">
        <v>858</v>
      </c>
      <c r="C1101" s="1487"/>
      <c r="D1101" s="1099" t="s">
        <v>15</v>
      </c>
      <c r="E1101" s="1100"/>
      <c r="F1101" s="1072"/>
      <c r="G1101" s="1072"/>
      <c r="H1101" s="1072"/>
      <c r="I1101" s="1072"/>
      <c r="J1101" s="558"/>
    </row>
    <row r="1102" spans="1:10">
      <c r="A1102" s="502"/>
      <c r="B1102" s="1061" t="s">
        <v>859</v>
      </c>
      <c r="C1102" s="1487"/>
      <c r="D1102" s="1099" t="s">
        <v>15</v>
      </c>
      <c r="E1102" s="1100"/>
      <c r="F1102" s="1072"/>
      <c r="G1102" s="1072"/>
      <c r="H1102" s="1072"/>
      <c r="I1102" s="1072"/>
      <c r="J1102" s="558"/>
    </row>
    <row r="1103" spans="1:10">
      <c r="A1103" s="1104"/>
      <c r="B1103" s="1061" t="s">
        <v>897</v>
      </c>
      <c r="C1103" s="1487"/>
      <c r="D1103" s="1099" t="s">
        <v>15</v>
      </c>
      <c r="E1103" s="1100"/>
      <c r="F1103" s="1072"/>
      <c r="G1103" s="1072"/>
      <c r="H1103" s="1072"/>
      <c r="I1103" s="1072"/>
      <c r="J1103" s="1083"/>
    </row>
    <row r="1104" spans="1:10">
      <c r="A1104" s="502"/>
      <c r="B1104" s="1061" t="s">
        <v>860</v>
      </c>
      <c r="C1104" s="1487"/>
      <c r="D1104" s="1099" t="s">
        <v>15</v>
      </c>
      <c r="E1104" s="1100"/>
      <c r="F1104" s="1072"/>
      <c r="G1104" s="1072"/>
      <c r="H1104" s="1072"/>
      <c r="I1104" s="1072"/>
      <c r="J1104" s="558"/>
    </row>
    <row r="1105" spans="1:12">
      <c r="A1105" s="502"/>
      <c r="B1105" s="1061" t="s">
        <v>861</v>
      </c>
      <c r="C1105" s="1487"/>
      <c r="D1105" s="1105"/>
      <c r="E1105" s="1100"/>
      <c r="F1105" s="1100"/>
      <c r="G1105" s="1100"/>
      <c r="H1105" s="1100"/>
      <c r="I1105" s="1100"/>
      <c r="J1105" s="558"/>
    </row>
    <row r="1106" spans="1:12">
      <c r="A1106" s="502"/>
      <c r="B1106" s="1061" t="s">
        <v>2574</v>
      </c>
      <c r="C1106" s="1487"/>
      <c r="D1106" s="1094" t="s">
        <v>57</v>
      </c>
      <c r="E1106" s="1100"/>
      <c r="F1106" s="1072"/>
      <c r="G1106" s="1072"/>
      <c r="H1106" s="1072"/>
      <c r="I1106" s="1072"/>
      <c r="J1106" s="558"/>
    </row>
    <row r="1107" spans="1:12">
      <c r="A1107" s="502"/>
      <c r="B1107" s="1061" t="s">
        <v>2575</v>
      </c>
      <c r="C1107" s="1487"/>
      <c r="D1107" s="1094" t="s">
        <v>57</v>
      </c>
      <c r="E1107" s="1100"/>
      <c r="F1107" s="1072"/>
      <c r="G1107" s="1072"/>
      <c r="H1107" s="1072"/>
      <c r="I1107" s="1072"/>
      <c r="J1107" s="558"/>
    </row>
    <row r="1108" spans="1:12">
      <c r="A1108" s="502"/>
      <c r="B1108" s="1061" t="s">
        <v>2576</v>
      </c>
      <c r="C1108" s="1487"/>
      <c r="D1108" s="1094" t="s">
        <v>57</v>
      </c>
      <c r="E1108" s="1100"/>
      <c r="F1108" s="1072"/>
      <c r="G1108" s="1072"/>
      <c r="H1108" s="1072"/>
      <c r="I1108" s="1072"/>
      <c r="J1108" s="558"/>
    </row>
    <row r="1109" spans="1:12">
      <c r="A1109" s="502"/>
      <c r="B1109" s="1061" t="s">
        <v>841</v>
      </c>
      <c r="C1109" s="1487"/>
      <c r="D1109" s="1105"/>
      <c r="E1109" s="1100"/>
      <c r="F1109" s="1100"/>
      <c r="G1109" s="1100"/>
      <c r="H1109" s="1100"/>
      <c r="I1109" s="1100"/>
      <c r="J1109" s="558"/>
    </row>
    <row r="1110" spans="1:12">
      <c r="A1110" s="502"/>
      <c r="B1110" s="1061" t="s">
        <v>2577</v>
      </c>
      <c r="C1110" s="1487"/>
      <c r="D1110" s="1094" t="s">
        <v>57</v>
      </c>
      <c r="E1110" s="489"/>
      <c r="F1110" s="1086"/>
      <c r="G1110" s="1067"/>
      <c r="H1110" s="1086"/>
      <c r="I1110" s="1086"/>
      <c r="J1110" s="558"/>
    </row>
    <row r="1111" spans="1:12">
      <c r="A1111" s="502"/>
      <c r="B1111" s="1061" t="s">
        <v>2578</v>
      </c>
      <c r="C1111" s="1487"/>
      <c r="D1111" s="1094" t="s">
        <v>57</v>
      </c>
      <c r="E1111" s="489"/>
      <c r="F1111" s="1086"/>
      <c r="G1111" s="1067"/>
      <c r="H1111" s="1086"/>
      <c r="I1111" s="1086"/>
      <c r="J1111" s="558"/>
    </row>
    <row r="1112" spans="1:12" s="1297" customFormat="1">
      <c r="A1112" s="518"/>
      <c r="B1112" s="1544" t="s">
        <v>2652</v>
      </c>
      <c r="C1112" s="1459"/>
      <c r="D1112" s="685" t="s">
        <v>508</v>
      </c>
      <c r="E1112" s="1545"/>
      <c r="F1112" s="1546"/>
      <c r="G1112" s="1546"/>
      <c r="H1112" s="674"/>
      <c r="I1112" s="674"/>
      <c r="J1112" s="558"/>
    </row>
    <row r="1113" spans="1:12">
      <c r="A1113" s="1316" t="s">
        <v>2526</v>
      </c>
      <c r="B1113" s="601" t="s">
        <v>870</v>
      </c>
      <c r="C1113" s="1468"/>
      <c r="D1113" s="603"/>
      <c r="E1113" s="604"/>
      <c r="F1113" s="571"/>
      <c r="G1113" s="534"/>
      <c r="H1113" s="571"/>
      <c r="I1113" s="571"/>
      <c r="J1113" s="558"/>
    </row>
    <row r="1114" spans="1:12">
      <c r="A1114" s="496"/>
      <c r="B1114" s="1146" t="s">
        <v>2610</v>
      </c>
      <c r="C1114" s="1485"/>
      <c r="D1114" s="968" t="s">
        <v>15</v>
      </c>
      <c r="E1114" s="673"/>
      <c r="F1114" s="673"/>
      <c r="G1114" s="673"/>
      <c r="H1114" s="673"/>
      <c r="I1114" s="673"/>
      <c r="J1114" s="558"/>
    </row>
    <row r="1115" spans="1:12">
      <c r="A1115" s="502"/>
      <c r="B1115" s="1061" t="s">
        <v>871</v>
      </c>
      <c r="C1115" s="1468"/>
      <c r="D1115" s="603"/>
      <c r="E1115" s="604"/>
      <c r="F1115" s="571"/>
      <c r="G1115" s="534"/>
      <c r="H1115" s="571"/>
      <c r="I1115" s="571"/>
      <c r="J1115" s="558"/>
    </row>
    <row r="1116" spans="1:12">
      <c r="A1116" s="502"/>
      <c r="B1116" s="1061" t="s">
        <v>2609</v>
      </c>
      <c r="C1116" s="1487"/>
      <c r="D1116" s="1094" t="s">
        <v>57</v>
      </c>
      <c r="E1116" s="1100"/>
      <c r="F1116" s="1072"/>
      <c r="G1116" s="1072"/>
      <c r="H1116" s="1072"/>
      <c r="I1116" s="1072"/>
      <c r="J1116" s="558"/>
    </row>
    <row r="1117" spans="1:12">
      <c r="A1117" s="502"/>
      <c r="B1117" s="1061" t="s">
        <v>841</v>
      </c>
      <c r="C1117" s="1487"/>
      <c r="D1117" s="1105"/>
      <c r="E1117" s="1100"/>
      <c r="F1117" s="1100"/>
      <c r="G1117" s="1100"/>
      <c r="H1117" s="1100"/>
      <c r="I1117" s="1100"/>
      <c r="J1117" s="558"/>
    </row>
    <row r="1118" spans="1:12">
      <c r="A1118" s="502"/>
      <c r="B1118" s="1061" t="s">
        <v>2578</v>
      </c>
      <c r="C1118" s="1487"/>
      <c r="D1118" s="1094" t="s">
        <v>57</v>
      </c>
      <c r="E1118" s="489"/>
      <c r="F1118" s="1086"/>
      <c r="G1118" s="1067"/>
      <c r="H1118" s="1086"/>
      <c r="I1118" s="1086"/>
      <c r="J1118" s="558"/>
    </row>
    <row r="1119" spans="1:12" s="1297" customFormat="1">
      <c r="A1119" s="518"/>
      <c r="B1119" s="1544" t="s">
        <v>2652</v>
      </c>
      <c r="C1119" s="1459"/>
      <c r="D1119" s="685" t="s">
        <v>508</v>
      </c>
      <c r="E1119" s="1545"/>
      <c r="F1119" s="1546"/>
      <c r="G1119" s="1546"/>
      <c r="H1119" s="674"/>
      <c r="I1119" s="674"/>
      <c r="J1119" s="558"/>
    </row>
    <row r="1120" spans="1:12">
      <c r="A1120" s="832"/>
      <c r="B1120" s="838" t="s">
        <v>2525</v>
      </c>
      <c r="C1120" s="1449"/>
      <c r="D1120" s="835"/>
      <c r="E1120" s="836"/>
      <c r="F1120" s="837"/>
      <c r="G1120" s="839"/>
      <c r="H1120" s="837"/>
      <c r="I1120" s="837"/>
      <c r="J1120" s="839"/>
      <c r="L1120" s="652"/>
    </row>
    <row r="1121" spans="1:10">
      <c r="A1121" s="1180"/>
      <c r="B1121" s="1286"/>
      <c r="C1121" s="1450"/>
      <c r="D1121" s="1289"/>
      <c r="E1121" s="517"/>
      <c r="F1121" s="1318"/>
      <c r="G1121" s="1319"/>
      <c r="H1121" s="1320"/>
      <c r="I1121" s="1318"/>
      <c r="J1121" s="1321"/>
    </row>
    <row r="1122" spans="1:10">
      <c r="A1122" s="1322">
        <v>5</v>
      </c>
      <c r="B1122" s="1325" t="s">
        <v>642</v>
      </c>
      <c r="C1122" s="1451"/>
      <c r="D1122" s="1326"/>
      <c r="E1122" s="1324"/>
      <c r="F1122" s="1324"/>
      <c r="G1122" s="1327"/>
      <c r="H1122" s="1328"/>
      <c r="I1122" s="1324"/>
      <c r="J1122" s="1329"/>
    </row>
    <row r="1123" spans="1:10">
      <c r="A1123" s="504">
        <v>5.0999999999999996</v>
      </c>
      <c r="B1123" s="1176" t="s">
        <v>2703</v>
      </c>
      <c r="C1123" s="1486"/>
      <c r="D1123" s="951"/>
      <c r="E1123" s="556"/>
      <c r="F1123" s="1117"/>
      <c r="G1123" s="557"/>
      <c r="H1123" s="1117"/>
      <c r="I1123" s="1117"/>
      <c r="J1123" s="558"/>
    </row>
    <row r="1124" spans="1:10">
      <c r="A1124" s="496"/>
      <c r="B1124" s="583" t="s">
        <v>1191</v>
      </c>
      <c r="C1124" s="1486"/>
      <c r="D1124" s="1127"/>
      <c r="E1124" s="582"/>
      <c r="F1124" s="1117"/>
      <c r="G1124" s="557"/>
      <c r="H1124" s="1117"/>
      <c r="I1124" s="1117"/>
      <c r="J1124" s="558"/>
    </row>
    <row r="1125" spans="1:10">
      <c r="A1125" s="496"/>
      <c r="B1125" s="583" t="s">
        <v>2290</v>
      </c>
      <c r="C1125" s="1486"/>
      <c r="D1125" s="1127" t="s">
        <v>15</v>
      </c>
      <c r="E1125" s="582"/>
      <c r="F1125" s="1117"/>
      <c r="G1125" s="557"/>
      <c r="H1125" s="1117"/>
      <c r="I1125" s="1117"/>
      <c r="J1125" s="558"/>
    </row>
    <row r="1126" spans="1:10">
      <c r="A1126" s="496"/>
      <c r="B1126" s="583" t="s">
        <v>2291</v>
      </c>
      <c r="C1126" s="1486"/>
      <c r="D1126" s="1127" t="s">
        <v>15</v>
      </c>
      <c r="E1126" s="582"/>
      <c r="F1126" s="1117"/>
      <c r="G1126" s="557"/>
      <c r="H1126" s="1117"/>
      <c r="I1126" s="1117"/>
      <c r="J1126" s="558"/>
    </row>
    <row r="1127" spans="1:10">
      <c r="A1127" s="496"/>
      <c r="B1127" s="583" t="s">
        <v>2292</v>
      </c>
      <c r="C1127" s="1486"/>
      <c r="D1127" s="1127" t="s">
        <v>15</v>
      </c>
      <c r="E1127" s="582"/>
      <c r="F1127" s="1117"/>
      <c r="G1127" s="557"/>
      <c r="H1127" s="1117"/>
      <c r="I1127" s="1117"/>
      <c r="J1127" s="558"/>
    </row>
    <row r="1128" spans="1:10">
      <c r="A1128" s="496"/>
      <c r="B1128" s="583" t="s">
        <v>2293</v>
      </c>
      <c r="C1128" s="1486"/>
      <c r="D1128" s="1127" t="s">
        <v>15</v>
      </c>
      <c r="E1128" s="582"/>
      <c r="F1128" s="1117"/>
      <c r="G1128" s="557"/>
      <c r="H1128" s="1117"/>
      <c r="I1128" s="1117"/>
      <c r="J1128" s="558"/>
    </row>
    <row r="1129" spans="1:10">
      <c r="A1129" s="496"/>
      <c r="B1129" s="583" t="s">
        <v>2294</v>
      </c>
      <c r="C1129" s="1486"/>
      <c r="D1129" s="1127" t="s">
        <v>15</v>
      </c>
      <c r="E1129" s="582"/>
      <c r="F1129" s="489"/>
      <c r="G1129" s="557"/>
      <c r="H1129" s="1125"/>
      <c r="I1129" s="489"/>
      <c r="J1129" s="558"/>
    </row>
    <row r="1130" spans="1:10">
      <c r="A1130" s="496"/>
      <c r="B1130" s="583" t="s">
        <v>2295</v>
      </c>
      <c r="C1130" s="1486"/>
      <c r="D1130" s="1127" t="s">
        <v>15</v>
      </c>
      <c r="E1130" s="582"/>
      <c r="F1130" s="489"/>
      <c r="G1130" s="557"/>
      <c r="H1130" s="1125"/>
      <c r="I1130" s="489"/>
      <c r="J1130" s="558"/>
    </row>
    <row r="1131" spans="1:10">
      <c r="A1131" s="496"/>
      <c r="B1131" s="583" t="s">
        <v>2296</v>
      </c>
      <c r="C1131" s="1486"/>
      <c r="D1131" s="1127" t="s">
        <v>15</v>
      </c>
      <c r="E1131" s="582"/>
      <c r="F1131" s="489"/>
      <c r="G1131" s="557"/>
      <c r="H1131" s="1125"/>
      <c r="I1131" s="489"/>
      <c r="J1131" s="558"/>
    </row>
    <row r="1132" spans="1:10">
      <c r="A1132" s="496"/>
      <c r="B1132" s="583" t="s">
        <v>2297</v>
      </c>
      <c r="C1132" s="1486"/>
      <c r="D1132" s="1127" t="s">
        <v>15</v>
      </c>
      <c r="E1132" s="582"/>
      <c r="F1132" s="489"/>
      <c r="G1132" s="557"/>
      <c r="H1132" s="1125"/>
      <c r="I1132" s="489"/>
      <c r="J1132" s="558"/>
    </row>
    <row r="1133" spans="1:10">
      <c r="A1133" s="496"/>
      <c r="B1133" s="583" t="s">
        <v>2298</v>
      </c>
      <c r="C1133" s="1486"/>
      <c r="D1133" s="1127" t="s">
        <v>15</v>
      </c>
      <c r="E1133" s="582"/>
      <c r="F1133" s="489"/>
      <c r="G1133" s="557"/>
      <c r="H1133" s="1125"/>
      <c r="I1133" s="489"/>
      <c r="J1133" s="558"/>
    </row>
    <row r="1134" spans="1:10">
      <c r="A1134" s="496"/>
      <c r="B1134" s="583" t="s">
        <v>2481</v>
      </c>
      <c r="C1134" s="1486"/>
      <c r="D1134" s="1127" t="s">
        <v>15</v>
      </c>
      <c r="E1134" s="582"/>
      <c r="F1134" s="1117"/>
      <c r="G1134" s="557"/>
      <c r="H1134" s="1125"/>
      <c r="I1134" s="1117"/>
      <c r="J1134" s="558"/>
    </row>
    <row r="1135" spans="1:10">
      <c r="A1135" s="496"/>
      <c r="B1135" s="583" t="s">
        <v>2300</v>
      </c>
      <c r="C1135" s="1486"/>
      <c r="D1135" s="1127" t="s">
        <v>15</v>
      </c>
      <c r="E1135" s="582"/>
      <c r="F1135" s="1117"/>
      <c r="G1135" s="557"/>
      <c r="H1135" s="1125"/>
      <c r="I1135" s="1117"/>
      <c r="J1135" s="558"/>
    </row>
    <row r="1136" spans="1:10">
      <c r="A1136" s="496"/>
      <c r="B1136" s="583" t="s">
        <v>2301</v>
      </c>
      <c r="C1136" s="1486"/>
      <c r="D1136" s="1127" t="s">
        <v>15</v>
      </c>
      <c r="E1136" s="582"/>
      <c r="F1136" s="1117"/>
      <c r="G1136" s="557"/>
      <c r="H1136" s="1125"/>
      <c r="I1136" s="1117"/>
      <c r="J1136" s="558"/>
    </row>
    <row r="1137" spans="1:10">
      <c r="A1137" s="496"/>
      <c r="B1137" s="583" t="s">
        <v>2302</v>
      </c>
      <c r="C1137" s="1486"/>
      <c r="D1137" s="1127" t="s">
        <v>15</v>
      </c>
      <c r="E1137" s="582"/>
      <c r="F1137" s="1117"/>
      <c r="G1137" s="557"/>
      <c r="H1137" s="1125"/>
      <c r="I1137" s="1117"/>
      <c r="J1137" s="558"/>
    </row>
    <row r="1138" spans="1:10">
      <c r="A1138" s="496"/>
      <c r="B1138" s="583" t="s">
        <v>2303</v>
      </c>
      <c r="C1138" s="1486"/>
      <c r="D1138" s="1127" t="s">
        <v>15</v>
      </c>
      <c r="E1138" s="582"/>
      <c r="F1138" s="1117"/>
      <c r="G1138" s="557"/>
      <c r="H1138" s="1125"/>
      <c r="I1138" s="1117"/>
      <c r="J1138" s="558"/>
    </row>
    <row r="1139" spans="1:10">
      <c r="A1139" s="496"/>
      <c r="B1139" s="583" t="s">
        <v>2304</v>
      </c>
      <c r="C1139" s="1486"/>
      <c r="D1139" s="1127" t="s">
        <v>15</v>
      </c>
      <c r="E1139" s="582"/>
      <c r="F1139" s="1117"/>
      <c r="G1139" s="557"/>
      <c r="H1139" s="1125"/>
      <c r="I1139" s="1117"/>
      <c r="J1139" s="558"/>
    </row>
    <row r="1140" spans="1:10">
      <c r="A1140" s="496"/>
      <c r="B1140" s="583" t="s">
        <v>1190</v>
      </c>
      <c r="C1140" s="1486"/>
      <c r="D1140" s="1127"/>
      <c r="E1140" s="582"/>
      <c r="F1140" s="1117"/>
      <c r="G1140" s="557"/>
      <c r="H1140" s="1117"/>
      <c r="I1140" s="1117"/>
      <c r="J1140" s="558"/>
    </row>
    <row r="1141" spans="1:10">
      <c r="A1141" s="496"/>
      <c r="B1141" s="583" t="s">
        <v>2305</v>
      </c>
      <c r="C1141" s="1486"/>
      <c r="D1141" s="1127" t="s">
        <v>15</v>
      </c>
      <c r="E1141" s="582"/>
      <c r="F1141" s="1117"/>
      <c r="G1141" s="557"/>
      <c r="H1141" s="1117"/>
      <c r="I1141" s="1117"/>
      <c r="J1141" s="558"/>
    </row>
    <row r="1142" spans="1:10">
      <c r="A1142" s="496"/>
      <c r="B1142" s="583" t="s">
        <v>2306</v>
      </c>
      <c r="C1142" s="1486"/>
      <c r="D1142" s="1127" t="s">
        <v>15</v>
      </c>
      <c r="E1142" s="582"/>
      <c r="F1142" s="1117"/>
      <c r="G1142" s="557"/>
      <c r="H1142" s="1117"/>
      <c r="I1142" s="1117"/>
      <c r="J1142" s="558"/>
    </row>
    <row r="1143" spans="1:10">
      <c r="A1143" s="496"/>
      <c r="B1143" s="583" t="s">
        <v>2307</v>
      </c>
      <c r="C1143" s="1486"/>
      <c r="D1143" s="1127" t="s">
        <v>15</v>
      </c>
      <c r="E1143" s="582"/>
      <c r="F1143" s="1117"/>
      <c r="G1143" s="557"/>
      <c r="H1143" s="1117"/>
      <c r="I1143" s="1117"/>
      <c r="J1143" s="558"/>
    </row>
    <row r="1144" spans="1:10">
      <c r="A1144" s="496"/>
      <c r="B1144" s="583" t="s">
        <v>2308</v>
      </c>
      <c r="C1144" s="1486"/>
      <c r="D1144" s="1127" t="s">
        <v>15</v>
      </c>
      <c r="E1144" s="582"/>
      <c r="F1144" s="1117"/>
      <c r="G1144" s="557"/>
      <c r="H1144" s="1117"/>
      <c r="I1144" s="1117"/>
      <c r="J1144" s="558"/>
    </row>
    <row r="1145" spans="1:10">
      <c r="A1145" s="496"/>
      <c r="B1145" s="583" t="s">
        <v>2309</v>
      </c>
      <c r="C1145" s="1486"/>
      <c r="D1145" s="1127" t="s">
        <v>15</v>
      </c>
      <c r="E1145" s="582"/>
      <c r="F1145" s="1117"/>
      <c r="G1145" s="557"/>
      <c r="H1145" s="1117"/>
      <c r="I1145" s="1117"/>
      <c r="J1145" s="558"/>
    </row>
    <row r="1146" spans="1:10">
      <c r="A1146" s="504"/>
      <c r="B1146" s="583" t="s">
        <v>1189</v>
      </c>
      <c r="C1146" s="1486"/>
      <c r="D1146" s="1127"/>
      <c r="E1146" s="624"/>
      <c r="F1146" s="623"/>
      <c r="G1146" s="557"/>
      <c r="H1146" s="1117"/>
      <c r="I1146" s="1115"/>
      <c r="J1146" s="558"/>
    </row>
    <row r="1147" spans="1:10">
      <c r="A1147" s="504"/>
      <c r="B1147" s="555" t="s">
        <v>2310</v>
      </c>
      <c r="C1147" s="1486"/>
      <c r="D1147" s="951" t="s">
        <v>15</v>
      </c>
      <c r="E1147" s="556"/>
      <c r="F1147" s="1117"/>
      <c r="G1147" s="557"/>
      <c r="H1147" s="1117"/>
      <c r="I1147" s="1117"/>
      <c r="J1147" s="558"/>
    </row>
    <row r="1148" spans="1:10">
      <c r="A1148" s="504"/>
      <c r="B1148" s="555" t="s">
        <v>2311</v>
      </c>
      <c r="C1148" s="1486"/>
      <c r="D1148" s="951" t="s">
        <v>15</v>
      </c>
      <c r="E1148" s="556"/>
      <c r="F1148" s="1117"/>
      <c r="G1148" s="557"/>
      <c r="H1148" s="1117"/>
      <c r="I1148" s="1117"/>
      <c r="J1148" s="558"/>
    </row>
    <row r="1149" spans="1:10">
      <c r="A1149" s="504"/>
      <c r="B1149" s="555" t="s">
        <v>2312</v>
      </c>
      <c r="C1149" s="1486"/>
      <c r="D1149" s="951" t="s">
        <v>15</v>
      </c>
      <c r="E1149" s="556"/>
      <c r="F1149" s="1117"/>
      <c r="G1149" s="557"/>
      <c r="H1149" s="1117"/>
      <c r="I1149" s="1117"/>
      <c r="J1149" s="558"/>
    </row>
    <row r="1150" spans="1:10">
      <c r="A1150" s="504"/>
      <c r="B1150" s="555" t="s">
        <v>2313</v>
      </c>
      <c r="C1150" s="1486"/>
      <c r="D1150" s="951" t="s">
        <v>15</v>
      </c>
      <c r="E1150" s="556"/>
      <c r="F1150" s="1117"/>
      <c r="G1150" s="557"/>
      <c r="H1150" s="1117"/>
      <c r="I1150" s="1117"/>
      <c r="J1150" s="558"/>
    </row>
    <row r="1151" spans="1:10">
      <c r="A1151" s="504"/>
      <c r="B1151" s="555" t="s">
        <v>2314</v>
      </c>
      <c r="C1151" s="1486"/>
      <c r="D1151" s="951" t="s">
        <v>15</v>
      </c>
      <c r="E1151" s="556"/>
      <c r="F1151" s="1117"/>
      <c r="G1151" s="557"/>
      <c r="H1151" s="1117"/>
      <c r="I1151" s="1117"/>
      <c r="J1151" s="558"/>
    </row>
    <row r="1152" spans="1:10">
      <c r="A1152" s="504"/>
      <c r="B1152" s="555" t="s">
        <v>2315</v>
      </c>
      <c r="C1152" s="1486"/>
      <c r="D1152" s="951" t="s">
        <v>15</v>
      </c>
      <c r="E1152" s="556"/>
      <c r="F1152" s="1117"/>
      <c r="G1152" s="557"/>
      <c r="H1152" s="1117"/>
      <c r="I1152" s="1117"/>
      <c r="J1152" s="558"/>
    </row>
    <row r="1153" spans="1:10">
      <c r="A1153" s="504"/>
      <c r="B1153" s="555" t="s">
        <v>2316</v>
      </c>
      <c r="C1153" s="1486"/>
      <c r="D1153" s="951" t="s">
        <v>15</v>
      </c>
      <c r="E1153" s="556"/>
      <c r="F1153" s="1117"/>
      <c r="G1153" s="557"/>
      <c r="H1153" s="1117"/>
      <c r="I1153" s="1117"/>
      <c r="J1153" s="558"/>
    </row>
    <row r="1154" spans="1:10">
      <c r="A1154" s="504"/>
      <c r="B1154" s="555" t="s">
        <v>2317</v>
      </c>
      <c r="C1154" s="1486"/>
      <c r="D1154" s="951" t="s">
        <v>15</v>
      </c>
      <c r="E1154" s="556"/>
      <c r="F1154" s="1117"/>
      <c r="G1154" s="557"/>
      <c r="H1154" s="1117"/>
      <c r="I1154" s="1117"/>
      <c r="J1154" s="558"/>
    </row>
    <row r="1155" spans="1:10">
      <c r="A1155" s="504"/>
      <c r="B1155" s="583" t="s">
        <v>2318</v>
      </c>
      <c r="C1155" s="1486"/>
      <c r="D1155" s="1127" t="s">
        <v>15</v>
      </c>
      <c r="E1155" s="582"/>
      <c r="F1155" s="1117"/>
      <c r="G1155" s="557"/>
      <c r="H1155" s="1117"/>
      <c r="I1155" s="1117"/>
      <c r="J1155" s="558"/>
    </row>
    <row r="1156" spans="1:10">
      <c r="A1156" s="504"/>
      <c r="B1156" s="583" t="s">
        <v>2319</v>
      </c>
      <c r="C1156" s="1486"/>
      <c r="D1156" s="1127" t="s">
        <v>15</v>
      </c>
      <c r="E1156" s="582"/>
      <c r="F1156" s="1117"/>
      <c r="G1156" s="557"/>
      <c r="H1156" s="1117"/>
      <c r="I1156" s="1117"/>
      <c r="J1156" s="558"/>
    </row>
    <row r="1157" spans="1:10">
      <c r="A1157" s="504"/>
      <c r="B1157" s="583" t="s">
        <v>2320</v>
      </c>
      <c r="C1157" s="1486"/>
      <c r="D1157" s="1127" t="s">
        <v>15</v>
      </c>
      <c r="E1157" s="582"/>
      <c r="F1157" s="1117"/>
      <c r="G1157" s="557"/>
      <c r="H1157" s="1117"/>
      <c r="I1157" s="1117"/>
      <c r="J1157" s="558"/>
    </row>
    <row r="1158" spans="1:10">
      <c r="A1158" s="504"/>
      <c r="B1158" s="583" t="s">
        <v>2321</v>
      </c>
      <c r="C1158" s="1486"/>
      <c r="D1158" s="1127" t="s">
        <v>15</v>
      </c>
      <c r="E1158" s="582"/>
      <c r="F1158" s="1117"/>
      <c r="G1158" s="557"/>
      <c r="H1158" s="1117"/>
      <c r="I1158" s="1117"/>
      <c r="J1158" s="558"/>
    </row>
    <row r="1159" spans="1:10">
      <c r="A1159" s="496"/>
      <c r="B1159" s="583" t="s">
        <v>2322</v>
      </c>
      <c r="C1159" s="1486"/>
      <c r="D1159" s="1127" t="s">
        <v>15</v>
      </c>
      <c r="E1159" s="582"/>
      <c r="F1159" s="1117"/>
      <c r="G1159" s="557"/>
      <c r="H1159" s="1117"/>
      <c r="I1159" s="1117"/>
      <c r="J1159" s="558"/>
    </row>
    <row r="1160" spans="1:10">
      <c r="A1160" s="496"/>
      <c r="B1160" s="583" t="s">
        <v>2323</v>
      </c>
      <c r="C1160" s="1486"/>
      <c r="D1160" s="1127" t="s">
        <v>15</v>
      </c>
      <c r="E1160" s="582"/>
      <c r="F1160" s="1117"/>
      <c r="G1160" s="557"/>
      <c r="H1160" s="1117"/>
      <c r="I1160" s="1117"/>
      <c r="J1160" s="558"/>
    </row>
    <row r="1161" spans="1:10">
      <c r="A1161" s="496"/>
      <c r="B1161" s="583" t="s">
        <v>2324</v>
      </c>
      <c r="C1161" s="1486"/>
      <c r="D1161" s="1127" t="s">
        <v>15</v>
      </c>
      <c r="E1161" s="582"/>
      <c r="F1161" s="1117"/>
      <c r="G1161" s="557"/>
      <c r="H1161" s="1117"/>
      <c r="I1161" s="1117"/>
      <c r="J1161" s="558"/>
    </row>
    <row r="1162" spans="1:10">
      <c r="A1162" s="496"/>
      <c r="B1162" s="583" t="s">
        <v>2325</v>
      </c>
      <c r="C1162" s="1486"/>
      <c r="D1162" s="1127" t="s">
        <v>15</v>
      </c>
      <c r="E1162" s="582"/>
      <c r="F1162" s="1117"/>
      <c r="G1162" s="557"/>
      <c r="H1162" s="1117"/>
      <c r="I1162" s="1117"/>
      <c r="J1162" s="558"/>
    </row>
    <row r="1163" spans="1:10">
      <c r="A1163" s="496"/>
      <c r="B1163" s="583" t="s">
        <v>2326</v>
      </c>
      <c r="C1163" s="1486"/>
      <c r="D1163" s="1127" t="s">
        <v>15</v>
      </c>
      <c r="E1163" s="582"/>
      <c r="F1163" s="1117"/>
      <c r="G1163" s="557"/>
      <c r="H1163" s="1117"/>
      <c r="I1163" s="1117"/>
      <c r="J1163" s="558"/>
    </row>
    <row r="1164" spans="1:10">
      <c r="A1164" s="496"/>
      <c r="B1164" s="583" t="s">
        <v>2327</v>
      </c>
      <c r="C1164" s="1486"/>
      <c r="D1164" s="1127" t="s">
        <v>15</v>
      </c>
      <c r="E1164" s="582"/>
      <c r="F1164" s="1117"/>
      <c r="G1164" s="557"/>
      <c r="H1164" s="1117"/>
      <c r="I1164" s="1117"/>
      <c r="J1164" s="558"/>
    </row>
    <row r="1165" spans="1:10">
      <c r="A1165" s="496"/>
      <c r="B1165" s="583" t="s">
        <v>2328</v>
      </c>
      <c r="C1165" s="1486"/>
      <c r="D1165" s="1127" t="s">
        <v>15</v>
      </c>
      <c r="E1165" s="582"/>
      <c r="F1165" s="1117"/>
      <c r="G1165" s="557"/>
      <c r="H1165" s="1117"/>
      <c r="I1165" s="1117"/>
      <c r="J1165" s="558"/>
    </row>
    <row r="1166" spans="1:10">
      <c r="A1166" s="496"/>
      <c r="B1166" s="583" t="s">
        <v>2329</v>
      </c>
      <c r="C1166" s="1486"/>
      <c r="D1166" s="1127" t="s">
        <v>15</v>
      </c>
      <c r="E1166" s="582"/>
      <c r="F1166" s="1117"/>
      <c r="G1166" s="557"/>
      <c r="H1166" s="1125"/>
      <c r="I1166" s="1117"/>
      <c r="J1166" s="558"/>
    </row>
    <row r="1167" spans="1:10">
      <c r="A1167" s="496"/>
      <c r="B1167" s="583" t="s">
        <v>2330</v>
      </c>
      <c r="C1167" s="1486"/>
      <c r="D1167" s="1127" t="s">
        <v>15</v>
      </c>
      <c r="E1167" s="582"/>
      <c r="F1167" s="1117"/>
      <c r="G1167" s="557"/>
      <c r="H1167" s="1125"/>
      <c r="I1167" s="1117"/>
      <c r="J1167" s="558"/>
    </row>
    <row r="1168" spans="1:10">
      <c r="A1168" s="496"/>
      <c r="B1168" s="583" t="s">
        <v>2331</v>
      </c>
      <c r="C1168" s="1486"/>
      <c r="D1168" s="1127" t="s">
        <v>15</v>
      </c>
      <c r="E1168" s="582"/>
      <c r="F1168" s="1117"/>
      <c r="G1168" s="557"/>
      <c r="H1168" s="1125"/>
      <c r="I1168" s="1117"/>
      <c r="J1168" s="558"/>
    </row>
    <row r="1169" spans="1:10">
      <c r="A1169" s="496"/>
      <c r="B1169" s="583" t="s">
        <v>2332</v>
      </c>
      <c r="C1169" s="1486"/>
      <c r="D1169" s="1127" t="s">
        <v>15</v>
      </c>
      <c r="E1169" s="582"/>
      <c r="F1169" s="1117"/>
      <c r="G1169" s="557"/>
      <c r="H1169" s="1125"/>
      <c r="I1169" s="1117"/>
      <c r="J1169" s="558"/>
    </row>
    <row r="1170" spans="1:10">
      <c r="A1170" s="504">
        <v>5.2</v>
      </c>
      <c r="B1170" s="1177" t="s">
        <v>2433</v>
      </c>
      <c r="C1170" s="1486"/>
      <c r="D1170" s="951"/>
      <c r="E1170" s="1131"/>
      <c r="F1170" s="1115"/>
      <c r="G1170" s="557"/>
      <c r="H1170" s="1115"/>
      <c r="I1170" s="1115"/>
      <c r="J1170" s="558"/>
    </row>
    <row r="1171" spans="1:10">
      <c r="A1171" s="496"/>
      <c r="B1171" s="583" t="s">
        <v>1191</v>
      </c>
      <c r="C1171" s="1486"/>
      <c r="D1171" s="1127"/>
      <c r="E1171" s="582"/>
      <c r="F1171" s="1115"/>
      <c r="G1171" s="557"/>
      <c r="H1171" s="1115"/>
      <c r="I1171" s="1115"/>
      <c r="J1171" s="558"/>
    </row>
    <row r="1172" spans="1:10">
      <c r="A1172" s="496"/>
      <c r="B1172" s="555" t="s">
        <v>2434</v>
      </c>
      <c r="C1172" s="1486"/>
      <c r="D1172" s="951" t="s">
        <v>15</v>
      </c>
      <c r="E1172" s="1113"/>
      <c r="F1172" s="1117"/>
      <c r="G1172" s="557"/>
      <c r="H1172" s="1117"/>
      <c r="I1172" s="1117"/>
      <c r="J1172" s="558"/>
    </row>
    <row r="1173" spans="1:10">
      <c r="A1173" s="496"/>
      <c r="B1173" s="555" t="s">
        <v>2435</v>
      </c>
      <c r="C1173" s="1486"/>
      <c r="D1173" s="951" t="s">
        <v>15</v>
      </c>
      <c r="E1173" s="557"/>
      <c r="F1173" s="1117"/>
      <c r="G1173" s="557"/>
      <c r="H1173" s="1117"/>
      <c r="I1173" s="1117"/>
      <c r="J1173" s="558"/>
    </row>
    <row r="1174" spans="1:10">
      <c r="A1174" s="496"/>
      <c r="B1174" s="555" t="s">
        <v>2436</v>
      </c>
      <c r="C1174" s="1486"/>
      <c r="D1174" s="951" t="s">
        <v>15</v>
      </c>
      <c r="E1174" s="557"/>
      <c r="F1174" s="1117"/>
      <c r="G1174" s="557"/>
      <c r="H1174" s="1117"/>
      <c r="I1174" s="1117"/>
      <c r="J1174" s="558"/>
    </row>
    <row r="1175" spans="1:10">
      <c r="A1175" s="496"/>
      <c r="B1175" s="555" t="s">
        <v>2437</v>
      </c>
      <c r="C1175" s="1486"/>
      <c r="D1175" s="951" t="s">
        <v>15</v>
      </c>
      <c r="E1175" s="557"/>
      <c r="F1175" s="1117"/>
      <c r="G1175" s="557"/>
      <c r="H1175" s="1117"/>
      <c r="I1175" s="1117"/>
      <c r="J1175" s="558"/>
    </row>
    <row r="1176" spans="1:10">
      <c r="A1176" s="496"/>
      <c r="B1176" s="555" t="s">
        <v>2438</v>
      </c>
      <c r="C1176" s="1486"/>
      <c r="D1176" s="951" t="s">
        <v>15</v>
      </c>
      <c r="E1176" s="557"/>
      <c r="F1176" s="1117"/>
      <c r="G1176" s="557"/>
      <c r="H1176" s="1117"/>
      <c r="I1176" s="1117"/>
      <c r="J1176" s="558"/>
    </row>
    <row r="1177" spans="1:10">
      <c r="A1177" s="496"/>
      <c r="B1177" s="555" t="s">
        <v>2439</v>
      </c>
      <c r="C1177" s="1486"/>
      <c r="D1177" s="951" t="s">
        <v>15</v>
      </c>
      <c r="E1177" s="557"/>
      <c r="F1177" s="1117"/>
      <c r="G1177" s="557"/>
      <c r="H1177" s="1117"/>
      <c r="I1177" s="1117"/>
      <c r="J1177" s="558"/>
    </row>
    <row r="1178" spans="1:10">
      <c r="A1178" s="496"/>
      <c r="B1178" s="583" t="s">
        <v>2440</v>
      </c>
      <c r="C1178" s="1486"/>
      <c r="D1178" s="1127" t="s">
        <v>15</v>
      </c>
      <c r="E1178" s="557"/>
      <c r="F1178" s="1117"/>
      <c r="G1178" s="557"/>
      <c r="H1178" s="1117"/>
      <c r="I1178" s="1117"/>
      <c r="J1178" s="558"/>
    </row>
    <row r="1179" spans="1:10">
      <c r="A1179" s="496"/>
      <c r="B1179" s="583" t="s">
        <v>2441</v>
      </c>
      <c r="C1179" s="1486"/>
      <c r="D1179" s="1127" t="s">
        <v>15</v>
      </c>
      <c r="E1179" s="582"/>
      <c r="F1179" s="1117"/>
      <c r="G1179" s="557"/>
      <c r="H1179" s="1117"/>
      <c r="I1179" s="1117"/>
      <c r="J1179" s="558"/>
    </row>
    <row r="1180" spans="1:10">
      <c r="A1180" s="496"/>
      <c r="B1180" s="583" t="s">
        <v>2442</v>
      </c>
      <c r="C1180" s="1486"/>
      <c r="D1180" s="1127" t="s">
        <v>15</v>
      </c>
      <c r="E1180" s="557"/>
      <c r="F1180" s="1117"/>
      <c r="G1180" s="557"/>
      <c r="H1180" s="1117"/>
      <c r="I1180" s="1117"/>
      <c r="J1180" s="558"/>
    </row>
    <row r="1181" spans="1:10">
      <c r="A1181" s="496"/>
      <c r="B1181" s="583" t="s">
        <v>2443</v>
      </c>
      <c r="C1181" s="1486"/>
      <c r="D1181" s="1127" t="s">
        <v>15</v>
      </c>
      <c r="E1181" s="557"/>
      <c r="F1181" s="1117"/>
      <c r="G1181" s="557"/>
      <c r="H1181" s="1117"/>
      <c r="I1181" s="1117"/>
      <c r="J1181" s="558"/>
    </row>
    <row r="1182" spans="1:10">
      <c r="A1182" s="496"/>
      <c r="B1182" s="583" t="s">
        <v>2444</v>
      </c>
      <c r="C1182" s="1486"/>
      <c r="D1182" s="1127" t="s">
        <v>15</v>
      </c>
      <c r="E1182" s="557"/>
      <c r="F1182" s="1117"/>
      <c r="G1182" s="557"/>
      <c r="H1182" s="1117"/>
      <c r="I1182" s="1117"/>
      <c r="J1182" s="558"/>
    </row>
    <row r="1183" spans="1:10">
      <c r="A1183" s="496"/>
      <c r="B1183" s="583" t="s">
        <v>2445</v>
      </c>
      <c r="C1183" s="1486"/>
      <c r="D1183" s="1127" t="s">
        <v>15</v>
      </c>
      <c r="E1183" s="557"/>
      <c r="F1183" s="1117"/>
      <c r="G1183" s="557"/>
      <c r="H1183" s="1117"/>
      <c r="I1183" s="1117"/>
      <c r="J1183" s="558"/>
    </row>
    <row r="1184" spans="1:10">
      <c r="A1184" s="496"/>
      <c r="B1184" s="583" t="s">
        <v>2505</v>
      </c>
      <c r="C1184" s="1486"/>
      <c r="D1184" s="1127" t="s">
        <v>15</v>
      </c>
      <c r="E1184" s="582"/>
      <c r="F1184" s="1117"/>
      <c r="G1184" s="557"/>
      <c r="H1184" s="1117"/>
      <c r="I1184" s="1117"/>
      <c r="J1184" s="558"/>
    </row>
    <row r="1185" spans="1:10">
      <c r="A1185" s="496"/>
      <c r="B1185" s="583" t="s">
        <v>2506</v>
      </c>
      <c r="C1185" s="1486"/>
      <c r="D1185" s="1127" t="s">
        <v>15</v>
      </c>
      <c r="E1185" s="582"/>
      <c r="F1185" s="1117"/>
      <c r="G1185" s="557"/>
      <c r="H1185" s="1117"/>
      <c r="I1185" s="1117"/>
      <c r="J1185" s="558"/>
    </row>
    <row r="1186" spans="1:10">
      <c r="A1186" s="496"/>
      <c r="B1186" s="583" t="s">
        <v>2507</v>
      </c>
      <c r="C1186" s="1486"/>
      <c r="D1186" s="1127" t="s">
        <v>15</v>
      </c>
      <c r="E1186" s="582"/>
      <c r="F1186" s="1117"/>
      <c r="G1186" s="557"/>
      <c r="H1186" s="1117"/>
      <c r="I1186" s="1117"/>
      <c r="J1186" s="558"/>
    </row>
    <row r="1187" spans="1:10">
      <c r="A1187" s="496"/>
      <c r="B1187" s="583" t="s">
        <v>2508</v>
      </c>
      <c r="C1187" s="1486"/>
      <c r="D1187" s="1127" t="s">
        <v>15</v>
      </c>
      <c r="E1187" s="582"/>
      <c r="F1187" s="1117"/>
      <c r="G1187" s="557"/>
      <c r="H1187" s="1117"/>
      <c r="I1187" s="1117"/>
      <c r="J1187" s="558"/>
    </row>
    <row r="1188" spans="1:10">
      <c r="A1188" s="496"/>
      <c r="B1188" s="583" t="s">
        <v>2509</v>
      </c>
      <c r="C1188" s="1486"/>
      <c r="D1188" s="1127" t="s">
        <v>15</v>
      </c>
      <c r="E1188" s="582"/>
      <c r="F1188" s="1117"/>
      <c r="G1188" s="557"/>
      <c r="H1188" s="1117"/>
      <c r="I1188" s="1117"/>
      <c r="J1188" s="558"/>
    </row>
    <row r="1189" spans="1:10">
      <c r="A1189" s="496"/>
      <c r="B1189" s="583" t="s">
        <v>2510</v>
      </c>
      <c r="C1189" s="1486"/>
      <c r="D1189" s="1127" t="s">
        <v>15</v>
      </c>
      <c r="E1189" s="582"/>
      <c r="F1189" s="1117"/>
      <c r="G1189" s="557"/>
      <c r="H1189" s="1117"/>
      <c r="I1189" s="1117"/>
      <c r="J1189" s="558"/>
    </row>
    <row r="1190" spans="1:10">
      <c r="A1190" s="496"/>
      <c r="B1190" s="583" t="s">
        <v>2511</v>
      </c>
      <c r="C1190" s="1486"/>
      <c r="D1190" s="1127" t="s">
        <v>15</v>
      </c>
      <c r="E1190" s="582"/>
      <c r="F1190" s="1117"/>
      <c r="G1190" s="557"/>
      <c r="H1190" s="1117"/>
      <c r="I1190" s="1117"/>
      <c r="J1190" s="558"/>
    </row>
    <row r="1191" spans="1:10">
      <c r="A1191" s="496"/>
      <c r="B1191" s="583" t="s">
        <v>2512</v>
      </c>
      <c r="C1191" s="1486"/>
      <c r="D1191" s="1127" t="s">
        <v>15</v>
      </c>
      <c r="E1191" s="582"/>
      <c r="F1191" s="1117"/>
      <c r="G1191" s="557"/>
      <c r="H1191" s="1117"/>
      <c r="I1191" s="1117"/>
      <c r="J1191" s="558"/>
    </row>
    <row r="1192" spans="1:10">
      <c r="A1192" s="496"/>
      <c r="B1192" s="583" t="s">
        <v>2513</v>
      </c>
      <c r="C1192" s="1486"/>
      <c r="D1192" s="1127" t="s">
        <v>15</v>
      </c>
      <c r="E1192" s="582"/>
      <c r="F1192" s="1117"/>
      <c r="G1192" s="557"/>
      <c r="H1192" s="1117"/>
      <c r="I1192" s="1117"/>
      <c r="J1192" s="558"/>
    </row>
    <row r="1193" spans="1:10">
      <c r="A1193" s="496"/>
      <c r="B1193" s="583" t="s">
        <v>2514</v>
      </c>
      <c r="C1193" s="1486"/>
      <c r="D1193" s="1127" t="s">
        <v>15</v>
      </c>
      <c r="E1193" s="582"/>
      <c r="F1193" s="1117"/>
      <c r="G1193" s="557"/>
      <c r="H1193" s="1117"/>
      <c r="I1193" s="1117"/>
      <c r="J1193" s="558"/>
    </row>
    <row r="1194" spans="1:10">
      <c r="A1194" s="496"/>
      <c r="B1194" s="583" t="s">
        <v>2515</v>
      </c>
      <c r="C1194" s="1486"/>
      <c r="D1194" s="1127" t="s">
        <v>15</v>
      </c>
      <c r="E1194" s="683"/>
      <c r="F1194" s="1117"/>
      <c r="G1194" s="557"/>
      <c r="H1194" s="1117"/>
      <c r="I1194" s="1117"/>
      <c r="J1194" s="558"/>
    </row>
    <row r="1195" spans="1:10">
      <c r="A1195" s="496"/>
      <c r="B1195" s="583" t="s">
        <v>2516</v>
      </c>
      <c r="C1195" s="1486"/>
      <c r="D1195" s="1127" t="s">
        <v>15</v>
      </c>
      <c r="E1195" s="557"/>
      <c r="F1195" s="1117"/>
      <c r="G1195" s="557"/>
      <c r="H1195" s="1117"/>
      <c r="I1195" s="1117"/>
      <c r="J1195" s="558"/>
    </row>
    <row r="1196" spans="1:10">
      <c r="A1196" s="496"/>
      <c r="B1196" s="583" t="s">
        <v>2517</v>
      </c>
      <c r="C1196" s="1486"/>
      <c r="D1196" s="1127" t="s">
        <v>15</v>
      </c>
      <c r="E1196" s="557"/>
      <c r="F1196" s="1117"/>
      <c r="G1196" s="557"/>
      <c r="H1196" s="1117"/>
      <c r="I1196" s="1117"/>
      <c r="J1196" s="558"/>
    </row>
    <row r="1197" spans="1:10">
      <c r="A1197" s="496"/>
      <c r="B1197" s="583" t="s">
        <v>2518</v>
      </c>
      <c r="C1197" s="1486"/>
      <c r="D1197" s="1127" t="s">
        <v>15</v>
      </c>
      <c r="E1197" s="557"/>
      <c r="F1197" s="1117"/>
      <c r="G1197" s="557"/>
      <c r="H1197" s="1117"/>
      <c r="I1197" s="1117"/>
      <c r="J1197" s="558"/>
    </row>
    <row r="1198" spans="1:10">
      <c r="A1198" s="496"/>
      <c r="B1198" s="583" t="s">
        <v>2519</v>
      </c>
      <c r="C1198" s="1486"/>
      <c r="D1198" s="1127" t="s">
        <v>15</v>
      </c>
      <c r="E1198" s="557"/>
      <c r="F1198" s="1117"/>
      <c r="G1198" s="557"/>
      <c r="H1198" s="1117"/>
      <c r="I1198" s="1117"/>
      <c r="J1198" s="558"/>
    </row>
    <row r="1199" spans="1:10">
      <c r="A1199" s="496"/>
      <c r="B1199" s="583" t="s">
        <v>2520</v>
      </c>
      <c r="C1199" s="1486"/>
      <c r="D1199" s="1127" t="s">
        <v>15</v>
      </c>
      <c r="E1199" s="557"/>
      <c r="F1199" s="1117"/>
      <c r="G1199" s="557"/>
      <c r="H1199" s="1117"/>
      <c r="I1199" s="1117"/>
      <c r="J1199" s="558"/>
    </row>
    <row r="1200" spans="1:10">
      <c r="A1200" s="496"/>
      <c r="B1200" s="583" t="s">
        <v>2521</v>
      </c>
      <c r="C1200" s="1486"/>
      <c r="D1200" s="1127" t="s">
        <v>15</v>
      </c>
      <c r="E1200" s="557"/>
      <c r="F1200" s="1117"/>
      <c r="G1200" s="557"/>
      <c r="H1200" s="1117"/>
      <c r="I1200" s="1117"/>
      <c r="J1200" s="558"/>
    </row>
    <row r="1201" spans="1:10">
      <c r="A1201" s="496"/>
      <c r="B1201" s="583" t="s">
        <v>2522</v>
      </c>
      <c r="C1201" s="1486"/>
      <c r="D1201" s="1127" t="s">
        <v>15</v>
      </c>
      <c r="E1201" s="557"/>
      <c r="F1201" s="1117"/>
      <c r="G1201" s="557"/>
      <c r="H1201" s="1117"/>
      <c r="I1201" s="1117"/>
      <c r="J1201" s="558"/>
    </row>
    <row r="1202" spans="1:10">
      <c r="A1202" s="496"/>
      <c r="B1202" s="583" t="s">
        <v>2523</v>
      </c>
      <c r="C1202" s="1486"/>
      <c r="D1202" s="1127" t="s">
        <v>15</v>
      </c>
      <c r="E1202" s="557"/>
      <c r="F1202" s="1117"/>
      <c r="G1202" s="557"/>
      <c r="H1202" s="1117"/>
      <c r="I1202" s="1117"/>
      <c r="J1202" s="558"/>
    </row>
    <row r="1203" spans="1:10">
      <c r="A1203" s="496"/>
      <c r="B1203" s="583" t="s">
        <v>2524</v>
      </c>
      <c r="C1203" s="1486"/>
      <c r="D1203" s="1127" t="s">
        <v>15</v>
      </c>
      <c r="E1203" s="557"/>
      <c r="F1203" s="1117"/>
      <c r="G1203" s="557"/>
      <c r="H1203" s="1117"/>
      <c r="I1203" s="1117"/>
      <c r="J1203" s="558"/>
    </row>
    <row r="1204" spans="1:10">
      <c r="A1204" s="496"/>
      <c r="B1204" s="583" t="s">
        <v>1169</v>
      </c>
      <c r="C1204" s="1486"/>
      <c r="D1204" s="1127"/>
      <c r="E1204" s="557"/>
      <c r="F1204" s="1115"/>
      <c r="G1204" s="557"/>
      <c r="H1204" s="1115"/>
      <c r="I1204" s="1115"/>
      <c r="J1204" s="558"/>
    </row>
    <row r="1205" spans="1:10">
      <c r="A1205" s="496"/>
      <c r="B1205" s="583" t="s">
        <v>2446</v>
      </c>
      <c r="C1205" s="1486"/>
      <c r="D1205" s="1127" t="s">
        <v>15</v>
      </c>
      <c r="E1205" s="557"/>
      <c r="F1205" s="1117"/>
      <c r="G1205" s="557"/>
      <c r="H1205" s="1125"/>
      <c r="I1205" s="1117"/>
      <c r="J1205" s="558"/>
    </row>
    <row r="1206" spans="1:10">
      <c r="A1206" s="496"/>
      <c r="B1206" s="583" t="s">
        <v>2447</v>
      </c>
      <c r="C1206" s="1486"/>
      <c r="D1206" s="1127" t="s">
        <v>15</v>
      </c>
      <c r="E1206" s="557"/>
      <c r="F1206" s="1117"/>
      <c r="G1206" s="557"/>
      <c r="H1206" s="1125"/>
      <c r="I1206" s="1117"/>
      <c r="J1206" s="558"/>
    </row>
    <row r="1207" spans="1:10">
      <c r="A1207" s="496"/>
      <c r="B1207" s="583" t="s">
        <v>2448</v>
      </c>
      <c r="C1207" s="1486"/>
      <c r="D1207" s="1127" t="s">
        <v>15</v>
      </c>
      <c r="E1207" s="557"/>
      <c r="F1207" s="1117"/>
      <c r="G1207" s="557"/>
      <c r="H1207" s="1125"/>
      <c r="I1207" s="1117"/>
      <c r="J1207" s="558"/>
    </row>
    <row r="1208" spans="1:10">
      <c r="A1208" s="496"/>
      <c r="B1208" s="583" t="s">
        <v>2449</v>
      </c>
      <c r="C1208" s="1486"/>
      <c r="D1208" s="1127" t="s">
        <v>15</v>
      </c>
      <c r="E1208" s="557"/>
      <c r="F1208" s="1117"/>
      <c r="G1208" s="557"/>
      <c r="H1208" s="1125"/>
      <c r="I1208" s="1117"/>
      <c r="J1208" s="558"/>
    </row>
    <row r="1209" spans="1:10">
      <c r="A1209" s="496"/>
      <c r="B1209" s="583" t="s">
        <v>2450</v>
      </c>
      <c r="C1209" s="1486"/>
      <c r="D1209" s="1127" t="s">
        <v>15</v>
      </c>
      <c r="E1209" s="557"/>
      <c r="F1209" s="1117"/>
      <c r="G1209" s="557"/>
      <c r="H1209" s="1125"/>
      <c r="I1209" s="1117"/>
      <c r="J1209" s="558"/>
    </row>
    <row r="1210" spans="1:10">
      <c r="A1210" s="496"/>
      <c r="B1210" s="583" t="s">
        <v>1190</v>
      </c>
      <c r="C1210" s="1486"/>
      <c r="D1210" s="1127"/>
      <c r="E1210" s="557"/>
      <c r="F1210" s="1115"/>
      <c r="G1210" s="557"/>
      <c r="H1210" s="1115"/>
      <c r="I1210" s="1115"/>
      <c r="J1210" s="558"/>
    </row>
    <row r="1211" spans="1:10">
      <c r="A1211" s="496"/>
      <c r="B1211" s="583" t="s">
        <v>2451</v>
      </c>
      <c r="C1211" s="1486"/>
      <c r="D1211" s="1127" t="s">
        <v>15</v>
      </c>
      <c r="E1211" s="557"/>
      <c r="F1211" s="1117"/>
      <c r="G1211" s="557"/>
      <c r="H1211" s="1125"/>
      <c r="I1211" s="1117"/>
      <c r="J1211" s="558"/>
    </row>
    <row r="1212" spans="1:10">
      <c r="A1212" s="496"/>
      <c r="B1212" s="583" t="s">
        <v>2452</v>
      </c>
      <c r="C1212" s="1486"/>
      <c r="D1212" s="1127" t="s">
        <v>15</v>
      </c>
      <c r="E1212" s="557"/>
      <c r="F1212" s="1117"/>
      <c r="G1212" s="557"/>
      <c r="H1212" s="1125"/>
      <c r="I1212" s="1117"/>
      <c r="J1212" s="558"/>
    </row>
    <row r="1213" spans="1:10">
      <c r="A1213" s="496"/>
      <c r="B1213" s="583" t="s">
        <v>2453</v>
      </c>
      <c r="C1213" s="1486"/>
      <c r="D1213" s="1127" t="s">
        <v>15</v>
      </c>
      <c r="E1213" s="557"/>
      <c r="F1213" s="1117"/>
      <c r="G1213" s="557"/>
      <c r="H1213" s="1117"/>
      <c r="I1213" s="1117"/>
      <c r="J1213" s="558"/>
    </row>
    <row r="1214" spans="1:10">
      <c r="A1214" s="496"/>
      <c r="B1214" s="583" t="s">
        <v>2501</v>
      </c>
      <c r="C1214" s="1486"/>
      <c r="D1214" s="1127" t="s">
        <v>15</v>
      </c>
      <c r="E1214" s="582"/>
      <c r="F1214" s="1117"/>
      <c r="G1214" s="557"/>
      <c r="H1214" s="1125"/>
      <c r="I1214" s="1117"/>
      <c r="J1214" s="558"/>
    </row>
    <row r="1215" spans="1:10">
      <c r="A1215" s="496"/>
      <c r="B1215" s="583" t="s">
        <v>2502</v>
      </c>
      <c r="C1215" s="1486"/>
      <c r="D1215" s="1127" t="s">
        <v>15</v>
      </c>
      <c r="E1215" s="582"/>
      <c r="F1215" s="1117"/>
      <c r="G1215" s="557"/>
      <c r="H1215" s="1125"/>
      <c r="I1215" s="1117"/>
      <c r="J1215" s="558"/>
    </row>
    <row r="1216" spans="1:10">
      <c r="A1216" s="496"/>
      <c r="B1216" s="583" t="s">
        <v>2503</v>
      </c>
      <c r="C1216" s="1486"/>
      <c r="D1216" s="1127" t="s">
        <v>15</v>
      </c>
      <c r="E1216" s="582"/>
      <c r="F1216" s="1117"/>
      <c r="G1216" s="557"/>
      <c r="H1216" s="1125"/>
      <c r="I1216" s="1117"/>
      <c r="J1216" s="558"/>
    </row>
    <row r="1217" spans="1:10">
      <c r="A1217" s="496"/>
      <c r="B1217" s="583" t="s">
        <v>2504</v>
      </c>
      <c r="C1217" s="1486"/>
      <c r="D1217" s="1127" t="s">
        <v>15</v>
      </c>
      <c r="E1217" s="582"/>
      <c r="F1217" s="1117"/>
      <c r="G1217" s="557"/>
      <c r="H1217" s="1125"/>
      <c r="I1217" s="1117"/>
      <c r="J1217" s="558"/>
    </row>
    <row r="1218" spans="1:10">
      <c r="A1218" s="496"/>
      <c r="B1218" s="583" t="s">
        <v>1189</v>
      </c>
      <c r="C1218" s="1486"/>
      <c r="D1218" s="1127"/>
      <c r="E1218" s="557"/>
      <c r="F1218" s="1115"/>
      <c r="G1218" s="557"/>
      <c r="H1218" s="1115"/>
      <c r="I1218" s="1115"/>
      <c r="J1218" s="558"/>
    </row>
    <row r="1219" spans="1:10">
      <c r="A1219" s="496"/>
      <c r="B1219" s="583" t="s">
        <v>2454</v>
      </c>
      <c r="C1219" s="1486"/>
      <c r="D1219" s="1127" t="s">
        <v>15</v>
      </c>
      <c r="E1219" s="557"/>
      <c r="F1219" s="1117"/>
      <c r="G1219" s="557"/>
      <c r="H1219" s="1117"/>
      <c r="I1219" s="1117"/>
      <c r="J1219" s="558"/>
    </row>
    <row r="1220" spans="1:10">
      <c r="A1220" s="496"/>
      <c r="B1220" s="583" t="s">
        <v>2455</v>
      </c>
      <c r="C1220" s="1486"/>
      <c r="D1220" s="1127" t="s">
        <v>15</v>
      </c>
      <c r="E1220" s="557"/>
      <c r="F1220" s="1117"/>
      <c r="G1220" s="557"/>
      <c r="H1220" s="1117"/>
      <c r="I1220" s="1117"/>
      <c r="J1220" s="558"/>
    </row>
    <row r="1221" spans="1:10">
      <c r="A1221" s="496"/>
      <c r="B1221" s="583" t="s">
        <v>2456</v>
      </c>
      <c r="C1221" s="1486"/>
      <c r="D1221" s="1127" t="s">
        <v>15</v>
      </c>
      <c r="E1221" s="557"/>
      <c r="F1221" s="1117"/>
      <c r="G1221" s="557"/>
      <c r="H1221" s="1117"/>
      <c r="I1221" s="1117"/>
      <c r="J1221" s="558"/>
    </row>
    <row r="1222" spans="1:10">
      <c r="A1222" s="496"/>
      <c r="B1222" s="583" t="s">
        <v>2457</v>
      </c>
      <c r="C1222" s="1486"/>
      <c r="D1222" s="1127" t="s">
        <v>15</v>
      </c>
      <c r="E1222" s="557"/>
      <c r="F1222" s="1117"/>
      <c r="G1222" s="557"/>
      <c r="H1222" s="1117"/>
      <c r="I1222" s="1117"/>
      <c r="J1222" s="558"/>
    </row>
    <row r="1223" spans="1:10">
      <c r="A1223" s="496"/>
      <c r="B1223" s="583" t="s">
        <v>2458</v>
      </c>
      <c r="C1223" s="1486"/>
      <c r="D1223" s="1127" t="s">
        <v>15</v>
      </c>
      <c r="E1223" s="557"/>
      <c r="F1223" s="1117"/>
      <c r="G1223" s="557"/>
      <c r="H1223" s="1117"/>
      <c r="I1223" s="1117"/>
      <c r="J1223" s="558"/>
    </row>
    <row r="1224" spans="1:10">
      <c r="A1224" s="496"/>
      <c r="B1224" s="583" t="s">
        <v>2459</v>
      </c>
      <c r="C1224" s="1486"/>
      <c r="D1224" s="1127" t="s">
        <v>15</v>
      </c>
      <c r="E1224" s="557"/>
      <c r="F1224" s="1117"/>
      <c r="G1224" s="557"/>
      <c r="H1224" s="1117"/>
      <c r="I1224" s="1117"/>
      <c r="J1224" s="558"/>
    </row>
    <row r="1225" spans="1:10">
      <c r="A1225" s="496"/>
      <c r="B1225" s="583" t="s">
        <v>2460</v>
      </c>
      <c r="C1225" s="1486"/>
      <c r="D1225" s="1127" t="s">
        <v>15</v>
      </c>
      <c r="E1225" s="557"/>
      <c r="F1225" s="1117"/>
      <c r="G1225" s="557"/>
      <c r="H1225" s="1117"/>
      <c r="I1225" s="1117"/>
      <c r="J1225" s="558"/>
    </row>
    <row r="1226" spans="1:10">
      <c r="A1226" s="496"/>
      <c r="B1226" s="583" t="s">
        <v>2461</v>
      </c>
      <c r="C1226" s="1486"/>
      <c r="D1226" s="1127" t="s">
        <v>15</v>
      </c>
      <c r="E1226" s="557"/>
      <c r="F1226" s="1117"/>
      <c r="G1226" s="557"/>
      <c r="H1226" s="1117"/>
      <c r="I1226" s="1117"/>
      <c r="J1226" s="558"/>
    </row>
    <row r="1227" spans="1:10">
      <c r="A1227" s="496"/>
      <c r="B1227" s="583" t="s">
        <v>2462</v>
      </c>
      <c r="C1227" s="1486"/>
      <c r="D1227" s="1127" t="s">
        <v>15</v>
      </c>
      <c r="E1227" s="557"/>
      <c r="F1227" s="1117"/>
      <c r="G1227" s="557"/>
      <c r="H1227" s="1117"/>
      <c r="I1227" s="1117"/>
      <c r="J1227" s="558"/>
    </row>
    <row r="1228" spans="1:10">
      <c r="A1228" s="496"/>
      <c r="B1228" s="583" t="s">
        <v>2463</v>
      </c>
      <c r="C1228" s="1486"/>
      <c r="D1228" s="1127" t="s">
        <v>15</v>
      </c>
      <c r="E1228" s="557"/>
      <c r="F1228" s="1117"/>
      <c r="G1228" s="557"/>
      <c r="H1228" s="1117"/>
      <c r="I1228" s="1117"/>
      <c r="J1228" s="558"/>
    </row>
    <row r="1229" spans="1:10">
      <c r="A1229" s="496"/>
      <c r="B1229" s="583" t="s">
        <v>2464</v>
      </c>
      <c r="C1229" s="1486"/>
      <c r="D1229" s="1127" t="s">
        <v>15</v>
      </c>
      <c r="E1229" s="557"/>
      <c r="F1229" s="1117"/>
      <c r="G1229" s="557"/>
      <c r="H1229" s="1117"/>
      <c r="I1229" s="1117"/>
      <c r="J1229" s="558"/>
    </row>
    <row r="1230" spans="1:10">
      <c r="A1230" s="496"/>
      <c r="B1230" s="583" t="s">
        <v>2465</v>
      </c>
      <c r="C1230" s="1486"/>
      <c r="D1230" s="1127" t="s">
        <v>15</v>
      </c>
      <c r="E1230" s="582"/>
      <c r="F1230" s="1117"/>
      <c r="G1230" s="557"/>
      <c r="H1230" s="1117"/>
      <c r="I1230" s="1117"/>
      <c r="J1230" s="558"/>
    </row>
    <row r="1231" spans="1:10">
      <c r="A1231" s="496"/>
      <c r="B1231" s="583" t="s">
        <v>2466</v>
      </c>
      <c r="C1231" s="1486"/>
      <c r="D1231" s="1127" t="s">
        <v>15</v>
      </c>
      <c r="E1231" s="557"/>
      <c r="F1231" s="1117"/>
      <c r="G1231" s="557"/>
      <c r="H1231" s="1117"/>
      <c r="I1231" s="1117"/>
      <c r="J1231" s="558"/>
    </row>
    <row r="1232" spans="1:10">
      <c r="A1232" s="496"/>
      <c r="B1232" s="583" t="s">
        <v>2467</v>
      </c>
      <c r="C1232" s="1486"/>
      <c r="D1232" s="1127" t="s">
        <v>15</v>
      </c>
      <c r="E1232" s="557"/>
      <c r="F1232" s="1117"/>
      <c r="G1232" s="557"/>
      <c r="H1232" s="1117"/>
      <c r="I1232" s="1117"/>
      <c r="J1232" s="558"/>
    </row>
    <row r="1233" spans="1:10">
      <c r="A1233" s="496"/>
      <c r="B1233" s="583" t="s">
        <v>2468</v>
      </c>
      <c r="C1233" s="1486"/>
      <c r="D1233" s="1127" t="s">
        <v>15</v>
      </c>
      <c r="E1233" s="557"/>
      <c r="F1233" s="1117"/>
      <c r="G1233" s="557"/>
      <c r="H1233" s="1117"/>
      <c r="I1233" s="1117"/>
      <c r="J1233" s="558"/>
    </row>
    <row r="1234" spans="1:10">
      <c r="A1234" s="496"/>
      <c r="B1234" s="583" t="s">
        <v>2469</v>
      </c>
      <c r="C1234" s="1486"/>
      <c r="D1234" s="1127" t="s">
        <v>15</v>
      </c>
      <c r="E1234" s="557"/>
      <c r="F1234" s="1117"/>
      <c r="G1234" s="557"/>
      <c r="H1234" s="1117"/>
      <c r="I1234" s="1117"/>
      <c r="J1234" s="558"/>
    </row>
    <row r="1235" spans="1:10">
      <c r="A1235" s="496"/>
      <c r="B1235" s="583" t="s">
        <v>2470</v>
      </c>
      <c r="C1235" s="1486"/>
      <c r="D1235" s="1127" t="s">
        <v>15</v>
      </c>
      <c r="E1235" s="557"/>
      <c r="F1235" s="1117"/>
      <c r="G1235" s="557"/>
      <c r="H1235" s="1117"/>
      <c r="I1235" s="1117"/>
      <c r="J1235" s="558"/>
    </row>
    <row r="1236" spans="1:10">
      <c r="A1236" s="496"/>
      <c r="B1236" s="583" t="s">
        <v>2471</v>
      </c>
      <c r="C1236" s="1486"/>
      <c r="D1236" s="1127" t="s">
        <v>15</v>
      </c>
      <c r="E1236" s="557"/>
      <c r="F1236" s="1117"/>
      <c r="G1236" s="557"/>
      <c r="H1236" s="1117"/>
      <c r="I1236" s="1117"/>
      <c r="J1236" s="558"/>
    </row>
    <row r="1237" spans="1:10">
      <c r="A1237" s="496"/>
      <c r="B1237" s="583" t="s">
        <v>2472</v>
      </c>
      <c r="C1237" s="1486"/>
      <c r="D1237" s="1127" t="s">
        <v>15</v>
      </c>
      <c r="E1237" s="557"/>
      <c r="F1237" s="1117"/>
      <c r="G1237" s="557"/>
      <c r="H1237" s="1117"/>
      <c r="I1237" s="1117"/>
      <c r="J1237" s="558"/>
    </row>
    <row r="1238" spans="1:10">
      <c r="A1238" s="496"/>
      <c r="B1238" s="583" t="s">
        <v>2473</v>
      </c>
      <c r="C1238" s="1486"/>
      <c r="D1238" s="1127" t="s">
        <v>15</v>
      </c>
      <c r="E1238" s="557"/>
      <c r="F1238" s="1117"/>
      <c r="G1238" s="557"/>
      <c r="H1238" s="1117"/>
      <c r="I1238" s="1117"/>
      <c r="J1238" s="558"/>
    </row>
    <row r="1239" spans="1:10">
      <c r="A1239" s="496"/>
      <c r="B1239" s="583" t="s">
        <v>2474</v>
      </c>
      <c r="C1239" s="1486"/>
      <c r="D1239" s="1127" t="s">
        <v>15</v>
      </c>
      <c r="E1239" s="557"/>
      <c r="F1239" s="1117"/>
      <c r="G1239" s="557"/>
      <c r="H1239" s="1117"/>
      <c r="I1239" s="1117"/>
      <c r="J1239" s="558"/>
    </row>
    <row r="1240" spans="1:10">
      <c r="A1240" s="496"/>
      <c r="B1240" s="583" t="s">
        <v>2475</v>
      </c>
      <c r="C1240" s="1486"/>
      <c r="D1240" s="1127" t="s">
        <v>15</v>
      </c>
      <c r="E1240" s="557"/>
      <c r="F1240" s="1117"/>
      <c r="G1240" s="557"/>
      <c r="H1240" s="1117"/>
      <c r="I1240" s="1117"/>
      <c r="J1240" s="558"/>
    </row>
    <row r="1241" spans="1:10">
      <c r="A1241" s="496"/>
      <c r="B1241" s="583" t="s">
        <v>2476</v>
      </c>
      <c r="C1241" s="1486"/>
      <c r="D1241" s="1127" t="s">
        <v>15</v>
      </c>
      <c r="E1241" s="557"/>
      <c r="F1241" s="1117"/>
      <c r="G1241" s="557"/>
      <c r="H1241" s="1117"/>
      <c r="I1241" s="1117"/>
      <c r="J1241" s="558"/>
    </row>
    <row r="1242" spans="1:10">
      <c r="A1242" s="496"/>
      <c r="B1242" s="583" t="s">
        <v>2477</v>
      </c>
      <c r="C1242" s="1486"/>
      <c r="D1242" s="1127" t="s">
        <v>15</v>
      </c>
      <c r="E1242" s="557"/>
      <c r="F1242" s="1117"/>
      <c r="G1242" s="557"/>
      <c r="H1242" s="1117"/>
      <c r="I1242" s="1117"/>
      <c r="J1242" s="558"/>
    </row>
    <row r="1243" spans="1:10">
      <c r="A1243" s="496"/>
      <c r="B1243" s="583" t="s">
        <v>2478</v>
      </c>
      <c r="C1243" s="1486"/>
      <c r="D1243" s="1127" t="s">
        <v>15</v>
      </c>
      <c r="E1243" s="557"/>
      <c r="F1243" s="1117"/>
      <c r="G1243" s="557"/>
      <c r="H1243" s="1117"/>
      <c r="I1243" s="1117"/>
      <c r="J1243" s="558"/>
    </row>
    <row r="1244" spans="1:10">
      <c r="A1244" s="496"/>
      <c r="B1244" s="583" t="s">
        <v>2482</v>
      </c>
      <c r="C1244" s="1486"/>
      <c r="D1244" s="1127" t="s">
        <v>15</v>
      </c>
      <c r="E1244" s="582"/>
      <c r="F1244" s="1117"/>
      <c r="G1244" s="557"/>
      <c r="H1244" s="1117"/>
      <c r="I1244" s="1117"/>
      <c r="J1244" s="558"/>
    </row>
    <row r="1245" spans="1:10">
      <c r="A1245" s="496"/>
      <c r="B1245" s="583" t="s">
        <v>2483</v>
      </c>
      <c r="C1245" s="1486"/>
      <c r="D1245" s="1127" t="s">
        <v>15</v>
      </c>
      <c r="E1245" s="582"/>
      <c r="F1245" s="1117"/>
      <c r="G1245" s="557"/>
      <c r="H1245" s="1117"/>
      <c r="I1245" s="1117"/>
      <c r="J1245" s="558"/>
    </row>
    <row r="1246" spans="1:10">
      <c r="A1246" s="496"/>
      <c r="B1246" s="583" t="s">
        <v>2484</v>
      </c>
      <c r="C1246" s="1486"/>
      <c r="D1246" s="1127" t="s">
        <v>15</v>
      </c>
      <c r="E1246" s="582"/>
      <c r="F1246" s="1117"/>
      <c r="G1246" s="557"/>
      <c r="H1246" s="1117"/>
      <c r="I1246" s="1117"/>
      <c r="J1246" s="558"/>
    </row>
    <row r="1247" spans="1:10">
      <c r="A1247" s="496"/>
      <c r="B1247" s="583" t="s">
        <v>2485</v>
      </c>
      <c r="C1247" s="1486"/>
      <c r="D1247" s="1127" t="s">
        <v>15</v>
      </c>
      <c r="E1247" s="582"/>
      <c r="F1247" s="1117"/>
      <c r="G1247" s="557"/>
      <c r="H1247" s="1117"/>
      <c r="I1247" s="1117"/>
      <c r="J1247" s="558"/>
    </row>
    <row r="1248" spans="1:10">
      <c r="A1248" s="496"/>
      <c r="B1248" s="583" t="s">
        <v>2486</v>
      </c>
      <c r="C1248" s="1486"/>
      <c r="D1248" s="1127" t="s">
        <v>15</v>
      </c>
      <c r="E1248" s="582"/>
      <c r="F1248" s="1117"/>
      <c r="G1248" s="557"/>
      <c r="H1248" s="1117"/>
      <c r="I1248" s="1117"/>
      <c r="J1248" s="558"/>
    </row>
    <row r="1249" spans="1:10">
      <c r="A1249" s="496"/>
      <c r="B1249" s="583" t="s">
        <v>2487</v>
      </c>
      <c r="C1249" s="1486"/>
      <c r="D1249" s="1127" t="s">
        <v>15</v>
      </c>
      <c r="E1249" s="582"/>
      <c r="F1249" s="1117"/>
      <c r="G1249" s="557"/>
      <c r="H1249" s="1117"/>
      <c r="I1249" s="1117"/>
      <c r="J1249" s="558"/>
    </row>
    <row r="1250" spans="1:10">
      <c r="A1250" s="496"/>
      <c r="B1250" s="583" t="s">
        <v>2488</v>
      </c>
      <c r="C1250" s="1486"/>
      <c r="D1250" s="1127" t="s">
        <v>15</v>
      </c>
      <c r="E1250" s="582"/>
      <c r="F1250" s="1117"/>
      <c r="G1250" s="557"/>
      <c r="H1250" s="1117"/>
      <c r="I1250" s="1117"/>
      <c r="J1250" s="558"/>
    </row>
    <row r="1251" spans="1:10">
      <c r="A1251" s="496"/>
      <c r="B1251" s="583" t="s">
        <v>2489</v>
      </c>
      <c r="C1251" s="1486"/>
      <c r="D1251" s="1127" t="s">
        <v>15</v>
      </c>
      <c r="E1251" s="582"/>
      <c r="F1251" s="1117"/>
      <c r="G1251" s="557"/>
      <c r="H1251" s="1117"/>
      <c r="I1251" s="1117"/>
      <c r="J1251" s="558"/>
    </row>
    <row r="1252" spans="1:10">
      <c r="A1252" s="496"/>
      <c r="B1252" s="583" t="s">
        <v>2490</v>
      </c>
      <c r="C1252" s="1486"/>
      <c r="D1252" s="1127" t="s">
        <v>15</v>
      </c>
      <c r="E1252" s="582"/>
      <c r="F1252" s="1117"/>
      <c r="G1252" s="557"/>
      <c r="H1252" s="1117"/>
      <c r="I1252" s="1117"/>
      <c r="J1252" s="558"/>
    </row>
    <row r="1253" spans="1:10">
      <c r="A1253" s="496"/>
      <c r="B1253" s="583" t="s">
        <v>2491</v>
      </c>
      <c r="C1253" s="1486"/>
      <c r="D1253" s="1127" t="s">
        <v>15</v>
      </c>
      <c r="E1253" s="582"/>
      <c r="F1253" s="1117"/>
      <c r="G1253" s="557"/>
      <c r="H1253" s="1117"/>
      <c r="I1253" s="1117"/>
      <c r="J1253" s="558"/>
    </row>
    <row r="1254" spans="1:10">
      <c r="A1254" s="496"/>
      <c r="B1254" s="583" t="s">
        <v>2492</v>
      </c>
      <c r="C1254" s="1486"/>
      <c r="D1254" s="1127" t="s">
        <v>15</v>
      </c>
      <c r="E1254" s="582"/>
      <c r="F1254" s="1117"/>
      <c r="G1254" s="557"/>
      <c r="H1254" s="1117"/>
      <c r="I1254" s="1117"/>
      <c r="J1254" s="558"/>
    </row>
    <row r="1255" spans="1:10">
      <c r="A1255" s="496"/>
      <c r="B1255" s="583" t="s">
        <v>2493</v>
      </c>
      <c r="C1255" s="1486"/>
      <c r="D1255" s="1127" t="s">
        <v>15</v>
      </c>
      <c r="E1255" s="582"/>
      <c r="F1255" s="1117"/>
      <c r="G1255" s="557"/>
      <c r="H1255" s="1117"/>
      <c r="I1255" s="1117"/>
      <c r="J1255" s="558"/>
    </row>
    <row r="1256" spans="1:10">
      <c r="A1256" s="496"/>
      <c r="B1256" s="583" t="s">
        <v>2494</v>
      </c>
      <c r="C1256" s="1486"/>
      <c r="D1256" s="1127" t="s">
        <v>15</v>
      </c>
      <c r="E1256" s="582"/>
      <c r="F1256" s="1117"/>
      <c r="G1256" s="557"/>
      <c r="H1256" s="1117"/>
      <c r="I1256" s="1117"/>
      <c r="J1256" s="558"/>
    </row>
    <row r="1257" spans="1:10">
      <c r="A1257" s="496"/>
      <c r="B1257" s="583" t="s">
        <v>2495</v>
      </c>
      <c r="C1257" s="1486"/>
      <c r="D1257" s="1127" t="s">
        <v>15</v>
      </c>
      <c r="E1257" s="582"/>
      <c r="F1257" s="1117"/>
      <c r="G1257" s="557"/>
      <c r="H1257" s="1117"/>
      <c r="I1257" s="1117"/>
      <c r="J1257" s="558"/>
    </row>
    <row r="1258" spans="1:10">
      <c r="A1258" s="496"/>
      <c r="B1258" s="583" t="s">
        <v>2496</v>
      </c>
      <c r="C1258" s="1486"/>
      <c r="D1258" s="1127" t="s">
        <v>15</v>
      </c>
      <c r="E1258" s="582"/>
      <c r="F1258" s="1117"/>
      <c r="G1258" s="557"/>
      <c r="H1258" s="1117"/>
      <c r="I1258" s="1117"/>
      <c r="J1258" s="558"/>
    </row>
    <row r="1259" spans="1:10">
      <c r="A1259" s="496"/>
      <c r="B1259" s="583" t="s">
        <v>2497</v>
      </c>
      <c r="C1259" s="1486"/>
      <c r="D1259" s="1127" t="s">
        <v>15</v>
      </c>
      <c r="E1259" s="582"/>
      <c r="F1259" s="1117"/>
      <c r="G1259" s="557"/>
      <c r="H1259" s="1117"/>
      <c r="I1259" s="1117"/>
      <c r="J1259" s="558"/>
    </row>
    <row r="1260" spans="1:10">
      <c r="A1260" s="496"/>
      <c r="B1260" s="583" t="s">
        <v>2498</v>
      </c>
      <c r="C1260" s="1486"/>
      <c r="D1260" s="1127" t="s">
        <v>15</v>
      </c>
      <c r="E1260" s="582"/>
      <c r="F1260" s="1117"/>
      <c r="G1260" s="557"/>
      <c r="H1260" s="1117"/>
      <c r="I1260" s="1117"/>
      <c r="J1260" s="558"/>
    </row>
    <row r="1261" spans="1:10">
      <c r="A1261" s="496"/>
      <c r="B1261" s="583" t="s">
        <v>2499</v>
      </c>
      <c r="C1261" s="1486"/>
      <c r="D1261" s="1127" t="s">
        <v>15</v>
      </c>
      <c r="E1261" s="582"/>
      <c r="F1261" s="1117"/>
      <c r="G1261" s="557"/>
      <c r="H1261" s="1117"/>
      <c r="I1261" s="1117"/>
      <c r="J1261" s="558"/>
    </row>
    <row r="1262" spans="1:10">
      <c r="A1262" s="496"/>
      <c r="B1262" s="583" t="s">
        <v>2500</v>
      </c>
      <c r="C1262" s="1486"/>
      <c r="D1262" s="1127" t="s">
        <v>15</v>
      </c>
      <c r="E1262" s="1144"/>
      <c r="F1262" s="1117"/>
      <c r="G1262" s="557"/>
      <c r="H1262" s="1117"/>
      <c r="I1262" s="1117"/>
      <c r="J1262" s="558"/>
    </row>
    <row r="1263" spans="1:10">
      <c r="A1263" s="496"/>
      <c r="B1263" s="583" t="s">
        <v>1170</v>
      </c>
      <c r="C1263" s="1486"/>
      <c r="D1263" s="1127"/>
      <c r="E1263" s="557"/>
      <c r="F1263" s="1117"/>
      <c r="G1263" s="1117"/>
      <c r="H1263" s="1117"/>
      <c r="I1263" s="1117"/>
      <c r="J1263" s="558"/>
    </row>
    <row r="1264" spans="1:10">
      <c r="A1264" s="496"/>
      <c r="B1264" s="583" t="s">
        <v>2479</v>
      </c>
      <c r="C1264" s="1486"/>
      <c r="D1264" s="1127" t="s">
        <v>15</v>
      </c>
      <c r="E1264" s="557"/>
      <c r="F1264" s="1117"/>
      <c r="G1264" s="557"/>
      <c r="H1264" s="1125"/>
      <c r="I1264" s="1117"/>
      <c r="J1264" s="558"/>
    </row>
    <row r="1265" spans="1:10">
      <c r="A1265" s="496"/>
      <c r="B1265" s="583" t="s">
        <v>2480</v>
      </c>
      <c r="C1265" s="1486"/>
      <c r="D1265" s="1127" t="s">
        <v>15</v>
      </c>
      <c r="E1265" s="557"/>
      <c r="F1265" s="1117"/>
      <c r="G1265" s="557"/>
      <c r="H1265" s="1125"/>
      <c r="I1265" s="1117"/>
      <c r="J1265" s="558"/>
    </row>
    <row r="1266" spans="1:10" s="1297" customFormat="1">
      <c r="A1266" s="504">
        <v>5.3</v>
      </c>
      <c r="B1266" s="1177" t="s">
        <v>935</v>
      </c>
      <c r="C1266" s="1486"/>
      <c r="D1266" s="1127"/>
      <c r="E1266" s="582"/>
      <c r="F1266" s="1115"/>
      <c r="G1266" s="557"/>
      <c r="H1266" s="1115"/>
      <c r="I1266" s="1115"/>
      <c r="J1266" s="558"/>
    </row>
    <row r="1267" spans="1:10" s="1297" customFormat="1">
      <c r="A1267" s="504"/>
      <c r="B1267" s="583" t="s">
        <v>936</v>
      </c>
      <c r="C1267" s="1486"/>
      <c r="D1267" s="1127"/>
      <c r="E1267" s="582"/>
      <c r="F1267" s="1115"/>
      <c r="G1267" s="557"/>
      <c r="H1267" s="1115"/>
      <c r="I1267" s="1115"/>
      <c r="J1267" s="558"/>
    </row>
    <row r="1268" spans="1:10" s="1297" customFormat="1">
      <c r="A1268" s="504"/>
      <c r="B1268" s="583" t="s">
        <v>2650</v>
      </c>
      <c r="C1268" s="1486"/>
      <c r="D1268" s="1127" t="s">
        <v>57</v>
      </c>
      <c r="E1268" s="582"/>
      <c r="F1268" s="1115"/>
      <c r="G1268" s="557"/>
      <c r="H1268" s="1115"/>
      <c r="I1268" s="1115"/>
      <c r="J1268" s="558"/>
    </row>
    <row r="1269" spans="1:10" s="1297" customFormat="1">
      <c r="A1269" s="504"/>
      <c r="B1269" s="583" t="s">
        <v>2429</v>
      </c>
      <c r="C1269" s="1486"/>
      <c r="D1269" s="1127" t="s">
        <v>14</v>
      </c>
      <c r="E1269" s="582"/>
      <c r="F1269" s="1115"/>
      <c r="G1269" s="557"/>
      <c r="H1269" s="1115"/>
      <c r="I1269" s="1115"/>
      <c r="J1269" s="558"/>
    </row>
    <row r="1270" spans="1:10" s="1297" customFormat="1">
      <c r="A1270" s="504"/>
      <c r="B1270" s="583" t="s">
        <v>2651</v>
      </c>
      <c r="C1270" s="1486"/>
      <c r="D1270" s="1127" t="s">
        <v>57</v>
      </c>
      <c r="E1270" s="582"/>
      <c r="F1270" s="1115"/>
      <c r="G1270" s="557"/>
      <c r="H1270" s="1115"/>
      <c r="I1270" s="1115"/>
      <c r="J1270" s="558"/>
    </row>
    <row r="1271" spans="1:10" s="1297" customFormat="1">
      <c r="A1271" s="504"/>
      <c r="B1271" s="583" t="s">
        <v>2430</v>
      </c>
      <c r="C1271" s="1486"/>
      <c r="D1271" s="1127" t="s">
        <v>14</v>
      </c>
      <c r="E1271" s="582"/>
      <c r="F1271" s="1115"/>
      <c r="G1271" s="557"/>
      <c r="H1271" s="1115"/>
      <c r="I1271" s="1115"/>
      <c r="J1271" s="558"/>
    </row>
    <row r="1272" spans="1:10" s="1297" customFormat="1">
      <c r="A1272" s="504"/>
      <c r="B1272" s="583" t="s">
        <v>940</v>
      </c>
      <c r="C1272" s="1486"/>
      <c r="D1272" s="1127"/>
      <c r="E1272" s="582"/>
      <c r="F1272" s="1115"/>
      <c r="G1272" s="557"/>
      <c r="H1272" s="1115"/>
      <c r="I1272" s="1115"/>
      <c r="J1272" s="558"/>
    </row>
    <row r="1273" spans="1:10" s="1297" customFormat="1">
      <c r="A1273" s="504"/>
      <c r="B1273" s="583" t="s">
        <v>2645</v>
      </c>
      <c r="C1273" s="1486"/>
      <c r="D1273" s="1127" t="s">
        <v>57</v>
      </c>
      <c r="E1273" s="582"/>
      <c r="F1273" s="1115"/>
      <c r="G1273" s="557"/>
      <c r="H1273" s="1115"/>
      <c r="I1273" s="1115"/>
      <c r="J1273" s="558"/>
    </row>
    <row r="1274" spans="1:10" s="1297" customFormat="1">
      <c r="A1274" s="504"/>
      <c r="B1274" s="583" t="s">
        <v>2431</v>
      </c>
      <c r="C1274" s="1486"/>
      <c r="D1274" s="1127" t="s">
        <v>14</v>
      </c>
      <c r="E1274" s="582"/>
      <c r="F1274" s="1115"/>
      <c r="G1274" s="557"/>
      <c r="H1274" s="1115"/>
      <c r="I1274" s="1115"/>
      <c r="J1274" s="558"/>
    </row>
    <row r="1275" spans="1:10" s="1297" customFormat="1">
      <c r="A1275" s="518"/>
      <c r="B1275" s="1544" t="s">
        <v>2652</v>
      </c>
      <c r="C1275" s="1459"/>
      <c r="D1275" s="685" t="s">
        <v>508</v>
      </c>
      <c r="E1275" s="1545"/>
      <c r="F1275" s="1546"/>
      <c r="G1275" s="1546"/>
      <c r="H1275" s="674"/>
      <c r="I1275" s="674"/>
      <c r="J1275" s="558"/>
    </row>
    <row r="1276" spans="1:10" s="1297" customFormat="1">
      <c r="A1276" s="504">
        <v>5.4</v>
      </c>
      <c r="B1276" s="1177" t="s">
        <v>943</v>
      </c>
      <c r="C1276" s="1486"/>
      <c r="D1276" s="1127"/>
      <c r="E1276" s="582"/>
      <c r="F1276" s="1115"/>
      <c r="G1276" s="557"/>
      <c r="H1276" s="1115"/>
      <c r="I1276" s="1115"/>
      <c r="J1276" s="558"/>
    </row>
    <row r="1277" spans="1:10" s="1297" customFormat="1">
      <c r="A1277" s="504"/>
      <c r="B1277" s="583" t="s">
        <v>944</v>
      </c>
      <c r="C1277" s="1486"/>
      <c r="D1277" s="1127"/>
      <c r="E1277" s="582"/>
      <c r="F1277" s="1115"/>
      <c r="G1277" s="557"/>
      <c r="H1277" s="1115"/>
      <c r="I1277" s="1115"/>
      <c r="J1277" s="558"/>
    </row>
    <row r="1278" spans="1:10" s="1297" customFormat="1">
      <c r="A1278" s="504"/>
      <c r="B1278" s="583" t="s">
        <v>2646</v>
      </c>
      <c r="C1278" s="1486"/>
      <c r="D1278" s="1127" t="s">
        <v>57</v>
      </c>
      <c r="E1278" s="582"/>
      <c r="F1278" s="1115"/>
      <c r="G1278" s="557"/>
      <c r="H1278" s="1115"/>
      <c r="I1278" s="1115"/>
      <c r="J1278" s="558"/>
    </row>
    <row r="1279" spans="1:10" s="1297" customFormat="1">
      <c r="A1279" s="504"/>
      <c r="B1279" s="583" t="s">
        <v>2647</v>
      </c>
      <c r="C1279" s="1486"/>
      <c r="D1279" s="1127" t="s">
        <v>57</v>
      </c>
      <c r="E1279" s="582"/>
      <c r="F1279" s="1115"/>
      <c r="G1279" s="557"/>
      <c r="H1279" s="1115"/>
      <c r="I1279" s="1115"/>
      <c r="J1279" s="558"/>
    </row>
    <row r="1280" spans="1:10" s="1297" customFormat="1">
      <c r="A1280" s="504"/>
      <c r="B1280" s="583" t="s">
        <v>946</v>
      </c>
      <c r="C1280" s="1486"/>
      <c r="D1280" s="1127"/>
      <c r="E1280" s="582"/>
      <c r="F1280" s="1115"/>
      <c r="G1280" s="557"/>
      <c r="H1280" s="1115"/>
      <c r="I1280" s="1115"/>
      <c r="J1280" s="558"/>
    </row>
    <row r="1281" spans="1:13" s="1297" customFormat="1">
      <c r="A1281" s="504"/>
      <c r="B1281" s="583" t="s">
        <v>2648</v>
      </c>
      <c r="C1281" s="1486"/>
      <c r="D1281" s="1127" t="s">
        <v>57</v>
      </c>
      <c r="E1281" s="582"/>
      <c r="F1281" s="1115"/>
      <c r="G1281" s="557"/>
      <c r="H1281" s="1115"/>
      <c r="I1281" s="1115"/>
      <c r="J1281" s="558"/>
    </row>
    <row r="1282" spans="1:13" s="1297" customFormat="1">
      <c r="A1282" s="504"/>
      <c r="B1282" s="583" t="s">
        <v>2649</v>
      </c>
      <c r="C1282" s="1486"/>
      <c r="D1282" s="1127" t="s">
        <v>57</v>
      </c>
      <c r="E1282" s="582"/>
      <c r="F1282" s="1115"/>
      <c r="G1282" s="557"/>
      <c r="H1282" s="1115"/>
      <c r="I1282" s="1115"/>
      <c r="J1282" s="558"/>
    </row>
    <row r="1283" spans="1:13" s="1297" customFormat="1">
      <c r="A1283" s="518"/>
      <c r="B1283" s="1544" t="s">
        <v>2652</v>
      </c>
      <c r="C1283" s="1459"/>
      <c r="D1283" s="685" t="s">
        <v>508</v>
      </c>
      <c r="E1283" s="1545"/>
      <c r="F1283" s="1546"/>
      <c r="G1283" s="1546"/>
      <c r="H1283" s="674"/>
      <c r="I1283" s="674"/>
      <c r="J1283" s="558"/>
    </row>
    <row r="1284" spans="1:13">
      <c r="A1284" s="504">
        <v>5.5</v>
      </c>
      <c r="B1284" s="1177" t="s">
        <v>948</v>
      </c>
      <c r="C1284" s="1486"/>
      <c r="D1284" s="951"/>
      <c r="E1284" s="612"/>
      <c r="F1284" s="1115"/>
      <c r="G1284" s="557"/>
      <c r="H1284" s="1115"/>
      <c r="I1284" s="1115"/>
      <c r="J1284" s="558"/>
    </row>
    <row r="1285" spans="1:13">
      <c r="A1285" s="496"/>
      <c r="B1285" s="555" t="s">
        <v>949</v>
      </c>
      <c r="C1285" s="1486"/>
      <c r="D1285" s="951"/>
      <c r="E1285" s="556"/>
      <c r="F1285" s="1115"/>
      <c r="G1285" s="557"/>
      <c r="H1285" s="1115"/>
      <c r="I1285" s="1115"/>
      <c r="J1285" s="558"/>
    </row>
    <row r="1286" spans="1:13">
      <c r="A1286" s="496"/>
      <c r="B1286" s="555" t="s">
        <v>2432</v>
      </c>
      <c r="C1286" s="1486"/>
      <c r="D1286" s="951" t="s">
        <v>951</v>
      </c>
      <c r="E1286" s="556"/>
      <c r="F1286" s="1115"/>
      <c r="G1286" s="557"/>
      <c r="H1286" s="1115"/>
      <c r="I1286" s="1115"/>
      <c r="J1286" s="558"/>
    </row>
    <row r="1287" spans="1:13" s="1297" customFormat="1">
      <c r="A1287" s="504"/>
      <c r="B1287" s="1552" t="s">
        <v>2689</v>
      </c>
      <c r="C1287" s="1553"/>
      <c r="D1287" s="1548"/>
      <c r="E1287" s="582"/>
      <c r="F1287" s="1547"/>
      <c r="G1287" s="557"/>
      <c r="H1287" s="1547"/>
      <c r="I1287" s="1547"/>
      <c r="J1287" s="558"/>
    </row>
    <row r="1288" spans="1:13" s="1297" customFormat="1">
      <c r="A1288" s="504"/>
      <c r="B1288" s="1552" t="s">
        <v>2690</v>
      </c>
      <c r="C1288" s="1553"/>
      <c r="D1288" s="1548" t="s">
        <v>15</v>
      </c>
      <c r="E1288" s="582"/>
      <c r="F1288" s="1547"/>
      <c r="G1288" s="557"/>
      <c r="H1288" s="1547"/>
      <c r="I1288" s="1547"/>
      <c r="J1288" s="558"/>
    </row>
    <row r="1289" spans="1:13" s="1297" customFormat="1">
      <c r="A1289" s="504"/>
      <c r="B1289" s="1552" t="s">
        <v>2691</v>
      </c>
      <c r="C1289" s="1553"/>
      <c r="D1289" s="1548" t="s">
        <v>15</v>
      </c>
      <c r="E1289" s="582"/>
      <c r="F1289" s="1547"/>
      <c r="G1289" s="557"/>
      <c r="H1289" s="1547"/>
      <c r="I1289" s="1547"/>
      <c r="J1289" s="558"/>
    </row>
    <row r="1290" spans="1:13" s="1297" customFormat="1">
      <c r="A1290" s="504"/>
      <c r="B1290" s="1552" t="s">
        <v>2692</v>
      </c>
      <c r="C1290" s="1553"/>
      <c r="D1290" s="1548" t="s">
        <v>15</v>
      </c>
      <c r="E1290" s="582"/>
      <c r="F1290" s="1547"/>
      <c r="G1290" s="557"/>
      <c r="H1290" s="1547"/>
      <c r="I1290" s="1547"/>
      <c r="J1290" s="558"/>
    </row>
    <row r="1291" spans="1:13" s="1297" customFormat="1">
      <c r="A1291" s="504"/>
      <c r="B1291" s="1552" t="s">
        <v>2693</v>
      </c>
      <c r="C1291" s="1553"/>
      <c r="D1291" s="1548" t="s">
        <v>15</v>
      </c>
      <c r="E1291" s="582"/>
      <c r="F1291" s="1547"/>
      <c r="G1291" s="557"/>
      <c r="H1291" s="1547"/>
      <c r="I1291" s="1547"/>
      <c r="J1291" s="558"/>
    </row>
    <row r="1292" spans="1:13">
      <c r="A1292" s="504">
        <v>5.6</v>
      </c>
      <c r="B1292" s="1177" t="s">
        <v>652</v>
      </c>
      <c r="C1292" s="1486"/>
      <c r="D1292" s="951"/>
      <c r="E1292" s="556"/>
      <c r="F1292" s="1350"/>
      <c r="G1292" s="557"/>
      <c r="H1292" s="1350"/>
      <c r="I1292" s="1115"/>
      <c r="J1292" s="558"/>
      <c r="L1292" s="1297"/>
      <c r="M1292" s="1297"/>
    </row>
    <row r="1293" spans="1:13">
      <c r="A1293" s="496"/>
      <c r="B1293" s="555" t="s">
        <v>955</v>
      </c>
      <c r="C1293" s="1486"/>
      <c r="D1293" s="951" t="s">
        <v>15</v>
      </c>
      <c r="E1293" s="556"/>
      <c r="F1293" s="1115"/>
      <c r="G1293" s="557"/>
      <c r="H1293" s="1115"/>
      <c r="I1293" s="1115"/>
      <c r="J1293" s="558"/>
    </row>
    <row r="1294" spans="1:13">
      <c r="A1294" s="496"/>
      <c r="B1294" s="555" t="s">
        <v>956</v>
      </c>
      <c r="C1294" s="1486"/>
      <c r="D1294" s="951" t="s">
        <v>15</v>
      </c>
      <c r="E1294" s="556"/>
      <c r="F1294" s="1115"/>
      <c r="G1294" s="557"/>
      <c r="H1294" s="1115"/>
      <c r="I1294" s="1115"/>
      <c r="J1294" s="558"/>
    </row>
    <row r="1295" spans="1:13" s="1297" customFormat="1">
      <c r="A1295" s="504"/>
      <c r="B1295" s="583" t="s">
        <v>953</v>
      </c>
      <c r="C1295" s="1486"/>
      <c r="D1295" s="1486"/>
      <c r="E1295" s="1486"/>
      <c r="F1295" s="1486"/>
      <c r="G1295" s="1486"/>
      <c r="H1295" s="1486"/>
      <c r="I1295" s="1486"/>
      <c r="J1295" s="558"/>
    </row>
    <row r="1296" spans="1:13" s="1297" customFormat="1">
      <c r="A1296" s="504"/>
      <c r="B1296" s="1552" t="s">
        <v>2694</v>
      </c>
      <c r="C1296" s="1553"/>
      <c r="D1296" s="1548" t="s">
        <v>57</v>
      </c>
      <c r="E1296" s="1535"/>
      <c r="F1296" s="1547"/>
      <c r="G1296" s="557"/>
      <c r="H1296" s="1547"/>
      <c r="I1296" s="1547"/>
      <c r="J1296" s="558"/>
    </row>
    <row r="1297" spans="1:13" s="1297" customFormat="1">
      <c r="A1297" s="504"/>
      <c r="B1297" s="583" t="s">
        <v>954</v>
      </c>
      <c r="C1297" s="1486"/>
      <c r="D1297" s="1486"/>
      <c r="E1297" s="1486"/>
      <c r="F1297" s="1486"/>
      <c r="G1297" s="1486"/>
      <c r="H1297" s="1486"/>
      <c r="I1297" s="1486"/>
      <c r="J1297" s="558"/>
    </row>
    <row r="1298" spans="1:13" s="1297" customFormat="1">
      <c r="A1298" s="504"/>
      <c r="B1298" s="1552" t="s">
        <v>2695</v>
      </c>
      <c r="C1298" s="1553"/>
      <c r="D1298" s="1548" t="s">
        <v>57</v>
      </c>
      <c r="E1298" s="1506"/>
      <c r="F1298" s="1547"/>
      <c r="G1298" s="557"/>
      <c r="H1298" s="1547"/>
      <c r="I1298" s="1547"/>
      <c r="J1298" s="558"/>
    </row>
    <row r="1299" spans="1:13" s="1297" customFormat="1">
      <c r="A1299" s="504"/>
      <c r="B1299" s="1552" t="s">
        <v>2696</v>
      </c>
      <c r="C1299" s="1553"/>
      <c r="D1299" s="1548" t="s">
        <v>57</v>
      </c>
      <c r="E1299" s="1315"/>
      <c r="F1299" s="1547"/>
      <c r="G1299" s="557"/>
      <c r="H1299" s="1547"/>
      <c r="I1299" s="1547"/>
      <c r="J1299" s="558"/>
    </row>
    <row r="1300" spans="1:13" s="1297" customFormat="1">
      <c r="A1300" s="518"/>
      <c r="B1300" s="1544" t="s">
        <v>2652</v>
      </c>
      <c r="C1300" s="1459"/>
      <c r="D1300" s="685" t="s">
        <v>508</v>
      </c>
      <c r="E1300" s="1545"/>
      <c r="F1300" s="1546"/>
      <c r="G1300" s="1546"/>
      <c r="H1300" s="674"/>
      <c r="I1300" s="674"/>
      <c r="J1300" s="558"/>
    </row>
    <row r="1301" spans="1:13">
      <c r="A1301" s="832"/>
      <c r="B1301" s="833" t="s">
        <v>2267</v>
      </c>
      <c r="C1301" s="1449"/>
      <c r="D1301" s="835"/>
      <c r="E1301" s="836"/>
      <c r="F1301" s="837"/>
      <c r="G1301" s="837"/>
      <c r="H1301" s="837"/>
      <c r="I1301" s="837"/>
      <c r="J1301" s="837"/>
      <c r="L1301" s="652"/>
    </row>
    <row r="1302" spans="1:13">
      <c r="A1302" s="1180"/>
      <c r="B1302" s="1286"/>
      <c r="C1302" s="1450"/>
      <c r="D1302" s="1289"/>
      <c r="E1302" s="517"/>
      <c r="F1302" s="1219"/>
      <c r="G1302" s="1219"/>
      <c r="H1302" s="1219"/>
      <c r="I1302" s="1219"/>
      <c r="J1302" s="1219"/>
    </row>
    <row r="1303" spans="1:13">
      <c r="A1303" s="1322">
        <v>6</v>
      </c>
      <c r="B1303" s="1322" t="s">
        <v>2193</v>
      </c>
      <c r="C1303" s="1451"/>
      <c r="D1303" s="1323"/>
      <c r="E1303" s="1324"/>
      <c r="F1303" s="1324"/>
      <c r="G1303" s="1324"/>
      <c r="H1303" s="1324"/>
      <c r="I1303" s="1324"/>
      <c r="J1303" s="1324"/>
      <c r="M1303" s="652"/>
    </row>
    <row r="1304" spans="1:13">
      <c r="A1304" s="504">
        <v>6.1</v>
      </c>
      <c r="B1304" s="493" t="s">
        <v>13</v>
      </c>
      <c r="C1304" s="1489"/>
      <c r="D1304" s="499"/>
      <c r="E1304" s="500"/>
      <c r="F1304" s="897"/>
      <c r="G1304" s="501"/>
      <c r="H1304" s="898"/>
      <c r="I1304" s="898"/>
      <c r="J1304" s="489"/>
    </row>
    <row r="1305" spans="1:13">
      <c r="A1305" s="502"/>
      <c r="B1305" s="503" t="s">
        <v>1058</v>
      </c>
      <c r="C1305" s="1489"/>
      <c r="D1305" s="499" t="s">
        <v>14</v>
      </c>
      <c r="E1305" s="500"/>
      <c r="F1305" s="1278"/>
      <c r="G1305" s="501"/>
      <c r="H1305" s="1279"/>
      <c r="I1305" s="489"/>
      <c r="J1305" s="489"/>
    </row>
    <row r="1306" spans="1:13">
      <c r="A1306" s="502"/>
      <c r="B1306" s="503" t="s">
        <v>1059</v>
      </c>
      <c r="C1306" s="1489"/>
      <c r="D1306" s="1280" t="s">
        <v>16</v>
      </c>
      <c r="E1306" s="500"/>
      <c r="F1306" s="1278"/>
      <c r="G1306" s="501"/>
      <c r="H1306" s="1279"/>
      <c r="I1306" s="489"/>
      <c r="J1306" s="489"/>
    </row>
    <row r="1307" spans="1:13">
      <c r="A1307" s="502"/>
      <c r="B1307" s="511" t="s">
        <v>1135</v>
      </c>
      <c r="C1307" s="1489"/>
      <c r="D1307" s="499" t="s">
        <v>1060</v>
      </c>
      <c r="E1307" s="489"/>
      <c r="F1307" s="660"/>
      <c r="G1307" s="490"/>
      <c r="H1307" s="898"/>
      <c r="I1307" s="489"/>
      <c r="J1307" s="489"/>
    </row>
    <row r="1308" spans="1:13">
      <c r="A1308" s="1394">
        <v>6.2</v>
      </c>
      <c r="B1308" s="1528" t="s">
        <v>2684</v>
      </c>
      <c r="C1308" s="1529"/>
      <c r="D1308" s="1379"/>
      <c r="E1308" s="1393"/>
      <c r="F1308" s="1393"/>
      <c r="G1308" s="1526"/>
      <c r="H1308" s="1526"/>
      <c r="I1308" s="1526"/>
      <c r="J1308" s="1393"/>
    </row>
    <row r="1309" spans="1:13" s="1507" customFormat="1" ht="24" customHeight="1">
      <c r="A1309" s="1530" t="s">
        <v>1811</v>
      </c>
      <c r="B1309" s="1531" t="s">
        <v>2655</v>
      </c>
      <c r="C1309" s="1515"/>
      <c r="D1309" s="1511"/>
      <c r="E1309" s="1512"/>
      <c r="F1309" s="1513"/>
      <c r="G1309" s="1512"/>
      <c r="H1309" s="1512"/>
      <c r="I1309" s="1513"/>
      <c r="J1309" s="1514"/>
    </row>
    <row r="1310" spans="1:13" s="1507" customFormat="1" ht="24" customHeight="1">
      <c r="A1310" s="1508"/>
      <c r="B1310" s="1509" t="s">
        <v>2656</v>
      </c>
      <c r="C1310" s="1510"/>
      <c r="D1310" s="1511" t="s">
        <v>16</v>
      </c>
      <c r="E1310" s="1527"/>
      <c r="F1310" s="1527"/>
      <c r="G1310" s="1527"/>
      <c r="H1310" s="1527"/>
      <c r="I1310" s="1513"/>
      <c r="J1310" s="1514"/>
    </row>
    <row r="1311" spans="1:13" s="1507" customFormat="1" ht="24" customHeight="1">
      <c r="A1311" s="1508"/>
      <c r="B1311" s="1509" t="s">
        <v>2657</v>
      </c>
      <c r="C1311" s="1510"/>
      <c r="D1311" s="1511" t="s">
        <v>43</v>
      </c>
      <c r="E1311" s="1527"/>
      <c r="F1311" s="1527"/>
      <c r="G1311" s="1527"/>
      <c r="H1311" s="1527"/>
      <c r="I1311" s="1513"/>
      <c r="J1311" s="1514"/>
    </row>
    <row r="1312" spans="1:13" s="1507" customFormat="1" ht="24" customHeight="1">
      <c r="A1312" s="1508"/>
      <c r="B1312" s="1509" t="s">
        <v>2658</v>
      </c>
      <c r="C1312" s="1510"/>
      <c r="D1312" s="1515" t="s">
        <v>43</v>
      </c>
      <c r="E1312" s="1527"/>
      <c r="F1312" s="1527"/>
      <c r="G1312" s="1527"/>
      <c r="H1312" s="1527"/>
      <c r="I1312" s="1513"/>
      <c r="J1312" s="1514"/>
    </row>
    <row r="1313" spans="1:11" s="1507" customFormat="1" ht="24" customHeight="1">
      <c r="A1313" s="1508"/>
      <c r="B1313" s="1534" t="s">
        <v>2679</v>
      </c>
      <c r="C1313" s="1510"/>
      <c r="D1313" s="1515" t="s">
        <v>43</v>
      </c>
      <c r="E1313" s="1527"/>
      <c r="F1313" s="1527"/>
      <c r="G1313" s="1527"/>
      <c r="H1313" s="1527"/>
      <c r="I1313" s="1513"/>
      <c r="J1313" s="1514"/>
    </row>
    <row r="1314" spans="1:11" s="1507" customFormat="1" ht="24" customHeight="1">
      <c r="A1314" s="1508"/>
      <c r="B1314" s="1516" t="s">
        <v>2677</v>
      </c>
      <c r="C1314" s="1510"/>
      <c r="D1314" s="1515" t="s">
        <v>19</v>
      </c>
      <c r="E1314" s="1527"/>
      <c r="F1314" s="1527"/>
      <c r="G1314" s="1527"/>
      <c r="H1314" s="1527"/>
      <c r="I1314" s="1513"/>
      <c r="J1314" s="1514"/>
    </row>
    <row r="1315" spans="1:11" s="1507" customFormat="1" ht="24" customHeight="1">
      <c r="A1315" s="1508"/>
      <c r="B1315" s="1516" t="s">
        <v>2676</v>
      </c>
      <c r="C1315" s="1510"/>
      <c r="D1315" s="1515" t="s">
        <v>19</v>
      </c>
      <c r="E1315" s="1527"/>
      <c r="F1315" s="1527"/>
      <c r="G1315" s="1527"/>
      <c r="H1315" s="1527"/>
      <c r="I1315" s="1513"/>
      <c r="J1315" s="1514"/>
    </row>
    <row r="1316" spans="1:11" s="1507" customFormat="1" ht="24" customHeight="1">
      <c r="A1316" s="1508"/>
      <c r="B1316" s="1516" t="s">
        <v>2659</v>
      </c>
      <c r="C1316" s="1510"/>
      <c r="D1316" s="1515" t="s">
        <v>16</v>
      </c>
      <c r="E1316" s="1527"/>
      <c r="F1316" s="1527"/>
      <c r="G1316" s="1527"/>
      <c r="H1316" s="1527"/>
      <c r="I1316" s="1513"/>
      <c r="J1316" s="1514"/>
    </row>
    <row r="1317" spans="1:11" s="1507" customFormat="1" ht="24" customHeight="1">
      <c r="A1317" s="1508"/>
      <c r="B1317" s="1516" t="s">
        <v>2660</v>
      </c>
      <c r="C1317" s="1510"/>
      <c r="D1317" s="1515" t="s">
        <v>2661</v>
      </c>
      <c r="E1317" s="1527"/>
      <c r="F1317" s="1527"/>
      <c r="G1317" s="1527"/>
      <c r="H1317" s="1527"/>
      <c r="I1317" s="1513"/>
      <c r="J1317" s="1514"/>
    </row>
    <row r="1318" spans="1:11" s="1507" customFormat="1" ht="24" customHeight="1">
      <c r="A1318" s="1508"/>
      <c r="B1318" s="1516" t="s">
        <v>2662</v>
      </c>
      <c r="C1318" s="1510"/>
      <c r="D1318" s="1515" t="s">
        <v>2663</v>
      </c>
      <c r="E1318" s="1527"/>
      <c r="F1318" s="1527"/>
      <c r="G1318" s="1527"/>
      <c r="H1318" s="1527"/>
      <c r="I1318" s="1513"/>
      <c r="J1318" s="1514"/>
    </row>
    <row r="1319" spans="1:11" s="1507" customFormat="1" ht="24" customHeight="1">
      <c r="A1319" s="1517"/>
      <c r="B1319" s="1516" t="s">
        <v>2664</v>
      </c>
      <c r="C1319" s="1510"/>
      <c r="D1319" s="1515" t="s">
        <v>57</v>
      </c>
      <c r="E1319" s="1527"/>
      <c r="F1319" s="1527"/>
      <c r="G1319" s="1527"/>
      <c r="H1319" s="1527"/>
      <c r="I1319" s="1513"/>
      <c r="J1319" s="1514"/>
    </row>
    <row r="1320" spans="1:11" s="1507" customFormat="1" ht="24" customHeight="1">
      <c r="A1320" s="1508"/>
      <c r="B1320" s="1516" t="s">
        <v>2665</v>
      </c>
      <c r="C1320" s="1510"/>
      <c r="D1320" s="1515" t="s">
        <v>57</v>
      </c>
      <c r="E1320" s="1527"/>
      <c r="F1320" s="1527"/>
      <c r="G1320" s="1527"/>
      <c r="H1320" s="1527"/>
      <c r="I1320" s="1513"/>
      <c r="J1320" s="1514"/>
    </row>
    <row r="1321" spans="1:11" s="1507" customFormat="1" ht="24" customHeight="1">
      <c r="A1321" s="1515"/>
      <c r="B1321" s="1518" t="s">
        <v>675</v>
      </c>
      <c r="C1321" s="1510"/>
      <c r="D1321" s="1515"/>
      <c r="E1321" s="1527"/>
      <c r="F1321" s="1527"/>
      <c r="G1321" s="1527"/>
      <c r="H1321" s="1527"/>
      <c r="I1321" s="1513"/>
      <c r="J1321" s="1514"/>
    </row>
    <row r="1322" spans="1:11" s="1507" customFormat="1" ht="24" customHeight="1">
      <c r="A1322" s="1515"/>
      <c r="B1322" s="1519" t="s">
        <v>2678</v>
      </c>
      <c r="C1322" s="1510"/>
      <c r="D1322" s="1515" t="s">
        <v>1665</v>
      </c>
      <c r="E1322" s="1527"/>
      <c r="F1322" s="1527"/>
      <c r="G1322" s="1527"/>
      <c r="H1322" s="1527"/>
      <c r="I1322" s="1513"/>
      <c r="J1322" s="1514"/>
    </row>
    <row r="1323" spans="1:11" s="1507" customFormat="1" ht="24" customHeight="1">
      <c r="A1323" s="1515"/>
      <c r="B1323" s="1519" t="s">
        <v>2674</v>
      </c>
      <c r="C1323" s="1510"/>
      <c r="D1323" s="1515" t="s">
        <v>1665</v>
      </c>
      <c r="E1323" s="1527"/>
      <c r="F1323" s="1527"/>
      <c r="G1323" s="1527"/>
      <c r="H1323" s="1527"/>
      <c r="I1323" s="1513"/>
      <c r="J1323" s="1514"/>
    </row>
    <row r="1324" spans="1:11" s="1507" customFormat="1" ht="24" customHeight="1">
      <c r="A1324" s="1515"/>
      <c r="B1324" s="1518" t="s">
        <v>2675</v>
      </c>
      <c r="C1324" s="1510"/>
      <c r="D1324" s="1515" t="s">
        <v>16</v>
      </c>
      <c r="E1324" s="1527"/>
      <c r="F1324" s="1527"/>
      <c r="G1324" s="1527"/>
      <c r="H1324" s="1527"/>
      <c r="I1324" s="1513"/>
      <c r="J1324" s="1514"/>
    </row>
    <row r="1325" spans="1:11" s="1507" customFormat="1" ht="24" customHeight="1">
      <c r="A1325" s="1515"/>
      <c r="B1325" s="1518" t="s">
        <v>676</v>
      </c>
      <c r="C1325" s="1510"/>
      <c r="D1325" s="1515" t="s">
        <v>19</v>
      </c>
      <c r="E1325" s="1527"/>
      <c r="F1325" s="1527"/>
      <c r="G1325" s="1527"/>
      <c r="H1325" s="1527"/>
      <c r="I1325" s="1513"/>
      <c r="J1325" s="1514"/>
    </row>
    <row r="1326" spans="1:11" s="1507" customFormat="1" ht="24" customHeight="1">
      <c r="A1326" s="1508"/>
      <c r="B1326" s="1516" t="s">
        <v>2666</v>
      </c>
      <c r="C1326" s="1510"/>
      <c r="D1326" s="1515" t="s">
        <v>16</v>
      </c>
      <c r="E1326" s="1527"/>
      <c r="F1326" s="1527"/>
      <c r="G1326" s="1527"/>
      <c r="H1326" s="1527"/>
      <c r="I1326" s="1513"/>
      <c r="J1326" s="1514"/>
    </row>
    <row r="1327" spans="1:11" s="1521" customFormat="1">
      <c r="A1327" s="1508"/>
      <c r="B1327" s="1523" t="s">
        <v>2667</v>
      </c>
      <c r="C1327" s="1524"/>
      <c r="D1327" s="1525" t="s">
        <v>16</v>
      </c>
      <c r="E1327" s="1527"/>
      <c r="F1327" s="1527"/>
      <c r="G1327" s="1527"/>
      <c r="H1327" s="1527"/>
      <c r="I1327" s="1513"/>
      <c r="J1327" s="1514"/>
      <c r="K1327" s="1520"/>
    </row>
    <row r="1328" spans="1:11" s="1521" customFormat="1">
      <c r="A1328" s="1532" t="s">
        <v>2673</v>
      </c>
      <c r="B1328" s="1533" t="s">
        <v>2668</v>
      </c>
      <c r="C1328" s="1524"/>
      <c r="D1328" s="1523"/>
      <c r="E1328" s="1523"/>
      <c r="F1328" s="1527"/>
      <c r="G1328" s="1527"/>
      <c r="H1328" s="1527"/>
      <c r="I1328" s="1523"/>
      <c r="J1328" s="1514"/>
    </row>
    <row r="1329" spans="1:11" s="1521" customFormat="1">
      <c r="A1329" s="1522"/>
      <c r="B1329" s="1523" t="s">
        <v>2669</v>
      </c>
      <c r="C1329" s="1524"/>
      <c r="D1329" s="1515" t="s">
        <v>43</v>
      </c>
      <c r="E1329" s="1527"/>
      <c r="F1329" s="1527"/>
      <c r="G1329" s="1527"/>
      <c r="H1329" s="1527"/>
      <c r="I1329" s="1513"/>
      <c r="J1329" s="1514"/>
    </row>
    <row r="1330" spans="1:11" s="1521" customFormat="1">
      <c r="A1330" s="1508"/>
      <c r="B1330" s="1509" t="s">
        <v>2658</v>
      </c>
      <c r="C1330" s="1524"/>
      <c r="D1330" s="1515" t="s">
        <v>43</v>
      </c>
      <c r="E1330" s="1527"/>
      <c r="F1330" s="1527"/>
      <c r="G1330" s="1527"/>
      <c r="H1330" s="1527"/>
      <c r="I1330" s="1513"/>
      <c r="J1330" s="1514"/>
    </row>
    <row r="1331" spans="1:11" s="1521" customFormat="1">
      <c r="A1331" s="1508"/>
      <c r="B1331" s="1534" t="s">
        <v>2681</v>
      </c>
      <c r="C1331" s="1524"/>
      <c r="D1331" s="1515" t="s">
        <v>43</v>
      </c>
      <c r="E1331" s="1527"/>
      <c r="F1331" s="1527"/>
      <c r="G1331" s="1527"/>
      <c r="H1331" s="1527"/>
      <c r="I1331" s="1513"/>
      <c r="J1331" s="1514"/>
    </row>
    <row r="1332" spans="1:11" s="1521" customFormat="1">
      <c r="A1332" s="1508"/>
      <c r="B1332" s="1516" t="s">
        <v>2670</v>
      </c>
      <c r="C1332" s="1524"/>
      <c r="D1332" s="1515" t="s">
        <v>16</v>
      </c>
      <c r="E1332" s="1527"/>
      <c r="F1332" s="1527"/>
      <c r="G1332" s="1527"/>
      <c r="H1332" s="1527"/>
      <c r="I1332" s="1513"/>
      <c r="J1332" s="1514"/>
    </row>
    <row r="1333" spans="1:11" s="1521" customFormat="1">
      <c r="A1333" s="1508"/>
      <c r="B1333" s="1523" t="s">
        <v>2671</v>
      </c>
      <c r="C1333" s="1524"/>
      <c r="D1333" s="1525" t="s">
        <v>2672</v>
      </c>
      <c r="E1333" s="1527"/>
      <c r="F1333" s="1527"/>
      <c r="G1333" s="1527"/>
      <c r="H1333" s="1527"/>
      <c r="I1333" s="1513"/>
      <c r="J1333" s="1514"/>
      <c r="K1333" s="1520"/>
    </row>
    <row r="1334" spans="1:11">
      <c r="A1334" s="661"/>
      <c r="B1334" s="926" t="s">
        <v>2680</v>
      </c>
      <c r="C1334" s="1452"/>
      <c r="D1334" s="532" t="s">
        <v>14</v>
      </c>
      <c r="E1334" s="866"/>
      <c r="F1334" s="683"/>
      <c r="G1334" s="787"/>
      <c r="H1334" s="665"/>
      <c r="I1334" s="684"/>
      <c r="J1334" s="489"/>
    </row>
    <row r="1335" spans="1:11">
      <c r="A1335" s="504">
        <v>6.3</v>
      </c>
      <c r="B1335" s="887" t="s">
        <v>2683</v>
      </c>
      <c r="C1335" s="1439"/>
      <c r="D1335" s="890" t="s">
        <v>1</v>
      </c>
      <c r="E1335" s="891"/>
      <c r="F1335" s="891"/>
      <c r="G1335" s="891"/>
      <c r="H1335" s="891"/>
      <c r="I1335" s="680"/>
      <c r="J1335" s="489"/>
    </row>
    <row r="1336" spans="1:11">
      <c r="A1336" s="1317" t="s">
        <v>1818</v>
      </c>
      <c r="B1336" s="899" t="s">
        <v>496</v>
      </c>
      <c r="C1336" s="1490"/>
      <c r="D1336" s="900" t="s">
        <v>1</v>
      </c>
      <c r="E1336" s="895"/>
      <c r="F1336" s="901"/>
      <c r="G1336" s="902"/>
      <c r="H1336" s="902"/>
      <c r="I1336" s="896"/>
      <c r="J1336" s="489"/>
    </row>
    <row r="1337" spans="1:11">
      <c r="A1337" s="504"/>
      <c r="B1337" s="903" t="s">
        <v>2428</v>
      </c>
      <c r="C1337" s="1315"/>
      <c r="D1337" s="866" t="s">
        <v>14</v>
      </c>
      <c r="E1337" s="489"/>
      <c r="F1337" s="489"/>
      <c r="G1337" s="489"/>
      <c r="H1337" s="489"/>
      <c r="I1337" s="489"/>
      <c r="J1337" s="489"/>
    </row>
    <row r="1338" spans="1:11" s="1297" customFormat="1">
      <c r="A1338" s="1402"/>
      <c r="B1338" s="1403" t="s">
        <v>2252</v>
      </c>
      <c r="C1338" s="1437"/>
      <c r="D1338" s="505" t="s">
        <v>508</v>
      </c>
      <c r="E1338" s="489"/>
      <c r="F1338" s="489"/>
      <c r="G1338" s="940"/>
      <c r="H1338" s="489"/>
      <c r="I1338" s="489"/>
      <c r="J1338" s="489"/>
    </row>
    <row r="1339" spans="1:11" s="1297" customFormat="1">
      <c r="A1339" s="1402"/>
      <c r="B1339" s="1403" t="s">
        <v>2253</v>
      </c>
      <c r="C1339" s="1437"/>
      <c r="D1339" s="505" t="s">
        <v>508</v>
      </c>
      <c r="E1339" s="489"/>
      <c r="F1339" s="489"/>
      <c r="G1339" s="940"/>
      <c r="H1339" s="489"/>
      <c r="I1339" s="489"/>
      <c r="J1339" s="489"/>
    </row>
    <row r="1340" spans="1:11" s="1297" customFormat="1">
      <c r="A1340" s="1402"/>
      <c r="B1340" s="1403" t="s">
        <v>2254</v>
      </c>
      <c r="C1340" s="1437"/>
      <c r="D1340" s="505" t="s">
        <v>508</v>
      </c>
      <c r="E1340" s="489"/>
      <c r="F1340" s="489"/>
      <c r="G1340" s="940"/>
      <c r="H1340" s="489"/>
      <c r="I1340" s="489"/>
      <c r="J1340" s="489"/>
    </row>
    <row r="1341" spans="1:11">
      <c r="A1341" s="504"/>
      <c r="B1341" s="903" t="s">
        <v>2165</v>
      </c>
      <c r="C1341" s="1315"/>
      <c r="D1341" s="499" t="s">
        <v>15</v>
      </c>
      <c r="E1341" s="489"/>
      <c r="F1341" s="489"/>
      <c r="G1341" s="489"/>
      <c r="H1341" s="489"/>
      <c r="I1341" s="489"/>
      <c r="J1341" s="489"/>
    </row>
    <row r="1342" spans="1:11">
      <c r="A1342" s="504"/>
      <c r="B1342" s="903" t="s">
        <v>2166</v>
      </c>
      <c r="C1342" s="1315"/>
      <c r="D1342" s="499" t="s">
        <v>15</v>
      </c>
      <c r="E1342" s="489"/>
      <c r="F1342" s="489"/>
      <c r="G1342" s="489"/>
      <c r="H1342" s="489"/>
      <c r="I1342" s="489"/>
      <c r="J1342" s="489"/>
    </row>
    <row r="1343" spans="1:11">
      <c r="A1343" s="504"/>
      <c r="B1343" s="903" t="s">
        <v>2167</v>
      </c>
      <c r="C1343" s="1315"/>
      <c r="D1343" s="499" t="s">
        <v>15</v>
      </c>
      <c r="E1343" s="489"/>
      <c r="F1343" s="489"/>
      <c r="G1343" s="489"/>
      <c r="H1343" s="489"/>
      <c r="I1343" s="489"/>
      <c r="J1343" s="489"/>
    </row>
    <row r="1344" spans="1:11">
      <c r="A1344" s="504"/>
      <c r="B1344" s="903" t="s">
        <v>2168</v>
      </c>
      <c r="C1344" s="1315"/>
      <c r="D1344" s="499" t="s">
        <v>15</v>
      </c>
      <c r="E1344" s="489"/>
      <c r="F1344" s="489"/>
      <c r="G1344" s="489"/>
      <c r="H1344" s="489"/>
      <c r="I1344" s="489"/>
      <c r="J1344" s="489"/>
    </row>
    <row r="1345" spans="1:10">
      <c r="A1345" s="504"/>
      <c r="B1345" s="903" t="s">
        <v>2169</v>
      </c>
      <c r="C1345" s="1315"/>
      <c r="D1345" s="499" t="s">
        <v>15</v>
      </c>
      <c r="E1345" s="489"/>
      <c r="F1345" s="489"/>
      <c r="G1345" s="489"/>
      <c r="H1345" s="489"/>
      <c r="I1345" s="489"/>
      <c r="J1345" s="489"/>
    </row>
    <row r="1346" spans="1:10">
      <c r="A1346" s="504"/>
      <c r="B1346" s="903" t="s">
        <v>1663</v>
      </c>
      <c r="C1346" s="1315"/>
      <c r="D1346" s="499" t="s">
        <v>15</v>
      </c>
      <c r="E1346" s="489"/>
      <c r="F1346" s="489"/>
      <c r="G1346" s="489"/>
      <c r="H1346" s="489"/>
      <c r="I1346" s="489"/>
      <c r="J1346" s="489"/>
    </row>
    <row r="1347" spans="1:10">
      <c r="A1347" s="1317" t="s">
        <v>2547</v>
      </c>
      <c r="B1347" s="1276" t="s">
        <v>613</v>
      </c>
      <c r="C1347" s="1315"/>
      <c r="D1347" s="506"/>
      <c r="E1347" s="489"/>
      <c r="F1347" s="489"/>
      <c r="G1347" s="489"/>
      <c r="H1347" s="489"/>
      <c r="I1347" s="489"/>
      <c r="J1347" s="489"/>
    </row>
    <row r="1348" spans="1:10">
      <c r="A1348" s="504"/>
      <c r="B1348" s="1424" t="s">
        <v>615</v>
      </c>
      <c r="C1348" s="1549"/>
      <c r="D1348" s="505"/>
      <c r="E1348" s="506"/>
      <c r="F1348" s="506"/>
      <c r="G1348" s="506"/>
      <c r="H1348" s="506"/>
      <c r="I1348" s="506"/>
      <c r="J1348" s="489"/>
    </row>
    <row r="1349" spans="1:10">
      <c r="A1349" s="504"/>
      <c r="B1349" s="1424" t="s">
        <v>616</v>
      </c>
      <c r="C1349" s="1549"/>
      <c r="D1349" s="505"/>
      <c r="E1349" s="506"/>
      <c r="F1349" s="506"/>
      <c r="G1349" s="506"/>
      <c r="H1349" s="506"/>
      <c r="I1349" s="506"/>
      <c r="J1349" s="489"/>
    </row>
    <row r="1350" spans="1:10">
      <c r="A1350" s="504"/>
      <c r="B1350" s="1424" t="s">
        <v>617</v>
      </c>
      <c r="C1350" s="1549"/>
      <c r="D1350" s="505"/>
      <c r="E1350" s="506"/>
      <c r="F1350" s="506"/>
      <c r="G1350" s="506"/>
      <c r="H1350" s="506"/>
      <c r="I1350" s="506"/>
      <c r="J1350" s="489"/>
    </row>
    <row r="1351" spans="1:10">
      <c r="A1351" s="504"/>
      <c r="B1351" s="1424" t="s">
        <v>618</v>
      </c>
      <c r="C1351" s="1549"/>
      <c r="D1351" s="505"/>
      <c r="E1351" s="506"/>
      <c r="F1351" s="506"/>
      <c r="G1351" s="506"/>
      <c r="H1351" s="506"/>
      <c r="I1351" s="506"/>
      <c r="J1351" s="489"/>
    </row>
    <row r="1352" spans="1:10">
      <c r="A1352" s="504"/>
      <c r="B1352" s="903" t="s">
        <v>619</v>
      </c>
      <c r="C1352" s="1315"/>
      <c r="D1352" s="499" t="s">
        <v>15</v>
      </c>
      <c r="E1352" s="489"/>
      <c r="F1352" s="489"/>
      <c r="G1352" s="489"/>
      <c r="H1352" s="489"/>
      <c r="I1352" s="489"/>
      <c r="J1352" s="489"/>
    </row>
    <row r="1353" spans="1:10">
      <c r="A1353" s="504"/>
      <c r="B1353" s="903" t="s">
        <v>620</v>
      </c>
      <c r="C1353" s="1315"/>
      <c r="D1353" s="499" t="s">
        <v>15</v>
      </c>
      <c r="E1353" s="489"/>
      <c r="F1353" s="489"/>
      <c r="G1353" s="489"/>
      <c r="H1353" s="489"/>
      <c r="I1353" s="489"/>
      <c r="J1353" s="489"/>
    </row>
    <row r="1354" spans="1:10">
      <c r="A1354" s="504">
        <v>6.4</v>
      </c>
      <c r="B1354" s="491" t="s">
        <v>621</v>
      </c>
      <c r="C1354" s="1315"/>
      <c r="D1354" s="506"/>
      <c r="E1354" s="489"/>
      <c r="F1354" s="489"/>
      <c r="G1354" s="489"/>
      <c r="H1354" s="489"/>
      <c r="I1354" s="489"/>
      <c r="J1354" s="489"/>
    </row>
    <row r="1355" spans="1:10">
      <c r="A1355" s="504"/>
      <c r="B1355" s="489" t="s">
        <v>622</v>
      </c>
      <c r="C1355" s="1315"/>
      <c r="D1355" s="506" t="s">
        <v>14</v>
      </c>
      <c r="E1355" s="489"/>
      <c r="F1355" s="489"/>
      <c r="G1355" s="489"/>
      <c r="H1355" s="489"/>
      <c r="I1355" s="489"/>
      <c r="J1355" s="489"/>
    </row>
    <row r="1356" spans="1:10" s="1297" customFormat="1">
      <c r="A1356" s="1402"/>
      <c r="B1356" s="1403" t="s">
        <v>2252</v>
      </c>
      <c r="C1356" s="1437"/>
      <c r="D1356" s="505" t="s">
        <v>508</v>
      </c>
      <c r="E1356" s="489"/>
      <c r="F1356" s="489"/>
      <c r="G1356" s="940"/>
      <c r="H1356" s="489"/>
      <c r="I1356" s="489"/>
      <c r="J1356" s="489"/>
    </row>
    <row r="1357" spans="1:10" s="1297" customFormat="1">
      <c r="A1357" s="1402"/>
      <c r="B1357" s="1403" t="s">
        <v>2253</v>
      </c>
      <c r="C1357" s="1437"/>
      <c r="D1357" s="505" t="s">
        <v>508</v>
      </c>
      <c r="E1357" s="489"/>
      <c r="F1357" s="489"/>
      <c r="G1357" s="940"/>
      <c r="H1357" s="489"/>
      <c r="I1357" s="489"/>
      <c r="J1357" s="489"/>
    </row>
    <row r="1358" spans="1:10" s="1297" customFormat="1">
      <c r="A1358" s="1402"/>
      <c r="B1358" s="1403" t="s">
        <v>2254</v>
      </c>
      <c r="C1358" s="1437"/>
      <c r="D1358" s="505" t="s">
        <v>508</v>
      </c>
      <c r="E1358" s="489"/>
      <c r="F1358" s="489"/>
      <c r="G1358" s="940"/>
      <c r="H1358" s="489"/>
      <c r="I1358" s="489"/>
      <c r="J1358" s="489"/>
    </row>
    <row r="1359" spans="1:10">
      <c r="A1359" s="504"/>
      <c r="B1359" s="489" t="s">
        <v>2163</v>
      </c>
      <c r="C1359" s="1315"/>
      <c r="D1359" s="506"/>
      <c r="E1359" s="489"/>
      <c r="F1359" s="489"/>
      <c r="G1359" s="489"/>
      <c r="H1359" s="489"/>
      <c r="I1359" s="489"/>
      <c r="J1359" s="489"/>
    </row>
    <row r="1360" spans="1:10">
      <c r="A1360" s="504"/>
      <c r="B1360" s="489" t="s">
        <v>627</v>
      </c>
      <c r="C1360" s="1315"/>
      <c r="D1360" s="506" t="s">
        <v>14</v>
      </c>
      <c r="E1360" s="489"/>
      <c r="F1360" s="489"/>
      <c r="G1360" s="489"/>
      <c r="H1360" s="489"/>
      <c r="I1360" s="489"/>
      <c r="J1360" s="489"/>
    </row>
    <row r="1361" spans="1:10">
      <c r="A1361" s="504"/>
      <c r="B1361" s="489" t="s">
        <v>628</v>
      </c>
      <c r="C1361" s="1315"/>
      <c r="D1361" s="506" t="s">
        <v>14</v>
      </c>
      <c r="E1361" s="489"/>
      <c r="F1361" s="489"/>
      <c r="G1361" s="489"/>
      <c r="H1361" s="489"/>
      <c r="I1361" s="489"/>
      <c r="J1361" s="489"/>
    </row>
    <row r="1362" spans="1:10">
      <c r="A1362" s="504"/>
      <c r="B1362" s="489" t="s">
        <v>629</v>
      </c>
      <c r="C1362" s="1315"/>
      <c r="D1362" s="506" t="s">
        <v>14</v>
      </c>
      <c r="E1362" s="489"/>
      <c r="F1362" s="489"/>
      <c r="G1362" s="489"/>
      <c r="H1362" s="489"/>
      <c r="I1362" s="489"/>
      <c r="J1362" s="489"/>
    </row>
    <row r="1363" spans="1:10">
      <c r="A1363" s="504"/>
      <c r="B1363" s="489" t="s">
        <v>630</v>
      </c>
      <c r="C1363" s="1315"/>
      <c r="D1363" s="506"/>
      <c r="E1363" s="489"/>
      <c r="F1363" s="489"/>
      <c r="G1363" s="489"/>
      <c r="H1363" s="489"/>
      <c r="I1363" s="489"/>
      <c r="J1363" s="489"/>
    </row>
    <row r="1364" spans="1:10">
      <c r="A1364" s="504"/>
      <c r="B1364" s="489" t="s">
        <v>631</v>
      </c>
      <c r="C1364" s="1315"/>
      <c r="D1364" s="506" t="s">
        <v>15</v>
      </c>
      <c r="E1364" s="489"/>
      <c r="F1364" s="489"/>
      <c r="G1364" s="489"/>
      <c r="H1364" s="489"/>
      <c r="I1364" s="489"/>
      <c r="J1364" s="489"/>
    </row>
    <row r="1365" spans="1:10">
      <c r="A1365" s="504"/>
      <c r="B1365" s="489" t="s">
        <v>632</v>
      </c>
      <c r="C1365" s="1315"/>
      <c r="D1365" s="506" t="s">
        <v>15</v>
      </c>
      <c r="E1365" s="489"/>
      <c r="F1365" s="489"/>
      <c r="G1365" s="489"/>
      <c r="H1365" s="489"/>
      <c r="I1365" s="489"/>
      <c r="J1365" s="489"/>
    </row>
    <row r="1366" spans="1:10">
      <c r="A1366" s="504"/>
      <c r="B1366" s="489" t="s">
        <v>633</v>
      </c>
      <c r="C1366" s="1315"/>
      <c r="D1366" s="506" t="s">
        <v>15</v>
      </c>
      <c r="E1366" s="489"/>
      <c r="F1366" s="489"/>
      <c r="G1366" s="489"/>
      <c r="H1366" s="489"/>
      <c r="I1366" s="489"/>
      <c r="J1366" s="489"/>
    </row>
    <row r="1367" spans="1:10">
      <c r="A1367" s="504">
        <v>6.5</v>
      </c>
      <c r="B1367" s="491" t="s">
        <v>536</v>
      </c>
      <c r="C1367" s="1491"/>
      <c r="D1367" s="506"/>
      <c r="E1367" s="489"/>
      <c r="F1367" s="489"/>
      <c r="G1367" s="489"/>
      <c r="H1367" s="489"/>
      <c r="I1367" s="489"/>
      <c r="J1367" s="489"/>
    </row>
    <row r="1368" spans="1:10">
      <c r="A1368" s="504"/>
      <c r="B1368" s="489" t="s">
        <v>2427</v>
      </c>
      <c r="C1368" s="1315"/>
      <c r="D1368" s="506" t="s">
        <v>14</v>
      </c>
      <c r="E1368" s="489"/>
      <c r="F1368" s="489"/>
      <c r="G1368" s="489"/>
      <c r="H1368" s="489"/>
      <c r="I1368" s="489"/>
      <c r="J1368" s="489"/>
    </row>
    <row r="1369" spans="1:10" s="1297" customFormat="1">
      <c r="A1369" s="1402"/>
      <c r="B1369" s="1403" t="s">
        <v>2252</v>
      </c>
      <c r="C1369" s="1437"/>
      <c r="D1369" s="505" t="s">
        <v>508</v>
      </c>
      <c r="E1369" s="489"/>
      <c r="F1369" s="489"/>
      <c r="G1369" s="940"/>
      <c r="H1369" s="489"/>
      <c r="I1369" s="489"/>
      <c r="J1369" s="489"/>
    </row>
    <row r="1370" spans="1:10" s="1297" customFormat="1">
      <c r="A1370" s="1402"/>
      <c r="B1370" s="1403" t="s">
        <v>2253</v>
      </c>
      <c r="C1370" s="1437"/>
      <c r="D1370" s="505" t="s">
        <v>508</v>
      </c>
      <c r="E1370" s="489"/>
      <c r="F1370" s="489"/>
      <c r="G1370" s="940"/>
      <c r="H1370" s="489"/>
      <c r="I1370" s="489"/>
      <c r="J1370" s="489"/>
    </row>
    <row r="1371" spans="1:10" s="1297" customFormat="1">
      <c r="A1371" s="1402"/>
      <c r="B1371" s="1403" t="s">
        <v>2254</v>
      </c>
      <c r="C1371" s="1437"/>
      <c r="D1371" s="505" t="s">
        <v>508</v>
      </c>
      <c r="E1371" s="489"/>
      <c r="F1371" s="489"/>
      <c r="G1371" s="940"/>
      <c r="H1371" s="489"/>
      <c r="I1371" s="489"/>
      <c r="J1371" s="489"/>
    </row>
    <row r="1372" spans="1:10">
      <c r="A1372" s="504">
        <v>6.6</v>
      </c>
      <c r="B1372" s="1411" t="s">
        <v>543</v>
      </c>
      <c r="C1372" s="1315"/>
      <c r="D1372" s="506"/>
      <c r="E1372" s="489"/>
      <c r="F1372" s="489"/>
      <c r="G1372" s="489"/>
      <c r="H1372" s="489"/>
      <c r="I1372" s="489"/>
      <c r="J1372" s="489"/>
    </row>
    <row r="1373" spans="1:10">
      <c r="A1373" s="504"/>
      <c r="B1373" s="489" t="s">
        <v>639</v>
      </c>
      <c r="C1373" s="1315"/>
      <c r="D1373" s="506"/>
      <c r="E1373" s="489"/>
      <c r="F1373" s="489"/>
      <c r="G1373" s="489"/>
      <c r="H1373" s="489"/>
      <c r="I1373" s="489"/>
      <c r="J1373" s="489"/>
    </row>
    <row r="1374" spans="1:10">
      <c r="A1374" s="504"/>
      <c r="B1374" s="489" t="s">
        <v>640</v>
      </c>
      <c r="C1374" s="1315"/>
      <c r="D1374" s="506" t="s">
        <v>2040</v>
      </c>
      <c r="E1374" s="489"/>
      <c r="F1374" s="489"/>
      <c r="G1374" s="489"/>
      <c r="H1374" s="489"/>
      <c r="I1374" s="489"/>
      <c r="J1374" s="489"/>
    </row>
    <row r="1375" spans="1:10">
      <c r="A1375" s="504">
        <v>6.6</v>
      </c>
      <c r="B1375" s="887" t="s">
        <v>652</v>
      </c>
      <c r="C1375" s="1492"/>
      <c r="D1375" s="890" t="s">
        <v>1</v>
      </c>
      <c r="E1375" s="890"/>
      <c r="F1375" s="890"/>
      <c r="G1375" s="890"/>
      <c r="H1375" s="891"/>
      <c r="I1375" s="680"/>
      <c r="J1375" s="489"/>
    </row>
    <row r="1376" spans="1:10">
      <c r="A1376" s="504"/>
      <c r="B1376" s="620" t="s">
        <v>653</v>
      </c>
      <c r="C1376" s="1441"/>
      <c r="D1376" s="486"/>
      <c r="E1376" s="486"/>
      <c r="F1376" s="486"/>
      <c r="G1376" s="486"/>
      <c r="H1376" s="488"/>
      <c r="I1376" s="488"/>
      <c r="J1376" s="489"/>
    </row>
    <row r="1377" spans="1:12">
      <c r="A1377" s="504"/>
      <c r="B1377" s="829" t="s">
        <v>655</v>
      </c>
      <c r="C1377" s="1493"/>
      <c r="D1377" s="510" t="s">
        <v>15</v>
      </c>
      <c r="E1377" s="909"/>
      <c r="F1377" s="674"/>
      <c r="G1377" s="909"/>
      <c r="H1377" s="674"/>
      <c r="I1377" s="674"/>
      <c r="J1377" s="489"/>
    </row>
    <row r="1378" spans="1:12">
      <c r="A1378" s="504"/>
      <c r="B1378" s="503" t="s">
        <v>656</v>
      </c>
      <c r="C1378" s="1494"/>
      <c r="D1378" s="499" t="s">
        <v>15</v>
      </c>
      <c r="E1378" s="492"/>
      <c r="F1378" s="674"/>
      <c r="G1378" s="490"/>
      <c r="H1378" s="674"/>
      <c r="I1378" s="674"/>
      <c r="J1378" s="489"/>
    </row>
    <row r="1379" spans="1:12">
      <c r="A1379" s="504"/>
      <c r="B1379" s="503" t="s">
        <v>657</v>
      </c>
      <c r="C1379" s="1494"/>
      <c r="D1379" s="510" t="s">
        <v>15</v>
      </c>
      <c r="E1379" s="492"/>
      <c r="F1379" s="674"/>
      <c r="G1379" s="490"/>
      <c r="H1379" s="674"/>
      <c r="I1379" s="674"/>
      <c r="J1379" s="489"/>
    </row>
    <row r="1380" spans="1:12">
      <c r="A1380" s="504"/>
      <c r="B1380" s="503" t="s">
        <v>658</v>
      </c>
      <c r="C1380" s="1494"/>
      <c r="D1380" s="510" t="s">
        <v>15</v>
      </c>
      <c r="E1380" s="492"/>
      <c r="F1380" s="674"/>
      <c r="G1380" s="490"/>
      <c r="H1380" s="674"/>
      <c r="I1380" s="674"/>
      <c r="J1380" s="489"/>
    </row>
    <row r="1381" spans="1:12">
      <c r="A1381" s="504"/>
      <c r="B1381" s="503" t="s">
        <v>659</v>
      </c>
      <c r="C1381" s="1494"/>
      <c r="D1381" s="499" t="s">
        <v>15</v>
      </c>
      <c r="E1381" s="492"/>
      <c r="F1381" s="674"/>
      <c r="G1381" s="490"/>
      <c r="H1381" s="674"/>
      <c r="I1381" s="674"/>
      <c r="J1381" s="489"/>
    </row>
    <row r="1382" spans="1:12">
      <c r="A1382" s="504"/>
      <c r="B1382" s="503" t="s">
        <v>660</v>
      </c>
      <c r="C1382" s="1494"/>
      <c r="D1382" s="499" t="s">
        <v>15</v>
      </c>
      <c r="E1382" s="492"/>
      <c r="F1382" s="674"/>
      <c r="G1382" s="490"/>
      <c r="H1382" s="674"/>
      <c r="I1382" s="674"/>
      <c r="J1382" s="489"/>
    </row>
    <row r="1383" spans="1:12">
      <c r="A1383" s="504"/>
      <c r="B1383" s="662" t="s">
        <v>662</v>
      </c>
      <c r="C1383" s="1437"/>
      <c r="D1383" s="499" t="s">
        <v>15</v>
      </c>
      <c r="E1383" s="489"/>
      <c r="F1383" s="674"/>
      <c r="G1383" s="672"/>
      <c r="H1383" s="674"/>
      <c r="I1383" s="674"/>
      <c r="J1383" s="489"/>
    </row>
    <row r="1384" spans="1:12">
      <c r="A1384" s="504"/>
      <c r="B1384" s="662" t="s">
        <v>665</v>
      </c>
      <c r="C1384" s="1437"/>
      <c r="D1384" s="499" t="s">
        <v>15</v>
      </c>
      <c r="E1384" s="489"/>
      <c r="F1384" s="674"/>
      <c r="G1384" s="672"/>
      <c r="H1384" s="674"/>
      <c r="I1384" s="674"/>
      <c r="J1384" s="489"/>
    </row>
    <row r="1385" spans="1:12">
      <c r="A1385" s="504"/>
      <c r="B1385" s="662" t="s">
        <v>666</v>
      </c>
      <c r="C1385" s="1437"/>
      <c r="D1385" s="499" t="s">
        <v>15</v>
      </c>
      <c r="E1385" s="489"/>
      <c r="F1385" s="674"/>
      <c r="G1385" s="672"/>
      <c r="H1385" s="674"/>
      <c r="I1385" s="674"/>
      <c r="J1385" s="489"/>
    </row>
    <row r="1386" spans="1:12">
      <c r="A1386" s="504"/>
      <c r="B1386" s="511" t="s">
        <v>661</v>
      </c>
      <c r="C1386" s="1494"/>
      <c r="D1386" s="910" t="s">
        <v>57</v>
      </c>
      <c r="E1386" s="492"/>
      <c r="F1386" s="674"/>
      <c r="G1386" s="490"/>
      <c r="H1386" s="674"/>
      <c r="I1386" s="674"/>
      <c r="J1386" s="489"/>
    </row>
    <row r="1387" spans="1:12">
      <c r="A1387" s="504"/>
      <c r="B1387" s="662" t="s">
        <v>663</v>
      </c>
      <c r="C1387" s="1437"/>
      <c r="D1387" s="910" t="s">
        <v>57</v>
      </c>
      <c r="E1387" s="489"/>
      <c r="F1387" s="674"/>
      <c r="G1387" s="672"/>
      <c r="H1387" s="674"/>
      <c r="I1387" s="674"/>
      <c r="J1387" s="489"/>
    </row>
    <row r="1388" spans="1:12">
      <c r="A1388" s="504"/>
      <c r="B1388" s="662" t="s">
        <v>2162</v>
      </c>
      <c r="C1388" s="1437"/>
      <c r="D1388" s="910" t="s">
        <v>57</v>
      </c>
      <c r="E1388" s="489"/>
      <c r="F1388" s="674"/>
      <c r="G1388" s="672"/>
      <c r="H1388" s="674"/>
      <c r="I1388" s="674"/>
      <c r="J1388" s="489"/>
    </row>
    <row r="1389" spans="1:12" s="1297" customFormat="1">
      <c r="A1389" s="518"/>
      <c r="B1389" s="1544" t="s">
        <v>2652</v>
      </c>
      <c r="C1389" s="1459"/>
      <c r="D1389" s="685" t="s">
        <v>508</v>
      </c>
      <c r="E1389" s="1545"/>
      <c r="F1389" s="1546"/>
      <c r="G1389" s="1546"/>
      <c r="H1389" s="674"/>
      <c r="I1389" s="674"/>
      <c r="J1389" s="558"/>
    </row>
    <row r="1390" spans="1:12">
      <c r="A1390" s="838"/>
      <c r="B1390" s="833" t="s">
        <v>2259</v>
      </c>
      <c r="C1390" s="1457"/>
      <c r="D1390" s="845"/>
      <c r="E1390" s="837"/>
      <c r="F1390" s="842"/>
      <c r="G1390" s="842"/>
      <c r="H1390" s="842"/>
      <c r="I1390" s="842"/>
      <c r="J1390" s="837"/>
      <c r="L1390" s="652"/>
    </row>
    <row r="1391" spans="1:12">
      <c r="A1391" s="1180"/>
      <c r="B1391" s="1286"/>
      <c r="C1391" s="1450"/>
      <c r="D1391" s="1289"/>
      <c r="E1391" s="517"/>
      <c r="F1391" s="1219"/>
      <c r="G1391" s="1287"/>
      <c r="H1391" s="1288"/>
      <c r="I1391" s="1219"/>
      <c r="J1391" s="1305"/>
    </row>
    <row r="1392" spans="1:12">
      <c r="A1392" s="1330">
        <v>7</v>
      </c>
      <c r="B1392" s="1331" t="s">
        <v>2265</v>
      </c>
      <c r="C1392" s="1444"/>
      <c r="D1392" s="1332"/>
      <c r="E1392" s="1324"/>
      <c r="F1392" s="1333"/>
      <c r="G1392" s="1334"/>
      <c r="H1392" s="1335"/>
      <c r="I1392" s="1324"/>
      <c r="J1392" s="1329"/>
    </row>
    <row r="1393" spans="1:10">
      <c r="A1393" s="504">
        <v>7.1</v>
      </c>
      <c r="B1393" s="1425" t="s">
        <v>2289</v>
      </c>
      <c r="C1393" s="1495"/>
      <c r="D1393" s="640"/>
      <c r="E1393" s="567"/>
      <c r="F1393" s="605"/>
      <c r="G1393" s="641"/>
      <c r="H1393" s="642"/>
      <c r="I1393" s="605"/>
      <c r="J1393" s="508"/>
    </row>
    <row r="1394" spans="1:10">
      <c r="A1394" s="496"/>
      <c r="B1394" s="1047" t="s">
        <v>2531</v>
      </c>
      <c r="C1394" s="1485"/>
      <c r="D1394" s="968" t="s">
        <v>15</v>
      </c>
      <c r="E1394" s="673"/>
      <c r="F1394" s="673"/>
      <c r="G1394" s="672"/>
      <c r="H1394" s="1125"/>
      <c r="I1394" s="673"/>
      <c r="J1394" s="508"/>
    </row>
    <row r="1395" spans="1:10">
      <c r="A1395" s="496"/>
      <c r="B1395" s="1047" t="s">
        <v>2532</v>
      </c>
      <c r="C1395" s="1485"/>
      <c r="D1395" s="968" t="s">
        <v>15</v>
      </c>
      <c r="E1395" s="673"/>
      <c r="F1395" s="673"/>
      <c r="G1395" s="672"/>
      <c r="H1395" s="1125"/>
      <c r="I1395" s="673"/>
      <c r="J1395" s="508"/>
    </row>
    <row r="1396" spans="1:10">
      <c r="A1396" s="832"/>
      <c r="B1396" s="833" t="s">
        <v>2268</v>
      </c>
      <c r="C1396" s="1449"/>
      <c r="D1396" s="835"/>
      <c r="E1396" s="836"/>
      <c r="F1396" s="837"/>
      <c r="G1396" s="837"/>
      <c r="H1396" s="837"/>
      <c r="I1396" s="837"/>
      <c r="J1396" s="837"/>
    </row>
    <row r="1397" spans="1:10">
      <c r="A1397" s="496"/>
      <c r="B1397" s="1230"/>
      <c r="C1397" s="1495"/>
      <c r="D1397" s="640"/>
      <c r="E1397" s="1241"/>
      <c r="F1397" s="605"/>
      <c r="G1397" s="507"/>
      <c r="H1397" s="490"/>
      <c r="I1397" s="1241"/>
      <c r="J1397" s="508"/>
    </row>
    <row r="1398" spans="1:10">
      <c r="A1398" s="1330">
        <v>8</v>
      </c>
      <c r="B1398" s="1331" t="s">
        <v>248</v>
      </c>
      <c r="C1398" s="1444"/>
      <c r="D1398" s="1332"/>
      <c r="E1398" s="1324"/>
      <c r="F1398" s="1333"/>
      <c r="G1398" s="1334"/>
      <c r="H1398" s="1335"/>
      <c r="I1398" s="1324"/>
      <c r="J1398" s="1329"/>
    </row>
    <row r="1399" spans="1:10">
      <c r="A1399" s="504">
        <v>8.1</v>
      </c>
      <c r="B1399" s="1140" t="s">
        <v>652</v>
      </c>
      <c r="C1399" s="1492"/>
      <c r="D1399" s="1137" t="s">
        <v>1</v>
      </c>
      <c r="E1399" s="1138"/>
      <c r="F1399" s="1138"/>
      <c r="G1399" s="1138"/>
      <c r="H1399" s="1138"/>
      <c r="I1399" s="1077"/>
      <c r="J1399" s="508"/>
    </row>
    <row r="1400" spans="1:10">
      <c r="A1400" s="496"/>
      <c r="B1400" s="620" t="s">
        <v>653</v>
      </c>
      <c r="C1400" s="1441"/>
      <c r="D1400" s="486"/>
      <c r="E1400" s="487"/>
      <c r="F1400" s="488"/>
      <c r="G1400" s="487"/>
      <c r="H1400" s="488"/>
      <c r="I1400" s="488"/>
      <c r="J1400" s="508"/>
    </row>
    <row r="1401" spans="1:10" s="1297" customFormat="1">
      <c r="A1401" s="504"/>
      <c r="B1401" s="509" t="s">
        <v>654</v>
      </c>
      <c r="C1401" s="1496"/>
      <c r="D1401" s="510" t="s">
        <v>15</v>
      </c>
      <c r="E1401" s="1426"/>
      <c r="F1401" s="1427"/>
      <c r="G1401" s="1284"/>
      <c r="H1401" s="1234"/>
      <c r="I1401" s="1427"/>
      <c r="J1401" s="508"/>
    </row>
    <row r="1402" spans="1:10" s="1297" customFormat="1">
      <c r="A1402" s="1317"/>
      <c r="B1402" s="1428" t="s">
        <v>691</v>
      </c>
      <c r="C1402" s="1313"/>
      <c r="D1402" s="1429"/>
      <c r="E1402" s="1313"/>
      <c r="F1402" s="1294"/>
      <c r="G1402" s="1283"/>
      <c r="H1402" s="1294"/>
      <c r="I1402" s="1294"/>
      <c r="J1402" s="558"/>
    </row>
    <row r="1403" spans="1:10" s="1297" customFormat="1">
      <c r="A1403" s="518"/>
      <c r="B1403" s="1430" t="s">
        <v>692</v>
      </c>
      <c r="C1403" s="1313"/>
      <c r="D1403" s="510" t="s">
        <v>15</v>
      </c>
      <c r="E1403" s="1313"/>
      <c r="F1403" s="1427"/>
      <c r="G1403" s="1087"/>
      <c r="H1403" s="1427"/>
      <c r="I1403" s="1427"/>
      <c r="J1403" s="558"/>
    </row>
    <row r="1404" spans="1:10" s="1297" customFormat="1">
      <c r="A1404" s="504">
        <v>8.1999999999999993</v>
      </c>
      <c r="B1404" s="1431" t="s">
        <v>58</v>
      </c>
      <c r="C1404" s="1437"/>
      <c r="D1404" s="505"/>
      <c r="E1404" s="1314"/>
      <c r="F1404" s="489"/>
      <c r="G1404" s="507"/>
      <c r="H1404" s="490"/>
      <c r="I1404" s="489"/>
      <c r="J1404" s="508"/>
    </row>
    <row r="1405" spans="1:10" s="1297" customFormat="1">
      <c r="A1405" s="504"/>
      <c r="B1405" s="1295" t="s">
        <v>613</v>
      </c>
      <c r="C1405" s="1315"/>
      <c r="D1405" s="506"/>
      <c r="E1405" s="1315"/>
      <c r="F1405" s="489"/>
      <c r="G1405" s="1296"/>
      <c r="H1405" s="623"/>
      <c r="I1405" s="489"/>
      <c r="J1405" s="508"/>
    </row>
    <row r="1406" spans="1:10" s="1297" customFormat="1">
      <c r="A1406" s="504"/>
      <c r="B1406" s="645" t="s">
        <v>614</v>
      </c>
      <c r="C1406" s="1437"/>
      <c r="D1406" s="505" t="s">
        <v>15</v>
      </c>
      <c r="E1406" s="1315"/>
      <c r="F1406" s="489"/>
      <c r="G1406" s="1087"/>
      <c r="H1406" s="1234"/>
      <c r="I1406" s="489"/>
      <c r="J1406" s="564"/>
    </row>
    <row r="1407" spans="1:10" s="1297" customFormat="1">
      <c r="A1407" s="504"/>
      <c r="B1407" s="1295" t="s">
        <v>1172</v>
      </c>
      <c r="C1407" s="1315"/>
      <c r="D1407" s="505" t="s">
        <v>15</v>
      </c>
      <c r="E1407" s="1315"/>
      <c r="F1407" s="489"/>
      <c r="G1407" s="1284"/>
      <c r="H1407" s="1234"/>
      <c r="I1407" s="489"/>
      <c r="J1407" s="564"/>
    </row>
    <row r="1408" spans="1:10" s="1297" customFormat="1">
      <c r="A1408" s="504"/>
      <c r="B1408" s="489" t="s">
        <v>634</v>
      </c>
      <c r="C1408" s="1497"/>
      <c r="D1408" s="506"/>
      <c r="E1408" s="489"/>
      <c r="F1408" s="489"/>
      <c r="G1408" s="1296"/>
      <c r="H1408" s="623"/>
      <c r="I1408" s="489"/>
      <c r="J1408" s="508"/>
    </row>
    <row r="1409" spans="1:15">
      <c r="A1409" s="496"/>
      <c r="B1409" s="489" t="s">
        <v>635</v>
      </c>
      <c r="C1409" s="1315"/>
      <c r="D1409" s="506" t="s">
        <v>15</v>
      </c>
      <c r="E1409" s="489"/>
      <c r="F1409" s="489"/>
      <c r="G1409" s="1284"/>
      <c r="H1409" s="1234"/>
      <c r="I1409" s="489"/>
      <c r="J1409" s="564"/>
    </row>
    <row r="1410" spans="1:15">
      <c r="A1410" s="496"/>
      <c r="B1410" s="489" t="s">
        <v>636</v>
      </c>
      <c r="C1410" s="1315"/>
      <c r="D1410" s="506" t="s">
        <v>15</v>
      </c>
      <c r="E1410" s="489"/>
      <c r="F1410" s="489"/>
      <c r="G1410" s="1284"/>
      <c r="H1410" s="1234"/>
      <c r="I1410" s="489"/>
      <c r="J1410" s="564"/>
    </row>
    <row r="1411" spans="1:15">
      <c r="A1411" s="496"/>
      <c r="B1411" s="489" t="s">
        <v>637</v>
      </c>
      <c r="C1411" s="1315"/>
      <c r="D1411" s="506" t="s">
        <v>15</v>
      </c>
      <c r="E1411" s="489"/>
      <c r="F1411" s="489"/>
      <c r="G1411" s="1284"/>
      <c r="H1411" s="1234"/>
      <c r="I1411" s="489"/>
      <c r="J1411" s="564"/>
    </row>
    <row r="1412" spans="1:15">
      <c r="A1412" s="504">
        <v>8.3000000000000007</v>
      </c>
      <c r="B1412" s="493" t="s">
        <v>2333</v>
      </c>
      <c r="C1412" s="1437"/>
      <c r="D1412" s="505"/>
      <c r="E1412" s="1124"/>
      <c r="F1412" s="489"/>
      <c r="G1412" s="507"/>
      <c r="H1412" s="490"/>
      <c r="I1412" s="489"/>
      <c r="J1412" s="508"/>
    </row>
    <row r="1413" spans="1:15">
      <c r="A1413" s="1316" t="s">
        <v>2270</v>
      </c>
      <c r="B1413" s="583" t="s">
        <v>1191</v>
      </c>
      <c r="C1413" s="1486"/>
      <c r="D1413" s="1127"/>
      <c r="E1413" s="582"/>
      <c r="F1413" s="1117"/>
      <c r="G1413" s="557"/>
      <c r="H1413" s="1117"/>
      <c r="I1413" s="1117"/>
      <c r="J1413" s="558"/>
    </row>
    <row r="1414" spans="1:15">
      <c r="A1414" s="504"/>
      <c r="B1414" s="583" t="s">
        <v>2290</v>
      </c>
      <c r="C1414" s="1486"/>
      <c r="D1414" s="1127" t="s">
        <v>15</v>
      </c>
      <c r="E1414" s="582"/>
      <c r="F1414" s="1117"/>
      <c r="G1414" s="557"/>
      <c r="H1414" s="1117"/>
      <c r="I1414" s="1117"/>
      <c r="J1414" s="558"/>
      <c r="M1414" s="1277">
        <f>51522</f>
        <v>51522</v>
      </c>
      <c r="O1414" s="652">
        <f>M1414-M1414*7/107</f>
        <v>48151.401869158879</v>
      </c>
    </row>
    <row r="1415" spans="1:15">
      <c r="A1415" s="504"/>
      <c r="B1415" s="583" t="s">
        <v>2291</v>
      </c>
      <c r="C1415" s="1486"/>
      <c r="D1415" s="1127" t="s">
        <v>15</v>
      </c>
      <c r="E1415" s="582"/>
      <c r="F1415" s="1117"/>
      <c r="G1415" s="557"/>
      <c r="H1415" s="1117"/>
      <c r="I1415" s="1117"/>
      <c r="J1415" s="558"/>
      <c r="M1415" s="1277">
        <v>44733</v>
      </c>
      <c r="O1415" s="652">
        <f t="shared" ref="O1415:O1458" si="0">M1415-M1415*7/107</f>
        <v>41806.542056074766</v>
      </c>
    </row>
    <row r="1416" spans="1:15">
      <c r="A1416" s="504"/>
      <c r="B1416" s="583" t="s">
        <v>2292</v>
      </c>
      <c r="C1416" s="1486"/>
      <c r="D1416" s="1127" t="s">
        <v>15</v>
      </c>
      <c r="E1416" s="582"/>
      <c r="F1416" s="1117"/>
      <c r="G1416" s="557"/>
      <c r="H1416" s="1117"/>
      <c r="I1416" s="1117"/>
      <c r="J1416" s="558"/>
      <c r="M1416" s="1277">
        <v>66030</v>
      </c>
      <c r="O1416" s="652">
        <f t="shared" si="0"/>
        <v>61710.280373831774</v>
      </c>
    </row>
    <row r="1417" spans="1:15">
      <c r="A1417" s="504"/>
      <c r="B1417" s="583" t="s">
        <v>2293</v>
      </c>
      <c r="C1417" s="1486"/>
      <c r="D1417" s="1127" t="s">
        <v>15</v>
      </c>
      <c r="E1417" s="582"/>
      <c r="F1417" s="1117"/>
      <c r="G1417" s="557"/>
      <c r="H1417" s="1117"/>
      <c r="I1417" s="1117"/>
      <c r="J1417" s="558"/>
      <c r="M1417" s="1277">
        <v>66030</v>
      </c>
      <c r="O1417" s="652">
        <f t="shared" si="0"/>
        <v>61710.280373831774</v>
      </c>
    </row>
    <row r="1418" spans="1:15">
      <c r="A1418" s="504"/>
      <c r="B1418" s="583" t="s">
        <v>2294</v>
      </c>
      <c r="C1418" s="1486"/>
      <c r="D1418" s="1127" t="s">
        <v>15</v>
      </c>
      <c r="E1418" s="582"/>
      <c r="F1418" s="489"/>
      <c r="G1418" s="557"/>
      <c r="H1418" s="1125"/>
      <c r="I1418" s="489"/>
      <c r="J1418" s="558"/>
      <c r="M1418" s="1277">
        <v>50240</v>
      </c>
      <c r="O1418" s="652">
        <f t="shared" ref="O1418:O1428" si="1">M1418-M1418*7/107</f>
        <v>46953.271028037387</v>
      </c>
    </row>
    <row r="1419" spans="1:15">
      <c r="A1419" s="504"/>
      <c r="B1419" s="583" t="s">
        <v>2295</v>
      </c>
      <c r="C1419" s="1486"/>
      <c r="D1419" s="1127" t="s">
        <v>15</v>
      </c>
      <c r="E1419" s="1432"/>
      <c r="F1419" s="489"/>
      <c r="G1419" s="557"/>
      <c r="H1419" s="1125"/>
      <c r="I1419" s="489"/>
      <c r="J1419" s="558"/>
      <c r="M1419" s="1277">
        <v>51522</v>
      </c>
      <c r="O1419" s="652">
        <f t="shared" si="1"/>
        <v>48151.401869158879</v>
      </c>
    </row>
    <row r="1420" spans="1:15">
      <c r="A1420" s="504"/>
      <c r="B1420" s="583" t="s">
        <v>2296</v>
      </c>
      <c r="C1420" s="1486"/>
      <c r="D1420" s="1127" t="s">
        <v>15</v>
      </c>
      <c r="E1420" s="582"/>
      <c r="F1420" s="489"/>
      <c r="G1420" s="557"/>
      <c r="H1420" s="1125"/>
      <c r="I1420" s="489"/>
      <c r="J1420" s="558"/>
      <c r="M1420" s="1277">
        <v>66030</v>
      </c>
      <c r="O1420" s="652">
        <f t="shared" si="1"/>
        <v>61710.280373831774</v>
      </c>
    </row>
    <row r="1421" spans="1:15">
      <c r="A1421" s="504"/>
      <c r="B1421" s="583" t="s">
        <v>2297</v>
      </c>
      <c r="C1421" s="1486"/>
      <c r="D1421" s="1127" t="s">
        <v>15</v>
      </c>
      <c r="E1421" s="1432"/>
      <c r="F1421" s="489"/>
      <c r="G1421" s="557"/>
      <c r="H1421" s="1125"/>
      <c r="I1421" s="489"/>
      <c r="J1421" s="558"/>
      <c r="M1421" s="1277">
        <v>51522</v>
      </c>
      <c r="O1421" s="652">
        <f t="shared" si="1"/>
        <v>48151.401869158879</v>
      </c>
    </row>
    <row r="1422" spans="1:15">
      <c r="A1422" s="504"/>
      <c r="B1422" s="583" t="s">
        <v>2298</v>
      </c>
      <c r="C1422" s="1486"/>
      <c r="D1422" s="1127" t="s">
        <v>15</v>
      </c>
      <c r="E1422" s="582"/>
      <c r="F1422" s="489"/>
      <c r="G1422" s="557"/>
      <c r="H1422" s="1125"/>
      <c r="I1422" s="489"/>
      <c r="J1422" s="558"/>
      <c r="M1422" s="1277">
        <v>66030</v>
      </c>
      <c r="O1422" s="652">
        <f t="shared" si="1"/>
        <v>61710.280373831774</v>
      </c>
    </row>
    <row r="1423" spans="1:15">
      <c r="A1423" s="504"/>
      <c r="B1423" s="583" t="s">
        <v>2299</v>
      </c>
      <c r="C1423" s="1486"/>
      <c r="D1423" s="1127" t="s">
        <v>15</v>
      </c>
      <c r="E1423" s="582"/>
      <c r="F1423" s="1117"/>
      <c r="G1423" s="557"/>
      <c r="H1423" s="1125"/>
      <c r="I1423" s="1117"/>
      <c r="J1423" s="558"/>
      <c r="M1423" s="1277">
        <v>66030</v>
      </c>
      <c r="O1423" s="652">
        <f t="shared" si="1"/>
        <v>61710.280373831774</v>
      </c>
    </row>
    <row r="1424" spans="1:15">
      <c r="A1424" s="504"/>
      <c r="B1424" s="583" t="s">
        <v>2300</v>
      </c>
      <c r="C1424" s="1486"/>
      <c r="D1424" s="1127" t="s">
        <v>15</v>
      </c>
      <c r="E1424" s="1432"/>
      <c r="F1424" s="1117"/>
      <c r="G1424" s="557"/>
      <c r="H1424" s="1125"/>
      <c r="I1424" s="1117"/>
      <c r="J1424" s="558"/>
      <c r="M1424" s="1277">
        <v>51522</v>
      </c>
      <c r="O1424" s="652">
        <f t="shared" si="1"/>
        <v>48151.401869158879</v>
      </c>
    </row>
    <row r="1425" spans="1:15">
      <c r="A1425" s="504"/>
      <c r="B1425" s="583" t="s">
        <v>2301</v>
      </c>
      <c r="C1425" s="1486"/>
      <c r="D1425" s="1127" t="s">
        <v>15</v>
      </c>
      <c r="E1425" s="582"/>
      <c r="F1425" s="1117"/>
      <c r="G1425" s="557"/>
      <c r="H1425" s="1125"/>
      <c r="I1425" s="1117"/>
      <c r="J1425" s="558"/>
      <c r="M1425" s="1277">
        <v>66030</v>
      </c>
      <c r="O1425" s="652">
        <f t="shared" si="1"/>
        <v>61710.280373831774</v>
      </c>
    </row>
    <row r="1426" spans="1:15">
      <c r="A1426" s="504"/>
      <c r="B1426" s="583" t="s">
        <v>2302</v>
      </c>
      <c r="C1426" s="1486"/>
      <c r="D1426" s="1127" t="s">
        <v>15</v>
      </c>
      <c r="E1426" s="582"/>
      <c r="F1426" s="1117"/>
      <c r="G1426" s="557"/>
      <c r="H1426" s="1125"/>
      <c r="I1426" s="1117"/>
      <c r="J1426" s="558"/>
      <c r="M1426" s="1277">
        <v>32364</v>
      </c>
      <c r="O1426" s="652">
        <f t="shared" si="1"/>
        <v>30246.728971962617</v>
      </c>
    </row>
    <row r="1427" spans="1:15">
      <c r="A1427" s="504"/>
      <c r="B1427" s="583" t="s">
        <v>2303</v>
      </c>
      <c r="C1427" s="1486"/>
      <c r="D1427" s="1127" t="s">
        <v>15</v>
      </c>
      <c r="E1427" s="1432"/>
      <c r="F1427" s="1117"/>
      <c r="G1427" s="557"/>
      <c r="H1427" s="1125"/>
      <c r="I1427" s="1117"/>
      <c r="J1427" s="558"/>
      <c r="M1427" s="1277">
        <v>51522</v>
      </c>
      <c r="O1427" s="652">
        <f t="shared" si="1"/>
        <v>48151.401869158879</v>
      </c>
    </row>
    <row r="1428" spans="1:15">
      <c r="A1428" s="504"/>
      <c r="B1428" s="583" t="s">
        <v>2304</v>
      </c>
      <c r="C1428" s="1486"/>
      <c r="D1428" s="1127" t="s">
        <v>15</v>
      </c>
      <c r="E1428" s="1432"/>
      <c r="F1428" s="1117"/>
      <c r="G1428" s="557"/>
      <c r="H1428" s="1125"/>
      <c r="I1428" s="1117"/>
      <c r="J1428" s="558"/>
      <c r="M1428" s="1277">
        <v>51522</v>
      </c>
      <c r="O1428" s="652">
        <f t="shared" si="1"/>
        <v>48151.401869158879</v>
      </c>
    </row>
    <row r="1429" spans="1:15">
      <c r="A1429" s="1317" t="s">
        <v>2334</v>
      </c>
      <c r="B1429" s="583" t="s">
        <v>1190</v>
      </c>
      <c r="C1429" s="1486"/>
      <c r="D1429" s="1127"/>
      <c r="E1429" s="582"/>
      <c r="F1429" s="1117"/>
      <c r="G1429" s="557"/>
      <c r="H1429" s="1117"/>
      <c r="I1429" s="1117"/>
      <c r="J1429" s="558"/>
      <c r="M1429" s="1127"/>
      <c r="O1429" s="652"/>
    </row>
    <row r="1430" spans="1:15">
      <c r="A1430" s="504"/>
      <c r="B1430" s="583" t="s">
        <v>2305</v>
      </c>
      <c r="C1430" s="1486"/>
      <c r="D1430" s="1127" t="s">
        <v>15</v>
      </c>
      <c r="E1430" s="582"/>
      <c r="F1430" s="1117"/>
      <c r="G1430" s="557"/>
      <c r="H1430" s="1117"/>
      <c r="I1430" s="1117"/>
      <c r="J1430" s="558"/>
      <c r="M1430" s="1277">
        <v>66030</v>
      </c>
      <c r="O1430" s="652">
        <f>M1430-M1430*7/107</f>
        <v>61710.280373831774</v>
      </c>
    </row>
    <row r="1431" spans="1:15">
      <c r="A1431" s="504"/>
      <c r="B1431" s="583" t="s">
        <v>2306</v>
      </c>
      <c r="C1431" s="1486"/>
      <c r="D1431" s="1127" t="s">
        <v>15</v>
      </c>
      <c r="E1431" s="582"/>
      <c r="F1431" s="1117"/>
      <c r="G1431" s="557"/>
      <c r="H1431" s="1117"/>
      <c r="I1431" s="1117"/>
      <c r="J1431" s="558"/>
      <c r="M1431" s="1277">
        <v>66030</v>
      </c>
      <c r="O1431" s="652">
        <f>M1431-M1431*7/107</f>
        <v>61710.280373831774</v>
      </c>
    </row>
    <row r="1432" spans="1:15">
      <c r="A1432" s="504"/>
      <c r="B1432" s="583" t="s">
        <v>2307</v>
      </c>
      <c r="C1432" s="1486"/>
      <c r="D1432" s="1127" t="s">
        <v>15</v>
      </c>
      <c r="E1432" s="582"/>
      <c r="F1432" s="1117"/>
      <c r="G1432" s="557"/>
      <c r="H1432" s="1117"/>
      <c r="I1432" s="1117"/>
      <c r="J1432" s="558"/>
      <c r="M1432" s="1277">
        <v>66030</v>
      </c>
      <c r="O1432" s="652">
        <f>M1432-M1432*7/107</f>
        <v>61710.280373831774</v>
      </c>
    </row>
    <row r="1433" spans="1:15">
      <c r="A1433" s="504"/>
      <c r="B1433" s="583" t="s">
        <v>2308</v>
      </c>
      <c r="C1433" s="1486"/>
      <c r="D1433" s="1127" t="s">
        <v>15</v>
      </c>
      <c r="E1433" s="582"/>
      <c r="F1433" s="1117"/>
      <c r="G1433" s="557"/>
      <c r="H1433" s="1117"/>
      <c r="I1433" s="1117"/>
      <c r="J1433" s="558"/>
      <c r="M1433" s="1277">
        <v>66030</v>
      </c>
      <c r="O1433" s="652">
        <f>M1433-M1433*7/107</f>
        <v>61710.280373831774</v>
      </c>
    </row>
    <row r="1434" spans="1:15">
      <c r="A1434" s="504"/>
      <c r="B1434" s="583" t="s">
        <v>2309</v>
      </c>
      <c r="C1434" s="1486"/>
      <c r="D1434" s="1127" t="s">
        <v>15</v>
      </c>
      <c r="E1434" s="582"/>
      <c r="F1434" s="1117"/>
      <c r="G1434" s="557"/>
      <c r="H1434" s="1117"/>
      <c r="I1434" s="1117"/>
      <c r="J1434" s="558"/>
      <c r="M1434" s="1277">
        <v>66030</v>
      </c>
      <c r="O1434" s="652">
        <f>M1434-M1434*7/107</f>
        <v>61710.280373831774</v>
      </c>
    </row>
    <row r="1435" spans="1:15">
      <c r="A1435" s="1317" t="s">
        <v>2335</v>
      </c>
      <c r="B1435" s="583" t="s">
        <v>1189</v>
      </c>
      <c r="C1435" s="1486"/>
      <c r="D1435" s="1127"/>
      <c r="E1435" s="582"/>
      <c r="F1435" s="1117"/>
      <c r="G1435" s="557"/>
      <c r="H1435" s="489"/>
      <c r="I1435" s="489"/>
      <c r="J1435" s="558"/>
      <c r="M1435" s="1277"/>
      <c r="O1435" s="652"/>
    </row>
    <row r="1436" spans="1:15">
      <c r="A1436" s="504"/>
      <c r="B1436" s="583" t="s">
        <v>2310</v>
      </c>
      <c r="C1436" s="1486"/>
      <c r="D1436" s="1127" t="s">
        <v>15</v>
      </c>
      <c r="E1436" s="582"/>
      <c r="F1436" s="1117"/>
      <c r="G1436" s="557"/>
      <c r="H1436" s="1117"/>
      <c r="I1436" s="1117"/>
      <c r="J1436" s="558"/>
      <c r="M1436" s="1277">
        <v>66030</v>
      </c>
      <c r="O1436" s="652">
        <f t="shared" si="0"/>
        <v>61710.280373831774</v>
      </c>
    </row>
    <row r="1437" spans="1:15">
      <c r="A1437" s="504"/>
      <c r="B1437" s="583" t="s">
        <v>2311</v>
      </c>
      <c r="C1437" s="1486"/>
      <c r="D1437" s="1127" t="s">
        <v>15</v>
      </c>
      <c r="E1437" s="582"/>
      <c r="F1437" s="1117"/>
      <c r="G1437" s="557"/>
      <c r="H1437" s="1117"/>
      <c r="I1437" s="1117"/>
      <c r="J1437" s="558"/>
      <c r="M1437" s="1277">
        <v>51522</v>
      </c>
      <c r="O1437" s="652">
        <f t="shared" si="0"/>
        <v>48151.401869158879</v>
      </c>
    </row>
    <row r="1438" spans="1:15">
      <c r="A1438" s="504"/>
      <c r="B1438" s="583" t="s">
        <v>2312</v>
      </c>
      <c r="C1438" s="1486"/>
      <c r="D1438" s="1127" t="s">
        <v>15</v>
      </c>
      <c r="E1438" s="582"/>
      <c r="F1438" s="1117"/>
      <c r="G1438" s="557"/>
      <c r="H1438" s="1117"/>
      <c r="I1438" s="1117"/>
      <c r="J1438" s="558"/>
      <c r="M1438" s="1277">
        <v>66030</v>
      </c>
      <c r="O1438" s="652">
        <f t="shared" si="0"/>
        <v>61710.280373831774</v>
      </c>
    </row>
    <row r="1439" spans="1:15">
      <c r="A1439" s="504"/>
      <c r="B1439" s="583" t="s">
        <v>2313</v>
      </c>
      <c r="C1439" s="1486"/>
      <c r="D1439" s="1127" t="s">
        <v>15</v>
      </c>
      <c r="E1439" s="582"/>
      <c r="F1439" s="1117"/>
      <c r="G1439" s="557"/>
      <c r="H1439" s="1117"/>
      <c r="I1439" s="1117"/>
      <c r="J1439" s="558"/>
      <c r="M1439" s="1277">
        <v>66030</v>
      </c>
      <c r="O1439" s="652">
        <f t="shared" si="0"/>
        <v>61710.280373831774</v>
      </c>
    </row>
    <row r="1440" spans="1:15">
      <c r="A1440" s="504"/>
      <c r="B1440" s="583" t="s">
        <v>2314</v>
      </c>
      <c r="C1440" s="1486"/>
      <c r="D1440" s="1127" t="s">
        <v>15</v>
      </c>
      <c r="E1440" s="582"/>
      <c r="F1440" s="1117"/>
      <c r="G1440" s="557"/>
      <c r="H1440" s="1117"/>
      <c r="I1440" s="1117"/>
      <c r="J1440" s="558"/>
      <c r="M1440" s="1277">
        <v>66030</v>
      </c>
      <c r="O1440" s="652">
        <f t="shared" si="0"/>
        <v>61710.280373831774</v>
      </c>
    </row>
    <row r="1441" spans="1:15">
      <c r="A1441" s="504"/>
      <c r="B1441" s="583" t="s">
        <v>2315</v>
      </c>
      <c r="C1441" s="1486"/>
      <c r="D1441" s="1127" t="s">
        <v>15</v>
      </c>
      <c r="E1441" s="582"/>
      <c r="F1441" s="1117"/>
      <c r="G1441" s="557"/>
      <c r="H1441" s="1117"/>
      <c r="I1441" s="1117"/>
      <c r="J1441" s="558"/>
      <c r="M1441" s="1277">
        <v>51522</v>
      </c>
      <c r="O1441" s="652">
        <f t="shared" si="0"/>
        <v>48151.401869158879</v>
      </c>
    </row>
    <row r="1442" spans="1:15">
      <c r="A1442" s="504"/>
      <c r="B1442" s="583" t="s">
        <v>2316</v>
      </c>
      <c r="C1442" s="1486"/>
      <c r="D1442" s="1127" t="s">
        <v>15</v>
      </c>
      <c r="E1442" s="582"/>
      <c r="F1442" s="1117"/>
      <c r="G1442" s="557"/>
      <c r="H1442" s="1117"/>
      <c r="I1442" s="1117"/>
      <c r="J1442" s="558"/>
      <c r="M1442" s="1277">
        <v>44733</v>
      </c>
      <c r="O1442" s="652">
        <f t="shared" si="0"/>
        <v>41806.542056074766</v>
      </c>
    </row>
    <row r="1443" spans="1:15">
      <c r="A1443" s="504"/>
      <c r="B1443" s="583" t="s">
        <v>2317</v>
      </c>
      <c r="C1443" s="1486"/>
      <c r="D1443" s="1127" t="s">
        <v>15</v>
      </c>
      <c r="E1443" s="582"/>
      <c r="F1443" s="1117"/>
      <c r="G1443" s="557"/>
      <c r="H1443" s="1117"/>
      <c r="I1443" s="1117"/>
      <c r="J1443" s="558"/>
      <c r="M1443" s="1277">
        <v>51522</v>
      </c>
      <c r="O1443" s="652">
        <f t="shared" si="0"/>
        <v>48151.401869158879</v>
      </c>
    </row>
    <row r="1444" spans="1:15">
      <c r="A1444" s="504"/>
      <c r="B1444" s="583" t="s">
        <v>2318</v>
      </c>
      <c r="C1444" s="1486"/>
      <c r="D1444" s="1127" t="s">
        <v>15</v>
      </c>
      <c r="E1444" s="582"/>
      <c r="F1444" s="1117"/>
      <c r="G1444" s="557"/>
      <c r="H1444" s="1117"/>
      <c r="I1444" s="1117"/>
      <c r="J1444" s="558"/>
      <c r="M1444" s="1277">
        <v>66030</v>
      </c>
      <c r="O1444" s="652">
        <f t="shared" si="0"/>
        <v>61710.280373831774</v>
      </c>
    </row>
    <row r="1445" spans="1:15">
      <c r="A1445" s="504"/>
      <c r="B1445" s="583" t="s">
        <v>2319</v>
      </c>
      <c r="C1445" s="1486"/>
      <c r="D1445" s="1127" t="s">
        <v>15</v>
      </c>
      <c r="E1445" s="582"/>
      <c r="F1445" s="1117"/>
      <c r="G1445" s="557"/>
      <c r="H1445" s="1117"/>
      <c r="I1445" s="1117"/>
      <c r="J1445" s="558"/>
      <c r="M1445" s="1277">
        <v>51522</v>
      </c>
      <c r="O1445" s="652">
        <f t="shared" si="0"/>
        <v>48151.401869158879</v>
      </c>
    </row>
    <row r="1446" spans="1:15">
      <c r="A1446" s="504"/>
      <c r="B1446" s="583" t="s">
        <v>2320</v>
      </c>
      <c r="C1446" s="1486"/>
      <c r="D1446" s="1127" t="s">
        <v>15</v>
      </c>
      <c r="E1446" s="582"/>
      <c r="F1446" s="1117"/>
      <c r="G1446" s="557"/>
      <c r="H1446" s="1117"/>
      <c r="I1446" s="1117"/>
      <c r="J1446" s="558"/>
      <c r="M1446" s="1277">
        <v>66030</v>
      </c>
      <c r="O1446" s="652">
        <f t="shared" si="0"/>
        <v>61710.280373831774</v>
      </c>
    </row>
    <row r="1447" spans="1:15">
      <c r="A1447" s="504"/>
      <c r="B1447" s="583" t="s">
        <v>2321</v>
      </c>
      <c r="C1447" s="1486"/>
      <c r="D1447" s="1127" t="s">
        <v>15</v>
      </c>
      <c r="E1447" s="582"/>
      <c r="F1447" s="1117"/>
      <c r="G1447" s="557"/>
      <c r="H1447" s="1117"/>
      <c r="I1447" s="1117"/>
      <c r="J1447" s="558"/>
      <c r="M1447" s="1277">
        <v>51522</v>
      </c>
      <c r="O1447" s="652">
        <f t="shared" si="0"/>
        <v>48151.401869158879</v>
      </c>
    </row>
    <row r="1448" spans="1:15">
      <c r="A1448" s="504"/>
      <c r="B1448" s="583" t="s">
        <v>2322</v>
      </c>
      <c r="C1448" s="1486"/>
      <c r="D1448" s="1127" t="s">
        <v>15</v>
      </c>
      <c r="E1448" s="1432"/>
      <c r="F1448" s="1117"/>
      <c r="G1448" s="557"/>
      <c r="H1448" s="1117"/>
      <c r="I1448" s="1117"/>
      <c r="J1448" s="558"/>
      <c r="M1448" s="1277">
        <v>51522</v>
      </c>
      <c r="O1448" s="652">
        <f t="shared" si="0"/>
        <v>48151.401869158879</v>
      </c>
    </row>
    <row r="1449" spans="1:15">
      <c r="A1449" s="504"/>
      <c r="B1449" s="583" t="s">
        <v>2323</v>
      </c>
      <c r="C1449" s="1486"/>
      <c r="D1449" s="1127" t="s">
        <v>15</v>
      </c>
      <c r="E1449" s="1432"/>
      <c r="F1449" s="1117"/>
      <c r="G1449" s="557"/>
      <c r="H1449" s="1117"/>
      <c r="I1449" s="1117"/>
      <c r="J1449" s="558"/>
      <c r="M1449" s="1277">
        <v>51522</v>
      </c>
      <c r="O1449" s="652">
        <f t="shared" si="0"/>
        <v>48151.401869158879</v>
      </c>
    </row>
    <row r="1450" spans="1:15">
      <c r="A1450" s="504"/>
      <c r="B1450" s="583" t="s">
        <v>2324</v>
      </c>
      <c r="C1450" s="1486"/>
      <c r="D1450" s="1127" t="s">
        <v>15</v>
      </c>
      <c r="E1450" s="1432"/>
      <c r="F1450" s="1117"/>
      <c r="G1450" s="557"/>
      <c r="H1450" s="1117"/>
      <c r="I1450" s="1117"/>
      <c r="J1450" s="558"/>
      <c r="M1450" s="1277">
        <v>51522</v>
      </c>
      <c r="O1450" s="652">
        <f t="shared" si="0"/>
        <v>48151.401869158879</v>
      </c>
    </row>
    <row r="1451" spans="1:15">
      <c r="A1451" s="504"/>
      <c r="B1451" s="583" t="s">
        <v>2325</v>
      </c>
      <c r="C1451" s="1486"/>
      <c r="D1451" s="1127" t="s">
        <v>15</v>
      </c>
      <c r="E1451" s="1432"/>
      <c r="F1451" s="1117"/>
      <c r="G1451" s="557"/>
      <c r="H1451" s="1117"/>
      <c r="I1451" s="1117"/>
      <c r="J1451" s="558"/>
      <c r="M1451" s="1277">
        <v>51522</v>
      </c>
      <c r="O1451" s="652">
        <f t="shared" si="0"/>
        <v>48151.401869158879</v>
      </c>
    </row>
    <row r="1452" spans="1:15">
      <c r="A1452" s="504"/>
      <c r="B1452" s="583" t="s">
        <v>2326</v>
      </c>
      <c r="C1452" s="1486"/>
      <c r="D1452" s="1127" t="s">
        <v>15</v>
      </c>
      <c r="E1452" s="1432"/>
      <c r="F1452" s="1117"/>
      <c r="G1452" s="557"/>
      <c r="H1452" s="1117"/>
      <c r="I1452" s="1117"/>
      <c r="J1452" s="558"/>
      <c r="M1452" s="1277">
        <v>51522</v>
      </c>
      <c r="O1452" s="652">
        <f t="shared" si="0"/>
        <v>48151.401869158879</v>
      </c>
    </row>
    <row r="1453" spans="1:15">
      <c r="A1453" s="504"/>
      <c r="B1453" s="583" t="s">
        <v>2327</v>
      </c>
      <c r="C1453" s="1486"/>
      <c r="D1453" s="1127" t="s">
        <v>15</v>
      </c>
      <c r="E1453" s="1432"/>
      <c r="F1453" s="1117"/>
      <c r="G1453" s="557"/>
      <c r="H1453" s="1117"/>
      <c r="I1453" s="1117"/>
      <c r="J1453" s="558"/>
      <c r="M1453" s="1277">
        <v>51522</v>
      </c>
      <c r="O1453" s="652">
        <f t="shared" si="0"/>
        <v>48151.401869158879</v>
      </c>
    </row>
    <row r="1454" spans="1:15">
      <c r="A1454" s="504"/>
      <c r="B1454" s="583" t="s">
        <v>2328</v>
      </c>
      <c r="C1454" s="1486"/>
      <c r="D1454" s="1127" t="s">
        <v>15</v>
      </c>
      <c r="E1454" s="582"/>
      <c r="F1454" s="1117"/>
      <c r="G1454" s="557"/>
      <c r="H1454" s="1117"/>
      <c r="I1454" s="1117"/>
      <c r="J1454" s="558"/>
      <c r="M1454" s="1277">
        <v>66030</v>
      </c>
      <c r="O1454" s="652">
        <f t="shared" si="0"/>
        <v>61710.280373831774</v>
      </c>
    </row>
    <row r="1455" spans="1:15">
      <c r="A1455" s="504"/>
      <c r="B1455" s="583" t="s">
        <v>2329</v>
      </c>
      <c r="C1455" s="1486"/>
      <c r="D1455" s="1127" t="s">
        <v>15</v>
      </c>
      <c r="E1455" s="582"/>
      <c r="F1455" s="1117"/>
      <c r="G1455" s="557"/>
      <c r="H1455" s="1125"/>
      <c r="I1455" s="1117"/>
      <c r="J1455" s="558"/>
      <c r="M1455" s="1277">
        <v>66030</v>
      </c>
      <c r="O1455" s="652">
        <f t="shared" si="0"/>
        <v>61710.280373831774</v>
      </c>
    </row>
    <row r="1456" spans="1:15">
      <c r="A1456" s="504"/>
      <c r="B1456" s="583" t="s">
        <v>2330</v>
      </c>
      <c r="C1456" s="1486"/>
      <c r="D1456" s="1127" t="s">
        <v>15</v>
      </c>
      <c r="E1456" s="582"/>
      <c r="F1456" s="1117"/>
      <c r="G1456" s="557"/>
      <c r="H1456" s="1125"/>
      <c r="I1456" s="1117"/>
      <c r="J1456" s="558"/>
      <c r="M1456" s="1277">
        <v>32364</v>
      </c>
      <c r="O1456" s="652">
        <f t="shared" si="0"/>
        <v>30246.728971962617</v>
      </c>
    </row>
    <row r="1457" spans="1:15">
      <c r="A1457" s="504"/>
      <c r="B1457" s="583" t="s">
        <v>2331</v>
      </c>
      <c r="C1457" s="1486"/>
      <c r="D1457" s="1127" t="s">
        <v>15</v>
      </c>
      <c r="E1457" s="582"/>
      <c r="F1457" s="1117"/>
      <c r="G1457" s="557"/>
      <c r="H1457" s="1125"/>
      <c r="I1457" s="1117"/>
      <c r="J1457" s="558"/>
      <c r="M1457" s="1277">
        <v>40362</v>
      </c>
      <c r="O1457" s="652">
        <f t="shared" si="0"/>
        <v>37721.495327102806</v>
      </c>
    </row>
    <row r="1458" spans="1:15">
      <c r="A1458" s="504"/>
      <c r="B1458" s="583" t="s">
        <v>2332</v>
      </c>
      <c r="C1458" s="1486"/>
      <c r="D1458" s="1127" t="s">
        <v>15</v>
      </c>
      <c r="E1458" s="1432"/>
      <c r="F1458" s="1117"/>
      <c r="G1458" s="557"/>
      <c r="H1458" s="1125"/>
      <c r="I1458" s="1117"/>
      <c r="J1458" s="558"/>
      <c r="M1458" s="1277">
        <v>66030</v>
      </c>
      <c r="O1458" s="652">
        <f t="shared" si="0"/>
        <v>61710.280373831774</v>
      </c>
    </row>
    <row r="1459" spans="1:15">
      <c r="A1459" s="504">
        <v>8.4</v>
      </c>
      <c r="B1459" s="493" t="s">
        <v>958</v>
      </c>
      <c r="C1459" s="1437"/>
      <c r="D1459" s="505"/>
      <c r="E1459" s="489"/>
      <c r="F1459" s="489"/>
      <c r="G1459" s="507"/>
      <c r="H1459" s="490"/>
      <c r="I1459" s="489"/>
      <c r="J1459" s="508"/>
    </row>
    <row r="1460" spans="1:15">
      <c r="A1460" s="1317" t="s">
        <v>2271</v>
      </c>
      <c r="B1460" s="583" t="s">
        <v>1191</v>
      </c>
      <c r="C1460" s="1486"/>
      <c r="D1460" s="1127"/>
      <c r="E1460" s="582"/>
      <c r="F1460" s="1117"/>
      <c r="G1460" s="557"/>
      <c r="H1460" s="1117"/>
      <c r="I1460" s="1117"/>
      <c r="J1460" s="508"/>
    </row>
    <row r="1461" spans="1:15">
      <c r="A1461" s="504"/>
      <c r="B1461" s="1310" t="s">
        <v>2336</v>
      </c>
      <c r="C1461" s="1486"/>
      <c r="D1461" s="1127" t="s">
        <v>15</v>
      </c>
      <c r="E1461" s="1290"/>
      <c r="F1461" s="1117"/>
      <c r="G1461" s="557"/>
      <c r="H1461" s="1117"/>
      <c r="I1461" s="1117"/>
      <c r="J1461" s="508"/>
    </row>
    <row r="1462" spans="1:15">
      <c r="A1462" s="504"/>
      <c r="B1462" s="1310" t="s">
        <v>2337</v>
      </c>
      <c r="C1462" s="1486"/>
      <c r="D1462" s="1127" t="s">
        <v>15</v>
      </c>
      <c r="E1462" s="1291"/>
      <c r="F1462" s="1117"/>
      <c r="G1462" s="557"/>
      <c r="H1462" s="1117"/>
      <c r="I1462" s="1117"/>
      <c r="J1462" s="508"/>
    </row>
    <row r="1463" spans="1:15">
      <c r="A1463" s="504"/>
      <c r="B1463" s="1310" t="s">
        <v>2338</v>
      </c>
      <c r="C1463" s="1486"/>
      <c r="D1463" s="1127" t="s">
        <v>15</v>
      </c>
      <c r="E1463" s="1291"/>
      <c r="F1463" s="1117"/>
      <c r="G1463" s="557"/>
      <c r="H1463" s="1117"/>
      <c r="I1463" s="1117"/>
      <c r="J1463" s="508"/>
    </row>
    <row r="1464" spans="1:15">
      <c r="A1464" s="504"/>
      <c r="B1464" s="1310" t="s">
        <v>2339</v>
      </c>
      <c r="C1464" s="1486"/>
      <c r="D1464" s="1127" t="s">
        <v>15</v>
      </c>
      <c r="E1464" s="1291"/>
      <c r="F1464" s="1117"/>
      <c r="G1464" s="557"/>
      <c r="H1464" s="1117"/>
      <c r="I1464" s="1117"/>
      <c r="J1464" s="508"/>
    </row>
    <row r="1465" spans="1:15">
      <c r="A1465" s="504"/>
      <c r="B1465" s="1310" t="s">
        <v>2340</v>
      </c>
      <c r="C1465" s="1486"/>
      <c r="D1465" s="1127" t="s">
        <v>15</v>
      </c>
      <c r="E1465" s="1291"/>
      <c r="F1465" s="1117"/>
      <c r="G1465" s="557"/>
      <c r="H1465" s="1117"/>
      <c r="I1465" s="1117"/>
      <c r="J1465" s="508"/>
    </row>
    <row r="1466" spans="1:15">
      <c r="A1466" s="504"/>
      <c r="B1466" s="1310" t="s">
        <v>2341</v>
      </c>
      <c r="C1466" s="1486"/>
      <c r="D1466" s="1127" t="s">
        <v>15</v>
      </c>
      <c r="E1466" s="1291"/>
      <c r="F1466" s="1117"/>
      <c r="G1466" s="557"/>
      <c r="H1466" s="1117"/>
      <c r="I1466" s="1117"/>
      <c r="J1466" s="508"/>
    </row>
    <row r="1467" spans="1:15">
      <c r="A1467" s="504"/>
      <c r="B1467" s="1310" t="s">
        <v>2342</v>
      </c>
      <c r="C1467" s="1486"/>
      <c r="D1467" s="1127" t="s">
        <v>15</v>
      </c>
      <c r="E1467" s="1291"/>
      <c r="F1467" s="1117"/>
      <c r="G1467" s="557"/>
      <c r="H1467" s="1117"/>
      <c r="I1467" s="1117"/>
      <c r="J1467" s="558"/>
    </row>
    <row r="1468" spans="1:15">
      <c r="A1468" s="504"/>
      <c r="B1468" s="1310" t="s">
        <v>2343</v>
      </c>
      <c r="C1468" s="1486"/>
      <c r="D1468" s="1127" t="s">
        <v>15</v>
      </c>
      <c r="E1468" s="1292"/>
      <c r="F1468" s="1117"/>
      <c r="G1468" s="557"/>
      <c r="H1468" s="1117"/>
      <c r="I1468" s="1117"/>
      <c r="J1468" s="508"/>
    </row>
    <row r="1469" spans="1:15">
      <c r="A1469" s="504"/>
      <c r="B1469" s="1310" t="s">
        <v>2344</v>
      </c>
      <c r="C1469" s="1486"/>
      <c r="D1469" s="1127" t="s">
        <v>15</v>
      </c>
      <c r="E1469" s="1291"/>
      <c r="F1469" s="1117"/>
      <c r="G1469" s="557"/>
      <c r="H1469" s="1117"/>
      <c r="I1469" s="1117"/>
      <c r="J1469" s="508"/>
    </row>
    <row r="1470" spans="1:15">
      <c r="A1470" s="504"/>
      <c r="B1470" s="1310" t="s">
        <v>2345</v>
      </c>
      <c r="C1470" s="1486"/>
      <c r="D1470" s="1127" t="s">
        <v>15</v>
      </c>
      <c r="E1470" s="1291"/>
      <c r="F1470" s="1117"/>
      <c r="G1470" s="557"/>
      <c r="H1470" s="1117"/>
      <c r="I1470" s="1117"/>
      <c r="J1470" s="508"/>
    </row>
    <row r="1471" spans="1:15">
      <c r="A1471" s="504"/>
      <c r="B1471" s="1310" t="s">
        <v>2346</v>
      </c>
      <c r="C1471" s="1486"/>
      <c r="D1471" s="1127" t="s">
        <v>15</v>
      </c>
      <c r="E1471" s="1291"/>
      <c r="F1471" s="1117"/>
      <c r="G1471" s="557"/>
      <c r="H1471" s="1117"/>
      <c r="I1471" s="1117"/>
      <c r="J1471" s="508"/>
    </row>
    <row r="1472" spans="1:15">
      <c r="A1472" s="504"/>
      <c r="B1472" s="1310" t="s">
        <v>2347</v>
      </c>
      <c r="C1472" s="1486"/>
      <c r="D1472" s="1127" t="s">
        <v>15</v>
      </c>
      <c r="E1472" s="1291"/>
      <c r="F1472" s="1117"/>
      <c r="G1472" s="557"/>
      <c r="H1472" s="1117"/>
      <c r="I1472" s="1117"/>
      <c r="J1472" s="508"/>
    </row>
    <row r="1473" spans="1:10">
      <c r="A1473" s="504"/>
      <c r="B1473" s="1310" t="s">
        <v>2348</v>
      </c>
      <c r="C1473" s="1486"/>
      <c r="D1473" s="1127" t="s">
        <v>15</v>
      </c>
      <c r="E1473" s="1292"/>
      <c r="F1473" s="1117"/>
      <c r="G1473" s="557"/>
      <c r="H1473" s="1117"/>
      <c r="I1473" s="1117"/>
      <c r="J1473" s="508"/>
    </row>
    <row r="1474" spans="1:10">
      <c r="A1474" s="504"/>
      <c r="B1474" s="1310" t="s">
        <v>2349</v>
      </c>
      <c r="C1474" s="1486"/>
      <c r="D1474" s="1127" t="s">
        <v>15</v>
      </c>
      <c r="E1474" s="1292"/>
      <c r="F1474" s="1117"/>
      <c r="G1474" s="557"/>
      <c r="H1474" s="1117"/>
      <c r="I1474" s="1117"/>
      <c r="J1474" s="508"/>
    </row>
    <row r="1475" spans="1:10">
      <c r="A1475" s="504"/>
      <c r="B1475" s="1310" t="s">
        <v>2350</v>
      </c>
      <c r="C1475" s="1486"/>
      <c r="D1475" s="1127" t="s">
        <v>15</v>
      </c>
      <c r="E1475" s="1292"/>
      <c r="F1475" s="1117"/>
      <c r="G1475" s="557"/>
      <c r="H1475" s="1117"/>
      <c r="I1475" s="1117"/>
      <c r="J1475" s="508"/>
    </row>
    <row r="1476" spans="1:10">
      <c r="A1476" s="504"/>
      <c r="B1476" s="1310" t="s">
        <v>2351</v>
      </c>
      <c r="C1476" s="1486"/>
      <c r="D1476" s="1127" t="s">
        <v>15</v>
      </c>
      <c r="E1476" s="1292"/>
      <c r="F1476" s="1117"/>
      <c r="G1476" s="557"/>
      <c r="H1476" s="1117"/>
      <c r="I1476" s="1117"/>
      <c r="J1476" s="508"/>
    </row>
    <row r="1477" spans="1:10">
      <c r="A1477" s="504"/>
      <c r="B1477" s="1310" t="s">
        <v>2352</v>
      </c>
      <c r="C1477" s="1486"/>
      <c r="D1477" s="1127" t="s">
        <v>15</v>
      </c>
      <c r="E1477" s="1292"/>
      <c r="F1477" s="1117"/>
      <c r="G1477" s="557"/>
      <c r="H1477" s="1117"/>
      <c r="I1477" s="1117"/>
      <c r="J1477" s="508"/>
    </row>
    <row r="1478" spans="1:10">
      <c r="A1478" s="504"/>
      <c r="B1478" s="1310" t="s">
        <v>2353</v>
      </c>
      <c r="C1478" s="1486"/>
      <c r="D1478" s="1127" t="s">
        <v>15</v>
      </c>
      <c r="E1478" s="1292"/>
      <c r="F1478" s="1117"/>
      <c r="G1478" s="557"/>
      <c r="H1478" s="1117"/>
      <c r="I1478" s="1117"/>
      <c r="J1478" s="508"/>
    </row>
    <row r="1479" spans="1:10">
      <c r="A1479" s="504"/>
      <c r="B1479" s="1310" t="s">
        <v>2354</v>
      </c>
      <c r="C1479" s="1486"/>
      <c r="D1479" s="1127" t="s">
        <v>15</v>
      </c>
      <c r="E1479" s="1292"/>
      <c r="F1479" s="1117"/>
      <c r="G1479" s="557"/>
      <c r="H1479" s="1117"/>
      <c r="I1479" s="1117"/>
      <c r="J1479" s="508"/>
    </row>
    <row r="1480" spans="1:10">
      <c r="A1480" s="504"/>
      <c r="B1480" s="1310" t="s">
        <v>2355</v>
      </c>
      <c r="C1480" s="1486"/>
      <c r="D1480" s="1127" t="s">
        <v>15</v>
      </c>
      <c r="E1480" s="1292"/>
      <c r="F1480" s="1117"/>
      <c r="G1480" s="557"/>
      <c r="H1480" s="1117"/>
      <c r="I1480" s="1117"/>
      <c r="J1480" s="508"/>
    </row>
    <row r="1481" spans="1:10">
      <c r="A1481" s="504"/>
      <c r="B1481" s="1310" t="s">
        <v>2356</v>
      </c>
      <c r="C1481" s="1486"/>
      <c r="D1481" s="1127" t="s">
        <v>15</v>
      </c>
      <c r="E1481" s="1292"/>
      <c r="F1481" s="1117"/>
      <c r="G1481" s="557"/>
      <c r="H1481" s="1117"/>
      <c r="I1481" s="1117"/>
      <c r="J1481" s="508"/>
    </row>
    <row r="1482" spans="1:10">
      <c r="A1482" s="504"/>
      <c r="B1482" s="1310" t="s">
        <v>2357</v>
      </c>
      <c r="C1482" s="1486"/>
      <c r="D1482" s="1127" t="s">
        <v>15</v>
      </c>
      <c r="E1482" s="1292"/>
      <c r="F1482" s="1117"/>
      <c r="G1482" s="557"/>
      <c r="H1482" s="1117"/>
      <c r="I1482" s="1117"/>
      <c r="J1482" s="508"/>
    </row>
    <row r="1483" spans="1:10">
      <c r="A1483" s="504"/>
      <c r="B1483" s="1310" t="s">
        <v>2358</v>
      </c>
      <c r="C1483" s="1486"/>
      <c r="D1483" s="1127" t="s">
        <v>15</v>
      </c>
      <c r="E1483" s="1360"/>
      <c r="F1483" s="1117"/>
      <c r="G1483" s="557"/>
      <c r="H1483" s="1117"/>
      <c r="I1483" s="1117"/>
      <c r="J1483" s="558"/>
    </row>
    <row r="1484" spans="1:10">
      <c r="A1484" s="504"/>
      <c r="B1484" s="1310" t="s">
        <v>2359</v>
      </c>
      <c r="C1484" s="1486"/>
      <c r="D1484" s="1127" t="s">
        <v>15</v>
      </c>
      <c r="E1484" s="1540"/>
      <c r="F1484" s="1117"/>
      <c r="G1484" s="557"/>
      <c r="H1484" s="1117"/>
      <c r="I1484" s="1117"/>
      <c r="J1484" s="558"/>
    </row>
    <row r="1485" spans="1:10">
      <c r="A1485" s="504"/>
      <c r="B1485" s="1310" t="s">
        <v>2360</v>
      </c>
      <c r="C1485" s="1486"/>
      <c r="D1485" s="1127" t="s">
        <v>15</v>
      </c>
      <c r="E1485" s="1540"/>
      <c r="F1485" s="1117"/>
      <c r="G1485" s="557"/>
      <c r="H1485" s="1117"/>
      <c r="I1485" s="1117"/>
      <c r="J1485" s="558"/>
    </row>
    <row r="1486" spans="1:10">
      <c r="A1486" s="504"/>
      <c r="B1486" s="1310" t="s">
        <v>2361</v>
      </c>
      <c r="C1486" s="1486"/>
      <c r="D1486" s="1127" t="s">
        <v>15</v>
      </c>
      <c r="E1486" s="1540"/>
      <c r="F1486" s="1117"/>
      <c r="G1486" s="557"/>
      <c r="H1486" s="1117"/>
      <c r="I1486" s="1117"/>
      <c r="J1486" s="558"/>
    </row>
    <row r="1487" spans="1:10">
      <c r="A1487" s="504"/>
      <c r="B1487" s="1310" t="s">
        <v>2362</v>
      </c>
      <c r="C1487" s="1486"/>
      <c r="D1487" s="1127" t="s">
        <v>15</v>
      </c>
      <c r="E1487" s="1540"/>
      <c r="F1487" s="1117"/>
      <c r="G1487" s="557"/>
      <c r="H1487" s="1117"/>
      <c r="I1487" s="1117"/>
      <c r="J1487" s="558"/>
    </row>
    <row r="1488" spans="1:10">
      <c r="A1488" s="504"/>
      <c r="B1488" s="1310" t="s">
        <v>2363</v>
      </c>
      <c r="C1488" s="1486"/>
      <c r="D1488" s="1127" t="s">
        <v>15</v>
      </c>
      <c r="E1488" s="1540"/>
      <c r="F1488" s="1117"/>
      <c r="G1488" s="557"/>
      <c r="H1488" s="1117"/>
      <c r="I1488" s="1117"/>
      <c r="J1488" s="558"/>
    </row>
    <row r="1489" spans="1:10">
      <c r="A1489" s="504"/>
      <c r="B1489" s="1310" t="s">
        <v>2364</v>
      </c>
      <c r="C1489" s="1486"/>
      <c r="D1489" s="1127" t="s">
        <v>15</v>
      </c>
      <c r="E1489" s="1540"/>
      <c r="F1489" s="1117"/>
      <c r="G1489" s="557"/>
      <c r="H1489" s="1117"/>
      <c r="I1489" s="1117"/>
      <c r="J1489" s="558"/>
    </row>
    <row r="1490" spans="1:10">
      <c r="A1490" s="504"/>
      <c r="B1490" s="1310" t="s">
        <v>2365</v>
      </c>
      <c r="C1490" s="1486"/>
      <c r="D1490" s="1127" t="s">
        <v>15</v>
      </c>
      <c r="E1490" s="1540"/>
      <c r="F1490" s="1117"/>
      <c r="G1490" s="557"/>
      <c r="H1490" s="1117"/>
      <c r="I1490" s="1117"/>
      <c r="J1490" s="558"/>
    </row>
    <row r="1491" spans="1:10">
      <c r="A1491" s="504"/>
      <c r="B1491" s="1310" t="s">
        <v>2366</v>
      </c>
      <c r="C1491" s="1486"/>
      <c r="D1491" s="1127" t="s">
        <v>15</v>
      </c>
      <c r="E1491" s="1540"/>
      <c r="F1491" s="1117"/>
      <c r="G1491" s="557"/>
      <c r="H1491" s="1117"/>
      <c r="I1491" s="1117"/>
      <c r="J1491" s="558"/>
    </row>
    <row r="1492" spans="1:10">
      <c r="A1492" s="504"/>
      <c r="B1492" s="1310" t="s">
        <v>2367</v>
      </c>
      <c r="C1492" s="1486"/>
      <c r="D1492" s="1127" t="s">
        <v>15</v>
      </c>
      <c r="E1492" s="1540"/>
      <c r="F1492" s="1117"/>
      <c r="G1492" s="557"/>
      <c r="H1492" s="1117"/>
      <c r="I1492" s="1117"/>
      <c r="J1492" s="558"/>
    </row>
    <row r="1493" spans="1:10">
      <c r="A1493" s="1317" t="s">
        <v>2272</v>
      </c>
      <c r="B1493" s="1310" t="s">
        <v>1169</v>
      </c>
      <c r="C1493" s="1486"/>
      <c r="D1493" s="1127"/>
      <c r="E1493" s="1291"/>
      <c r="F1493" s="1117"/>
      <c r="G1493" s="557"/>
      <c r="H1493" s="1117"/>
      <c r="I1493" s="1117"/>
      <c r="J1493" s="558"/>
    </row>
    <row r="1494" spans="1:10">
      <c r="A1494" s="504"/>
      <c r="B1494" s="1310" t="s">
        <v>2368</v>
      </c>
      <c r="C1494" s="1486"/>
      <c r="D1494" s="1127" t="s">
        <v>15</v>
      </c>
      <c r="E1494" s="1291"/>
      <c r="F1494" s="1117"/>
      <c r="G1494" s="557"/>
      <c r="H1494" s="1125"/>
      <c r="I1494" s="1117"/>
      <c r="J1494" s="558"/>
    </row>
    <row r="1495" spans="1:10">
      <c r="A1495" s="504"/>
      <c r="B1495" s="1310" t="s">
        <v>2369</v>
      </c>
      <c r="C1495" s="1486"/>
      <c r="D1495" s="1127" t="s">
        <v>15</v>
      </c>
      <c r="E1495" s="1291"/>
      <c r="F1495" s="1117"/>
      <c r="G1495" s="557"/>
      <c r="H1495" s="1125"/>
      <c r="I1495" s="1117"/>
      <c r="J1495" s="558"/>
    </row>
    <row r="1496" spans="1:10">
      <c r="A1496" s="504"/>
      <c r="B1496" s="1310" t="s">
        <v>2370</v>
      </c>
      <c r="C1496" s="1486"/>
      <c r="D1496" s="1127" t="s">
        <v>15</v>
      </c>
      <c r="E1496" s="1291"/>
      <c r="F1496" s="1117"/>
      <c r="G1496" s="557"/>
      <c r="H1496" s="1125"/>
      <c r="I1496" s="1117"/>
      <c r="J1496" s="558"/>
    </row>
    <row r="1497" spans="1:10">
      <c r="A1497" s="504"/>
      <c r="B1497" s="1310" t="s">
        <v>2371</v>
      </c>
      <c r="C1497" s="1486"/>
      <c r="D1497" s="1127" t="s">
        <v>15</v>
      </c>
      <c r="E1497" s="1291"/>
      <c r="F1497" s="1117"/>
      <c r="G1497" s="557"/>
      <c r="H1497" s="1125"/>
      <c r="I1497" s="1117"/>
      <c r="J1497" s="558"/>
    </row>
    <row r="1498" spans="1:10">
      <c r="A1498" s="504"/>
      <c r="B1498" s="1310" t="s">
        <v>2372</v>
      </c>
      <c r="C1498" s="1486"/>
      <c r="D1498" s="1127" t="s">
        <v>15</v>
      </c>
      <c r="E1498" s="1291"/>
      <c r="F1498" s="1117"/>
      <c r="G1498" s="557"/>
      <c r="H1498" s="1125"/>
      <c r="I1498" s="1117"/>
      <c r="J1498" s="558"/>
    </row>
    <row r="1499" spans="1:10">
      <c r="A1499" s="504" t="s">
        <v>2273</v>
      </c>
      <c r="B1499" s="1310" t="s">
        <v>1190</v>
      </c>
      <c r="C1499" s="1486"/>
      <c r="D1499" s="1127"/>
      <c r="E1499" s="1291"/>
      <c r="F1499" s="1117"/>
      <c r="G1499" s="557"/>
      <c r="H1499" s="1117"/>
      <c r="I1499" s="1117"/>
      <c r="J1499" s="508"/>
    </row>
    <row r="1500" spans="1:10">
      <c r="A1500" s="504"/>
      <c r="B1500" s="1310" t="s">
        <v>2373</v>
      </c>
      <c r="C1500" s="1486"/>
      <c r="D1500" s="1127" t="s">
        <v>15</v>
      </c>
      <c r="E1500" s="1291"/>
      <c r="F1500" s="1117"/>
      <c r="G1500" s="557"/>
      <c r="H1500" s="1125"/>
      <c r="I1500" s="1117"/>
      <c r="J1500" s="558"/>
    </row>
    <row r="1501" spans="1:10">
      <c r="A1501" s="504"/>
      <c r="B1501" s="1310" t="s">
        <v>2374</v>
      </c>
      <c r="C1501" s="1486"/>
      <c r="D1501" s="1127" t="s">
        <v>15</v>
      </c>
      <c r="E1501" s="1291"/>
      <c r="F1501" s="1117"/>
      <c r="G1501" s="557"/>
      <c r="H1501" s="1125"/>
      <c r="I1501" s="1117"/>
      <c r="J1501" s="558"/>
    </row>
    <row r="1502" spans="1:10">
      <c r="A1502" s="504"/>
      <c r="B1502" s="1310" t="s">
        <v>2375</v>
      </c>
      <c r="C1502" s="1486"/>
      <c r="D1502" s="1127" t="s">
        <v>15</v>
      </c>
      <c r="E1502" s="1291"/>
      <c r="F1502" s="1117"/>
      <c r="G1502" s="557"/>
      <c r="H1502" s="1117"/>
      <c r="I1502" s="1117"/>
      <c r="J1502" s="558"/>
    </row>
    <row r="1503" spans="1:10">
      <c r="A1503" s="504"/>
      <c r="B1503" s="1310" t="s">
        <v>2376</v>
      </c>
      <c r="C1503" s="1486"/>
      <c r="D1503" s="1127" t="s">
        <v>15</v>
      </c>
      <c r="E1503" s="1292"/>
      <c r="F1503" s="1117"/>
      <c r="G1503" s="557"/>
      <c r="H1503" s="1125"/>
      <c r="I1503" s="1117"/>
      <c r="J1503" s="508"/>
    </row>
    <row r="1504" spans="1:10">
      <c r="A1504" s="504"/>
      <c r="B1504" s="1310" t="s">
        <v>2377</v>
      </c>
      <c r="C1504" s="1486"/>
      <c r="D1504" s="1127" t="s">
        <v>15</v>
      </c>
      <c r="E1504" s="1292"/>
      <c r="F1504" s="1117"/>
      <c r="G1504" s="557"/>
      <c r="H1504" s="1125"/>
      <c r="I1504" s="1117"/>
      <c r="J1504" s="508"/>
    </row>
    <row r="1505" spans="1:10">
      <c r="A1505" s="504"/>
      <c r="B1505" s="1310" t="s">
        <v>2378</v>
      </c>
      <c r="C1505" s="1486"/>
      <c r="D1505" s="1127" t="s">
        <v>15</v>
      </c>
      <c r="E1505" s="1292"/>
      <c r="F1505" s="1117"/>
      <c r="G1505" s="557"/>
      <c r="H1505" s="1125"/>
      <c r="I1505" s="1117"/>
      <c r="J1505" s="508"/>
    </row>
    <row r="1506" spans="1:10">
      <c r="A1506" s="504"/>
      <c r="B1506" s="1310" t="s">
        <v>2379</v>
      </c>
      <c r="C1506" s="1486"/>
      <c r="D1506" s="1127" t="s">
        <v>15</v>
      </c>
      <c r="E1506" s="1292"/>
      <c r="F1506" s="1117"/>
      <c r="G1506" s="557"/>
      <c r="H1506" s="1125"/>
      <c r="I1506" s="1117"/>
      <c r="J1506" s="508"/>
    </row>
    <row r="1507" spans="1:10">
      <c r="A1507" s="1317" t="s">
        <v>2274</v>
      </c>
      <c r="B1507" s="1310" t="s">
        <v>1189</v>
      </c>
      <c r="C1507" s="1486"/>
      <c r="D1507" s="1127"/>
      <c r="E1507" s="1291"/>
      <c r="F1507" s="1117"/>
      <c r="G1507" s="557"/>
      <c r="H1507" s="1117"/>
      <c r="I1507" s="1117"/>
      <c r="J1507" s="508"/>
    </row>
    <row r="1508" spans="1:10">
      <c r="A1508" s="504"/>
      <c r="B1508" s="1310" t="s">
        <v>2380</v>
      </c>
      <c r="C1508" s="1486"/>
      <c r="D1508" s="1127" t="s">
        <v>15</v>
      </c>
      <c r="E1508" s="1291"/>
      <c r="F1508" s="1117"/>
      <c r="G1508" s="557"/>
      <c r="H1508" s="1117"/>
      <c r="I1508" s="1117"/>
      <c r="J1508" s="558"/>
    </row>
    <row r="1509" spans="1:10">
      <c r="A1509" s="504"/>
      <c r="B1509" s="1310" t="s">
        <v>2381</v>
      </c>
      <c r="C1509" s="1486"/>
      <c r="D1509" s="1127" t="s">
        <v>15</v>
      </c>
      <c r="E1509" s="1291"/>
      <c r="F1509" s="1117"/>
      <c r="G1509" s="557"/>
      <c r="H1509" s="1117"/>
      <c r="I1509" s="1117"/>
      <c r="J1509" s="558"/>
    </row>
    <row r="1510" spans="1:10">
      <c r="A1510" s="504"/>
      <c r="B1510" s="1310" t="s">
        <v>2382</v>
      </c>
      <c r="C1510" s="1486"/>
      <c r="D1510" s="1127" t="s">
        <v>15</v>
      </c>
      <c r="E1510" s="1291"/>
      <c r="F1510" s="1117"/>
      <c r="G1510" s="557"/>
      <c r="H1510" s="1117"/>
      <c r="I1510" s="1117"/>
      <c r="J1510" s="558"/>
    </row>
    <row r="1511" spans="1:10">
      <c r="A1511" s="504"/>
      <c r="B1511" s="1310" t="s">
        <v>2383</v>
      </c>
      <c r="C1511" s="1486"/>
      <c r="D1511" s="1127" t="s">
        <v>15</v>
      </c>
      <c r="E1511" s="1291"/>
      <c r="F1511" s="1117"/>
      <c r="G1511" s="557"/>
      <c r="H1511" s="1117"/>
      <c r="I1511" s="1117"/>
      <c r="J1511" s="558"/>
    </row>
    <row r="1512" spans="1:10">
      <c r="A1512" s="504"/>
      <c r="B1512" s="1310" t="s">
        <v>2384</v>
      </c>
      <c r="C1512" s="1486"/>
      <c r="D1512" s="1127" t="s">
        <v>15</v>
      </c>
      <c r="E1512" s="1291"/>
      <c r="F1512" s="1117"/>
      <c r="G1512" s="557"/>
      <c r="H1512" s="1117"/>
      <c r="I1512" s="1117"/>
      <c r="J1512" s="558"/>
    </row>
    <row r="1513" spans="1:10">
      <c r="A1513" s="504"/>
      <c r="B1513" s="1310" t="s">
        <v>2385</v>
      </c>
      <c r="C1513" s="1486"/>
      <c r="D1513" s="1127" t="s">
        <v>15</v>
      </c>
      <c r="E1513" s="1291"/>
      <c r="F1513" s="1117"/>
      <c r="G1513" s="557"/>
      <c r="H1513" s="1117"/>
      <c r="I1513" s="1117"/>
      <c r="J1513" s="558"/>
    </row>
    <row r="1514" spans="1:10">
      <c r="A1514" s="504"/>
      <c r="B1514" s="1310" t="s">
        <v>2386</v>
      </c>
      <c r="C1514" s="1486"/>
      <c r="D1514" s="1127" t="s">
        <v>15</v>
      </c>
      <c r="E1514" s="1291"/>
      <c r="F1514" s="1117"/>
      <c r="G1514" s="557"/>
      <c r="H1514" s="1117"/>
      <c r="I1514" s="1117"/>
      <c r="J1514" s="558"/>
    </row>
    <row r="1515" spans="1:10">
      <c r="A1515" s="504"/>
      <c r="B1515" s="1310" t="s">
        <v>2387</v>
      </c>
      <c r="C1515" s="1486"/>
      <c r="D1515" s="1127" t="s">
        <v>15</v>
      </c>
      <c r="E1515" s="1291"/>
      <c r="F1515" s="1117"/>
      <c r="G1515" s="557"/>
      <c r="H1515" s="1117"/>
      <c r="I1515" s="1117"/>
      <c r="J1515" s="558"/>
    </row>
    <row r="1516" spans="1:10">
      <c r="A1516" s="504"/>
      <c r="B1516" s="1310" t="s">
        <v>2388</v>
      </c>
      <c r="C1516" s="1486"/>
      <c r="D1516" s="1127" t="s">
        <v>15</v>
      </c>
      <c r="E1516" s="1291"/>
      <c r="F1516" s="1117"/>
      <c r="G1516" s="557"/>
      <c r="H1516" s="1117"/>
      <c r="I1516" s="1117"/>
      <c r="J1516" s="558"/>
    </row>
    <row r="1517" spans="1:10">
      <c r="A1517" s="504"/>
      <c r="B1517" s="1310" t="s">
        <v>2389</v>
      </c>
      <c r="C1517" s="1486"/>
      <c r="D1517" s="1127" t="s">
        <v>15</v>
      </c>
      <c r="E1517" s="1291"/>
      <c r="F1517" s="1117"/>
      <c r="G1517" s="557"/>
      <c r="H1517" s="1117"/>
      <c r="I1517" s="1117"/>
      <c r="J1517" s="558"/>
    </row>
    <row r="1518" spans="1:10">
      <c r="A1518" s="504"/>
      <c r="B1518" s="1310" t="s">
        <v>2390</v>
      </c>
      <c r="C1518" s="1486"/>
      <c r="D1518" s="1127" t="s">
        <v>15</v>
      </c>
      <c r="E1518" s="1291"/>
      <c r="F1518" s="1117"/>
      <c r="G1518" s="557"/>
      <c r="H1518" s="1117"/>
      <c r="I1518" s="1117"/>
      <c r="J1518" s="558"/>
    </row>
    <row r="1519" spans="1:10">
      <c r="A1519" s="504"/>
      <c r="B1519" s="1310" t="s">
        <v>2391</v>
      </c>
      <c r="C1519" s="1486"/>
      <c r="D1519" s="1127" t="s">
        <v>15</v>
      </c>
      <c r="E1519" s="1292"/>
      <c r="F1519" s="1117"/>
      <c r="G1519" s="557"/>
      <c r="H1519" s="1117"/>
      <c r="I1519" s="1117"/>
      <c r="J1519" s="558"/>
    </row>
    <row r="1520" spans="1:10">
      <c r="A1520" s="504"/>
      <c r="B1520" s="1310" t="s">
        <v>2392</v>
      </c>
      <c r="C1520" s="1486"/>
      <c r="D1520" s="1127" t="s">
        <v>15</v>
      </c>
      <c r="E1520" s="1291"/>
      <c r="F1520" s="1117"/>
      <c r="G1520" s="557"/>
      <c r="H1520" s="1117"/>
      <c r="I1520" s="1117"/>
      <c r="J1520" s="558"/>
    </row>
    <row r="1521" spans="1:10">
      <c r="A1521" s="504"/>
      <c r="B1521" s="1310" t="s">
        <v>2393</v>
      </c>
      <c r="C1521" s="1486"/>
      <c r="D1521" s="1127" t="s">
        <v>15</v>
      </c>
      <c r="E1521" s="1291"/>
      <c r="F1521" s="1117"/>
      <c r="G1521" s="557"/>
      <c r="H1521" s="1117"/>
      <c r="I1521" s="1117"/>
      <c r="J1521" s="558"/>
    </row>
    <row r="1522" spans="1:10">
      <c r="A1522" s="504"/>
      <c r="B1522" s="1310" t="s">
        <v>2394</v>
      </c>
      <c r="C1522" s="1486"/>
      <c r="D1522" s="1127" t="s">
        <v>15</v>
      </c>
      <c r="E1522" s="1291"/>
      <c r="F1522" s="1117"/>
      <c r="G1522" s="557"/>
      <c r="H1522" s="1117"/>
      <c r="I1522" s="1117"/>
      <c r="J1522" s="558"/>
    </row>
    <row r="1523" spans="1:10">
      <c r="A1523" s="504"/>
      <c r="B1523" s="1310" t="s">
        <v>2395</v>
      </c>
      <c r="C1523" s="1486"/>
      <c r="D1523" s="1127" t="s">
        <v>15</v>
      </c>
      <c r="E1523" s="1291"/>
      <c r="F1523" s="1117"/>
      <c r="G1523" s="557"/>
      <c r="H1523" s="1117"/>
      <c r="I1523" s="1117"/>
      <c r="J1523" s="558"/>
    </row>
    <row r="1524" spans="1:10">
      <c r="A1524" s="504"/>
      <c r="B1524" s="1310" t="s">
        <v>2396</v>
      </c>
      <c r="C1524" s="1486"/>
      <c r="D1524" s="1127" t="s">
        <v>15</v>
      </c>
      <c r="E1524" s="1291"/>
      <c r="F1524" s="1117"/>
      <c r="G1524" s="557"/>
      <c r="H1524" s="1117"/>
      <c r="I1524" s="1117"/>
      <c r="J1524" s="558"/>
    </row>
    <row r="1525" spans="1:10">
      <c r="A1525" s="504"/>
      <c r="B1525" s="1310" t="s">
        <v>2397</v>
      </c>
      <c r="C1525" s="1486"/>
      <c r="D1525" s="1127" t="s">
        <v>15</v>
      </c>
      <c r="E1525" s="1291"/>
      <c r="F1525" s="1117"/>
      <c r="G1525" s="557"/>
      <c r="H1525" s="1117"/>
      <c r="I1525" s="1117"/>
      <c r="J1525" s="558"/>
    </row>
    <row r="1526" spans="1:10">
      <c r="A1526" s="504"/>
      <c r="B1526" s="1310" t="s">
        <v>2398</v>
      </c>
      <c r="C1526" s="1486"/>
      <c r="D1526" s="1127" t="s">
        <v>15</v>
      </c>
      <c r="E1526" s="1291"/>
      <c r="F1526" s="1117"/>
      <c r="G1526" s="557"/>
      <c r="H1526" s="1117"/>
      <c r="I1526" s="1117"/>
      <c r="J1526" s="558"/>
    </row>
    <row r="1527" spans="1:10">
      <c r="A1527" s="504"/>
      <c r="B1527" s="1310" t="s">
        <v>2399</v>
      </c>
      <c r="C1527" s="1486"/>
      <c r="D1527" s="1127" t="s">
        <v>15</v>
      </c>
      <c r="E1527" s="1291"/>
      <c r="F1527" s="1117"/>
      <c r="G1527" s="557"/>
      <c r="H1527" s="1117"/>
      <c r="I1527" s="1117"/>
      <c r="J1527" s="558"/>
    </row>
    <row r="1528" spans="1:10">
      <c r="A1528" s="504"/>
      <c r="B1528" s="1310" t="s">
        <v>2400</v>
      </c>
      <c r="C1528" s="1486"/>
      <c r="D1528" s="1127" t="s">
        <v>15</v>
      </c>
      <c r="E1528" s="1291"/>
      <c r="F1528" s="1117"/>
      <c r="G1528" s="557"/>
      <c r="H1528" s="1117"/>
      <c r="I1528" s="1117"/>
      <c r="J1528" s="558"/>
    </row>
    <row r="1529" spans="1:10">
      <c r="A1529" s="504"/>
      <c r="B1529" s="1310" t="s">
        <v>2401</v>
      </c>
      <c r="C1529" s="1486"/>
      <c r="D1529" s="1127" t="s">
        <v>15</v>
      </c>
      <c r="E1529" s="1291"/>
      <c r="F1529" s="1117"/>
      <c r="G1529" s="557"/>
      <c r="H1529" s="1117"/>
      <c r="I1529" s="1117"/>
      <c r="J1529" s="558"/>
    </row>
    <row r="1530" spans="1:10">
      <c r="A1530" s="504"/>
      <c r="B1530" s="1310" t="s">
        <v>2402</v>
      </c>
      <c r="C1530" s="1486"/>
      <c r="D1530" s="1127" t="s">
        <v>15</v>
      </c>
      <c r="E1530" s="1291"/>
      <c r="F1530" s="1117"/>
      <c r="G1530" s="557"/>
      <c r="H1530" s="1117"/>
      <c r="I1530" s="1117"/>
      <c r="J1530" s="558"/>
    </row>
    <row r="1531" spans="1:10">
      <c r="A1531" s="504"/>
      <c r="B1531" s="1310" t="s">
        <v>2403</v>
      </c>
      <c r="C1531" s="1486"/>
      <c r="D1531" s="1127" t="s">
        <v>15</v>
      </c>
      <c r="E1531" s="1291"/>
      <c r="F1531" s="1117"/>
      <c r="G1531" s="557"/>
      <c r="H1531" s="1117"/>
      <c r="I1531" s="1117"/>
      <c r="J1531" s="558"/>
    </row>
    <row r="1532" spans="1:10">
      <c r="A1532" s="504"/>
      <c r="B1532" s="1310" t="s">
        <v>2404</v>
      </c>
      <c r="C1532" s="1486"/>
      <c r="D1532" s="1127" t="s">
        <v>15</v>
      </c>
      <c r="E1532" s="1291"/>
      <c r="F1532" s="1117"/>
      <c r="G1532" s="557"/>
      <c r="H1532" s="1117"/>
      <c r="I1532" s="1117"/>
      <c r="J1532" s="558"/>
    </row>
    <row r="1533" spans="1:10">
      <c r="A1533" s="504"/>
      <c r="B1533" s="1310" t="s">
        <v>2405</v>
      </c>
      <c r="C1533" s="1486"/>
      <c r="D1533" s="1127" t="s">
        <v>15</v>
      </c>
      <c r="E1533" s="1292"/>
      <c r="F1533" s="1117"/>
      <c r="G1533" s="557"/>
      <c r="H1533" s="1117"/>
      <c r="I1533" s="1117"/>
      <c r="J1533" s="508"/>
    </row>
    <row r="1534" spans="1:10">
      <c r="A1534" s="504"/>
      <c r="B1534" s="1310" t="s">
        <v>2406</v>
      </c>
      <c r="C1534" s="1486"/>
      <c r="D1534" s="1127" t="s">
        <v>15</v>
      </c>
      <c r="E1534" s="1292"/>
      <c r="F1534" s="1117"/>
      <c r="G1534" s="557"/>
      <c r="H1534" s="1117"/>
      <c r="I1534" s="1117"/>
      <c r="J1534" s="508"/>
    </row>
    <row r="1535" spans="1:10">
      <c r="A1535" s="504"/>
      <c r="B1535" s="1310" t="s">
        <v>2407</v>
      </c>
      <c r="C1535" s="1486"/>
      <c r="D1535" s="1127" t="s">
        <v>15</v>
      </c>
      <c r="E1535" s="1292"/>
      <c r="F1535" s="1117"/>
      <c r="G1535" s="557"/>
      <c r="H1535" s="1117"/>
      <c r="I1535" s="1117"/>
      <c r="J1535" s="508"/>
    </row>
    <row r="1536" spans="1:10">
      <c r="A1536" s="504"/>
      <c r="B1536" s="1310" t="s">
        <v>2408</v>
      </c>
      <c r="C1536" s="1486"/>
      <c r="D1536" s="1127" t="s">
        <v>15</v>
      </c>
      <c r="E1536" s="1292"/>
      <c r="F1536" s="1117"/>
      <c r="G1536" s="557"/>
      <c r="H1536" s="1117"/>
      <c r="I1536" s="1117"/>
      <c r="J1536" s="508"/>
    </row>
    <row r="1537" spans="1:10">
      <c r="A1537" s="504"/>
      <c r="B1537" s="1310" t="s">
        <v>2409</v>
      </c>
      <c r="C1537" s="1486"/>
      <c r="D1537" s="1127" t="s">
        <v>15</v>
      </c>
      <c r="E1537" s="1292"/>
      <c r="F1537" s="1117"/>
      <c r="G1537" s="557"/>
      <c r="H1537" s="1117"/>
      <c r="I1537" s="1117"/>
      <c r="J1537" s="508"/>
    </row>
    <row r="1538" spans="1:10">
      <c r="A1538" s="504"/>
      <c r="B1538" s="1310" t="s">
        <v>2410</v>
      </c>
      <c r="C1538" s="1486"/>
      <c r="D1538" s="1127" t="s">
        <v>15</v>
      </c>
      <c r="E1538" s="1292"/>
      <c r="F1538" s="1117"/>
      <c r="G1538" s="557"/>
      <c r="H1538" s="1117"/>
      <c r="I1538" s="1117"/>
      <c r="J1538" s="558"/>
    </row>
    <row r="1539" spans="1:10">
      <c r="A1539" s="504"/>
      <c r="B1539" s="1310" t="s">
        <v>2411</v>
      </c>
      <c r="C1539" s="1486"/>
      <c r="D1539" s="1127" t="s">
        <v>15</v>
      </c>
      <c r="E1539" s="1292"/>
      <c r="F1539" s="1117"/>
      <c r="G1539" s="557"/>
      <c r="H1539" s="1117"/>
      <c r="I1539" s="1117"/>
      <c r="J1539" s="558"/>
    </row>
    <row r="1540" spans="1:10">
      <c r="A1540" s="504"/>
      <c r="B1540" s="1310" t="s">
        <v>2412</v>
      </c>
      <c r="C1540" s="1486"/>
      <c r="D1540" s="1127" t="s">
        <v>15</v>
      </c>
      <c r="E1540" s="1292"/>
      <c r="F1540" s="1117"/>
      <c r="G1540" s="557"/>
      <c r="H1540" s="1117"/>
      <c r="I1540" s="1117"/>
      <c r="J1540" s="508"/>
    </row>
    <row r="1541" spans="1:10">
      <c r="A1541" s="504"/>
      <c r="B1541" s="1310" t="s">
        <v>2413</v>
      </c>
      <c r="C1541" s="1486"/>
      <c r="D1541" s="1127" t="s">
        <v>15</v>
      </c>
      <c r="E1541" s="1293"/>
      <c r="F1541" s="1117"/>
      <c r="G1541" s="557"/>
      <c r="H1541" s="1117"/>
      <c r="I1541" s="1117"/>
      <c r="J1541" s="508"/>
    </row>
    <row r="1542" spans="1:10">
      <c r="A1542" s="504"/>
      <c r="B1542" s="1310" t="s">
        <v>2414</v>
      </c>
      <c r="C1542" s="1486"/>
      <c r="D1542" s="1127" t="s">
        <v>15</v>
      </c>
      <c r="E1542" s="1541"/>
      <c r="F1542" s="1117"/>
      <c r="G1542" s="557"/>
      <c r="H1542" s="1117"/>
      <c r="I1542" s="1117"/>
      <c r="J1542" s="508"/>
    </row>
    <row r="1543" spans="1:10">
      <c r="A1543" s="504"/>
      <c r="B1543" s="1310" t="s">
        <v>2415</v>
      </c>
      <c r="C1543" s="1486"/>
      <c r="D1543" s="1127" t="s">
        <v>15</v>
      </c>
      <c r="E1543" s="1541"/>
      <c r="F1543" s="1117"/>
      <c r="G1543" s="557"/>
      <c r="H1543" s="1117"/>
      <c r="I1543" s="1117"/>
      <c r="J1543" s="508"/>
    </row>
    <row r="1544" spans="1:10">
      <c r="A1544" s="504"/>
      <c r="B1544" s="1310" t="s">
        <v>2416</v>
      </c>
      <c r="C1544" s="1486"/>
      <c r="D1544" s="1127" t="s">
        <v>15</v>
      </c>
      <c r="E1544" s="1541"/>
      <c r="F1544" s="1117"/>
      <c r="G1544" s="557"/>
      <c r="H1544" s="1117"/>
      <c r="I1544" s="1117"/>
      <c r="J1544" s="508"/>
    </row>
    <row r="1545" spans="1:10">
      <c r="A1545" s="504"/>
      <c r="B1545" s="1310" t="s">
        <v>2417</v>
      </c>
      <c r="C1545" s="1486"/>
      <c r="D1545" s="1127" t="s">
        <v>15</v>
      </c>
      <c r="E1545" s="1541"/>
      <c r="F1545" s="1117"/>
      <c r="G1545" s="557"/>
      <c r="H1545" s="1117"/>
      <c r="I1545" s="1117"/>
      <c r="J1545" s="508"/>
    </row>
    <row r="1546" spans="1:10">
      <c r="A1546" s="504"/>
      <c r="B1546" s="1310" t="s">
        <v>2418</v>
      </c>
      <c r="C1546" s="1486"/>
      <c r="D1546" s="1127" t="s">
        <v>15</v>
      </c>
      <c r="E1546" s="1541"/>
      <c r="F1546" s="1117"/>
      <c r="G1546" s="557"/>
      <c r="H1546" s="1117"/>
      <c r="I1546" s="1117"/>
      <c r="J1546" s="508"/>
    </row>
    <row r="1547" spans="1:10">
      <c r="A1547" s="504"/>
      <c r="B1547" s="1310" t="s">
        <v>2419</v>
      </c>
      <c r="C1547" s="1486"/>
      <c r="D1547" s="1127" t="s">
        <v>15</v>
      </c>
      <c r="E1547" s="1541"/>
      <c r="F1547" s="1117"/>
      <c r="G1547" s="557"/>
      <c r="H1547" s="1117"/>
      <c r="I1547" s="1117"/>
      <c r="J1547" s="558"/>
    </row>
    <row r="1548" spans="1:10">
      <c r="A1548" s="504"/>
      <c r="B1548" s="1310" t="s">
        <v>2420</v>
      </c>
      <c r="C1548" s="1486"/>
      <c r="D1548" s="1127" t="s">
        <v>15</v>
      </c>
      <c r="E1548" s="1541"/>
      <c r="F1548" s="1117"/>
      <c r="G1548" s="557"/>
      <c r="H1548" s="1117"/>
      <c r="I1548" s="1117"/>
      <c r="J1548" s="558"/>
    </row>
    <row r="1549" spans="1:10">
      <c r="A1549" s="504"/>
      <c r="B1549" s="1310" t="s">
        <v>2421</v>
      </c>
      <c r="C1549" s="1486"/>
      <c r="D1549" s="1127" t="s">
        <v>15</v>
      </c>
      <c r="E1549" s="1541"/>
      <c r="F1549" s="1117"/>
      <c r="G1549" s="557"/>
      <c r="H1549" s="1117"/>
      <c r="I1549" s="1117"/>
      <c r="J1549" s="508"/>
    </row>
    <row r="1550" spans="1:10">
      <c r="A1550" s="504"/>
      <c r="B1550" s="1310" t="s">
        <v>2422</v>
      </c>
      <c r="C1550" s="1486"/>
      <c r="D1550" s="1127" t="s">
        <v>15</v>
      </c>
      <c r="E1550" s="1541"/>
      <c r="F1550" s="1117"/>
      <c r="G1550" s="557"/>
      <c r="H1550" s="1117"/>
      <c r="I1550" s="1117"/>
      <c r="J1550" s="508"/>
    </row>
    <row r="1551" spans="1:10">
      <c r="A1551" s="504"/>
      <c r="B1551" s="1310" t="s">
        <v>2423</v>
      </c>
      <c r="C1551" s="1486"/>
      <c r="D1551" s="1127" t="s">
        <v>15</v>
      </c>
      <c r="E1551" s="1542"/>
      <c r="F1551" s="1117"/>
      <c r="G1551" s="557"/>
      <c r="H1551" s="1117"/>
      <c r="I1551" s="1117"/>
      <c r="J1551" s="508"/>
    </row>
    <row r="1552" spans="1:10">
      <c r="A1552" s="1317" t="s">
        <v>2275</v>
      </c>
      <c r="B1552" s="1310" t="s">
        <v>1170</v>
      </c>
      <c r="C1552" s="1486"/>
      <c r="D1552" s="1127"/>
      <c r="E1552" s="1291"/>
      <c r="F1552" s="1117"/>
      <c r="G1552" s="557"/>
      <c r="H1552" s="1117"/>
      <c r="I1552" s="1117"/>
      <c r="J1552" s="558"/>
    </row>
    <row r="1553" spans="1:10">
      <c r="A1553" s="504"/>
      <c r="B1553" s="1310" t="s">
        <v>2424</v>
      </c>
      <c r="C1553" s="1486"/>
      <c r="D1553" s="1127" t="s">
        <v>15</v>
      </c>
      <c r="E1553" s="1291"/>
      <c r="F1553" s="1117"/>
      <c r="G1553" s="557"/>
      <c r="H1553" s="1125"/>
      <c r="I1553" s="1117"/>
      <c r="J1553" s="558"/>
    </row>
    <row r="1554" spans="1:10">
      <c r="A1554" s="504"/>
      <c r="B1554" s="1310" t="s">
        <v>2425</v>
      </c>
      <c r="C1554" s="1486"/>
      <c r="D1554" s="1127" t="s">
        <v>15</v>
      </c>
      <c r="E1554" s="1291"/>
      <c r="F1554" s="1117"/>
      <c r="G1554" s="557"/>
      <c r="H1554" s="1125"/>
      <c r="I1554" s="1117"/>
      <c r="J1554" s="558"/>
    </row>
    <row r="1555" spans="1:10" s="1303" customFormat="1" ht="26.25">
      <c r="A1555" s="1298"/>
      <c r="B1555" s="1311" t="s">
        <v>2260</v>
      </c>
      <c r="C1555" s="1452"/>
      <c r="D1555" s="1299"/>
      <c r="E1555" s="1293"/>
      <c r="F1555" s="1300"/>
      <c r="G1555" s="1291"/>
      <c r="H1555" s="1301"/>
      <c r="I1555" s="1300"/>
      <c r="J1555" s="1302"/>
    </row>
    <row r="1556" spans="1:10" s="1303" customFormat="1" ht="26.25">
      <c r="A1556" s="1298"/>
      <c r="B1556" s="1312" t="s">
        <v>2261</v>
      </c>
      <c r="C1556" s="1452"/>
      <c r="D1556" s="1299"/>
      <c r="E1556" s="1293"/>
      <c r="F1556" s="1300"/>
      <c r="G1556" s="1291"/>
      <c r="H1556" s="1301"/>
      <c r="I1556" s="1300"/>
      <c r="J1556" s="1302"/>
    </row>
    <row r="1557" spans="1:10" s="1303" customFormat="1" ht="26.25">
      <c r="A1557" s="1298"/>
      <c r="B1557" s="1312" t="s">
        <v>2262</v>
      </c>
      <c r="C1557" s="1452"/>
      <c r="D1557" s="1299"/>
      <c r="E1557" s="1293"/>
      <c r="F1557" s="1300"/>
      <c r="G1557" s="1291"/>
      <c r="H1557" s="1301"/>
      <c r="I1557" s="1300"/>
      <c r="J1557" s="1302"/>
    </row>
    <row r="1558" spans="1:10" s="1303" customFormat="1" ht="26.25">
      <c r="A1558" s="1298"/>
      <c r="B1558" s="1312" t="s">
        <v>2263</v>
      </c>
      <c r="C1558" s="1452"/>
      <c r="D1558" s="1299"/>
      <c r="E1558" s="1293"/>
      <c r="F1558" s="1300"/>
      <c r="G1558" s="1291"/>
      <c r="H1558" s="1301"/>
      <c r="I1558" s="1300"/>
      <c r="J1558" s="1302"/>
    </row>
    <row r="1559" spans="1:10" s="1303" customFormat="1" ht="26.25">
      <c r="A1559" s="1298"/>
      <c r="B1559" s="1312" t="s">
        <v>2264</v>
      </c>
      <c r="C1559" s="1452"/>
      <c r="D1559" s="1299"/>
      <c r="E1559" s="1293"/>
      <c r="F1559" s="1300"/>
      <c r="G1559" s="1291"/>
      <c r="H1559" s="1301"/>
      <c r="I1559" s="1300"/>
      <c r="J1559" s="1302"/>
    </row>
    <row r="1560" spans="1:10">
      <c r="A1560" s="504">
        <v>8.5</v>
      </c>
      <c r="B1560" s="493" t="s">
        <v>1051</v>
      </c>
      <c r="C1560" s="1437"/>
      <c r="D1560" s="505"/>
      <c r="E1560" s="1124"/>
      <c r="F1560" s="489"/>
      <c r="G1560" s="507"/>
      <c r="H1560" s="490"/>
      <c r="I1560" s="489"/>
      <c r="J1560" s="508"/>
    </row>
    <row r="1561" spans="1:10">
      <c r="A1561" s="504"/>
      <c r="B1561" s="647" t="s">
        <v>870</v>
      </c>
      <c r="C1561" s="1498"/>
      <c r="D1561" s="587"/>
      <c r="E1561" s="1145"/>
      <c r="F1561" s="588"/>
      <c r="G1561" s="589"/>
      <c r="H1561" s="588"/>
      <c r="I1561" s="589"/>
      <c r="J1561" s="508"/>
    </row>
    <row r="1562" spans="1:10">
      <c r="A1562" s="504"/>
      <c r="B1562" s="1146" t="s">
        <v>1041</v>
      </c>
      <c r="C1562" s="1469"/>
      <c r="D1562" s="1148" t="s">
        <v>15</v>
      </c>
      <c r="E1562" s="1149"/>
      <c r="F1562" s="1149"/>
      <c r="G1562" s="1543"/>
      <c r="H1562" s="1543"/>
      <c r="I1562" s="1149"/>
      <c r="J1562" s="508"/>
    </row>
    <row r="1563" spans="1:10">
      <c r="A1563" s="504"/>
      <c r="B1563" s="1146" t="s">
        <v>1042</v>
      </c>
      <c r="C1563" s="1469"/>
      <c r="D1563" s="1148" t="s">
        <v>15</v>
      </c>
      <c r="E1563" s="1149"/>
      <c r="F1563" s="1149"/>
      <c r="G1563" s="1543"/>
      <c r="H1563" s="1543"/>
      <c r="I1563" s="1149"/>
      <c r="J1563" s="508"/>
    </row>
    <row r="1564" spans="1:10">
      <c r="A1564" s="504"/>
      <c r="B1564" s="1150" t="s">
        <v>1043</v>
      </c>
      <c r="C1564" s="1469"/>
      <c r="D1564" s="1148" t="s">
        <v>15</v>
      </c>
      <c r="E1564" s="1149"/>
      <c r="F1564" s="1149"/>
      <c r="G1564" s="1543"/>
      <c r="H1564" s="1543"/>
      <c r="I1564" s="1149"/>
      <c r="J1564" s="508"/>
    </row>
    <row r="1565" spans="1:10">
      <c r="A1565" s="504"/>
      <c r="B1565" s="1151" t="s">
        <v>2426</v>
      </c>
      <c r="C1565" s="1469"/>
      <c r="D1565" s="1148" t="s">
        <v>15</v>
      </c>
      <c r="E1565" s="1149"/>
      <c r="F1565" s="1149"/>
      <c r="G1565" s="1543"/>
      <c r="H1565" s="1543"/>
      <c r="I1565" s="1149"/>
      <c r="J1565" s="508"/>
    </row>
    <row r="1566" spans="1:10">
      <c r="A1566" s="504"/>
      <c r="B1566" s="1146" t="s">
        <v>1046</v>
      </c>
      <c r="C1566" s="1469"/>
      <c r="D1566" s="1148" t="s">
        <v>15</v>
      </c>
      <c r="E1566" s="1149"/>
      <c r="F1566" s="1149"/>
      <c r="G1566" s="1543"/>
      <c r="H1566" s="1543"/>
      <c r="I1566" s="1149"/>
      <c r="J1566" s="508"/>
    </row>
    <row r="1567" spans="1:10">
      <c r="A1567" s="504"/>
      <c r="B1567" s="1146" t="s">
        <v>2654</v>
      </c>
      <c r="C1567" s="1469"/>
      <c r="D1567" s="1148" t="s">
        <v>15</v>
      </c>
      <c r="E1567" s="1149"/>
      <c r="F1567" s="1149"/>
      <c r="G1567" s="1543"/>
      <c r="H1567" s="1543"/>
      <c r="I1567" s="1149"/>
      <c r="J1567" s="508"/>
    </row>
    <row r="1568" spans="1:10">
      <c r="A1568" s="504"/>
      <c r="B1568" s="1146" t="s">
        <v>1048</v>
      </c>
      <c r="C1568" s="1469"/>
      <c r="D1568" s="1148" t="s">
        <v>15</v>
      </c>
      <c r="E1568" s="1149"/>
      <c r="F1568" s="1149"/>
      <c r="G1568" s="1543"/>
      <c r="H1568" s="1543"/>
      <c r="I1568" s="1149"/>
      <c r="J1568" s="508"/>
    </row>
    <row r="1569" spans="1:10">
      <c r="A1569" s="504"/>
      <c r="B1569" s="1146" t="s">
        <v>1049</v>
      </c>
      <c r="C1569" s="1469"/>
      <c r="D1569" s="1148" t="s">
        <v>15</v>
      </c>
      <c r="E1569" s="1149"/>
      <c r="F1569" s="1149"/>
      <c r="G1569" s="1543"/>
      <c r="H1569" s="1543"/>
      <c r="I1569" s="1149"/>
      <c r="J1569" s="508"/>
    </row>
    <row r="1570" spans="1:10" s="1303" customFormat="1" ht="26.25">
      <c r="A1570" s="504"/>
      <c r="B1570" s="1502" t="s">
        <v>1050</v>
      </c>
      <c r="C1570" s="1503"/>
      <c r="D1570" s="1504" t="s">
        <v>15</v>
      </c>
      <c r="E1570" s="1506"/>
      <c r="F1570" s="1505"/>
      <c r="G1570" s="1505"/>
      <c r="H1570" s="1505"/>
      <c r="I1570" s="1505"/>
      <c r="J1570" s="508"/>
    </row>
    <row r="1571" spans="1:10">
      <c r="A1571" s="504">
        <v>8.6</v>
      </c>
      <c r="B1571" s="1425" t="s">
        <v>2537</v>
      </c>
      <c r="C1571" s="1499"/>
      <c r="D1571" s="1231"/>
      <c r="E1571" s="1232"/>
      <c r="F1571" s="1233"/>
      <c r="G1571" s="507"/>
      <c r="H1571" s="1234"/>
      <c r="I1571" s="1233"/>
      <c r="J1571" s="508"/>
    </row>
    <row r="1572" spans="1:10">
      <c r="A1572" s="1317" t="s">
        <v>2276</v>
      </c>
      <c r="B1572" s="1425" t="s">
        <v>1927</v>
      </c>
      <c r="C1572" s="1499"/>
      <c r="D1572" s="1231"/>
      <c r="E1572" s="1232"/>
      <c r="F1572" s="1233"/>
      <c r="G1572" s="507"/>
      <c r="H1572" s="1234"/>
      <c r="I1572" s="1233"/>
      <c r="J1572" s="508"/>
    </row>
    <row r="1573" spans="1:10">
      <c r="A1573" s="504"/>
      <c r="B1573" s="1178" t="s">
        <v>1914</v>
      </c>
      <c r="C1573" s="1485"/>
      <c r="D1573" s="968" t="s">
        <v>15</v>
      </c>
      <c r="E1573" s="1232"/>
      <c r="F1573" s="673"/>
      <c r="G1573" s="672"/>
      <c r="H1573" s="1125"/>
      <c r="I1573" s="673"/>
      <c r="J1573" s="508"/>
    </row>
    <row r="1574" spans="1:10">
      <c r="A1574" s="504"/>
      <c r="B1574" s="1178" t="s">
        <v>1915</v>
      </c>
      <c r="C1574" s="1499"/>
      <c r="D1574" s="1231" t="s">
        <v>1916</v>
      </c>
      <c r="E1574" s="1232"/>
      <c r="F1574" s="673"/>
      <c r="G1574" s="672"/>
      <c r="H1574" s="1125"/>
      <c r="I1574" s="673"/>
      <c r="J1574" s="508"/>
    </row>
    <row r="1575" spans="1:10">
      <c r="A1575" s="504"/>
      <c r="B1575" s="1178" t="s">
        <v>1917</v>
      </c>
      <c r="C1575" s="1499"/>
      <c r="D1575" s="1231" t="s">
        <v>15</v>
      </c>
      <c r="E1575" s="1232"/>
      <c r="F1575" s="673"/>
      <c r="G1575" s="672"/>
      <c r="H1575" s="1125"/>
      <c r="I1575" s="673"/>
      <c r="J1575" s="508"/>
    </row>
    <row r="1576" spans="1:10">
      <c r="A1576" s="504"/>
      <c r="B1576" s="1178" t="s">
        <v>1918</v>
      </c>
      <c r="C1576" s="1499"/>
      <c r="D1576" s="1231" t="s">
        <v>44</v>
      </c>
      <c r="E1576" s="1232"/>
      <c r="F1576" s="673"/>
      <c r="G1576" s="672"/>
      <c r="H1576" s="1125"/>
      <c r="I1576" s="673"/>
      <c r="J1576" s="508"/>
    </row>
    <row r="1577" spans="1:10">
      <c r="A1577" s="504"/>
      <c r="B1577" s="1178" t="s">
        <v>1919</v>
      </c>
      <c r="C1577" s="1499"/>
      <c r="D1577" s="1231" t="s">
        <v>44</v>
      </c>
      <c r="E1577" s="1232"/>
      <c r="F1577" s="673"/>
      <c r="G1577" s="672"/>
      <c r="H1577" s="1125"/>
      <c r="I1577" s="673"/>
      <c r="J1577" s="508"/>
    </row>
    <row r="1578" spans="1:10">
      <c r="A1578" s="504"/>
      <c r="B1578" s="1178" t="s">
        <v>1920</v>
      </c>
      <c r="C1578" s="1499"/>
      <c r="D1578" s="1231" t="s">
        <v>44</v>
      </c>
      <c r="E1578" s="1232"/>
      <c r="F1578" s="673"/>
      <c r="G1578" s="672"/>
      <c r="H1578" s="1125"/>
      <c r="I1578" s="673"/>
      <c r="J1578" s="508"/>
    </row>
    <row r="1579" spans="1:10">
      <c r="A1579" s="504"/>
      <c r="B1579" s="1230" t="s">
        <v>1921</v>
      </c>
      <c r="C1579" s="1499"/>
      <c r="D1579" s="1231" t="s">
        <v>15</v>
      </c>
      <c r="E1579" s="1232"/>
      <c r="F1579" s="673"/>
      <c r="G1579" s="672"/>
      <c r="H1579" s="1125"/>
      <c r="I1579" s="673"/>
      <c r="J1579" s="508"/>
    </row>
    <row r="1580" spans="1:10">
      <c r="A1580" s="504"/>
      <c r="B1580" s="1230" t="s">
        <v>1922</v>
      </c>
      <c r="C1580" s="1499"/>
      <c r="D1580" s="1231" t="s">
        <v>15</v>
      </c>
      <c r="E1580" s="1232"/>
      <c r="F1580" s="673"/>
      <c r="G1580" s="672"/>
      <c r="H1580" s="1125"/>
      <c r="I1580" s="673"/>
      <c r="J1580" s="508"/>
    </row>
    <row r="1581" spans="1:10">
      <c r="A1581" s="504"/>
      <c r="B1581" s="1230" t="s">
        <v>1923</v>
      </c>
      <c r="C1581" s="1499"/>
      <c r="D1581" s="1231" t="s">
        <v>44</v>
      </c>
      <c r="E1581" s="1232"/>
      <c r="F1581" s="673"/>
      <c r="G1581" s="672"/>
      <c r="H1581" s="1125"/>
      <c r="I1581" s="673"/>
      <c r="J1581" s="508"/>
    </row>
    <row r="1582" spans="1:10">
      <c r="A1582" s="504"/>
      <c r="B1582" s="1230" t="s">
        <v>1924</v>
      </c>
      <c r="C1582" s="1499"/>
      <c r="D1582" s="1231" t="s">
        <v>44</v>
      </c>
      <c r="E1582" s="1232"/>
      <c r="F1582" s="673"/>
      <c r="G1582" s="672"/>
      <c r="H1582" s="1125"/>
      <c r="I1582" s="673"/>
      <c r="J1582" s="508"/>
    </row>
    <row r="1583" spans="1:10">
      <c r="A1583" s="504"/>
      <c r="B1583" s="1230" t="s">
        <v>1925</v>
      </c>
      <c r="C1583" s="1499"/>
      <c r="D1583" s="1231" t="s">
        <v>1926</v>
      </c>
      <c r="E1583" s="1232"/>
      <c r="F1583" s="673"/>
      <c r="G1583" s="672"/>
      <c r="H1583" s="1125"/>
      <c r="I1583" s="673"/>
      <c r="J1583" s="508"/>
    </row>
    <row r="1584" spans="1:10">
      <c r="A1584" s="1317" t="s">
        <v>2277</v>
      </c>
      <c r="B1584" s="643" t="s">
        <v>1928</v>
      </c>
      <c r="C1584" s="1499"/>
      <c r="D1584" s="1231"/>
      <c r="E1584" s="1232"/>
      <c r="F1584" s="673"/>
      <c r="G1584" s="672"/>
      <c r="H1584" s="1125"/>
      <c r="I1584" s="673"/>
      <c r="J1584" s="508"/>
    </row>
    <row r="1585" spans="1:10">
      <c r="A1585" s="504"/>
      <c r="B1585" s="1230" t="s">
        <v>1929</v>
      </c>
      <c r="C1585" s="1499"/>
      <c r="D1585" s="1231" t="s">
        <v>1930</v>
      </c>
      <c r="E1585" s="1232"/>
      <c r="F1585" s="673"/>
      <c r="G1585" s="672"/>
      <c r="H1585" s="1125"/>
      <c r="I1585" s="673"/>
      <c r="J1585" s="508"/>
    </row>
    <row r="1586" spans="1:10">
      <c r="A1586" s="504"/>
      <c r="B1586" s="1230" t="s">
        <v>1931</v>
      </c>
      <c r="C1586" s="1499"/>
      <c r="D1586" s="1231" t="s">
        <v>1932</v>
      </c>
      <c r="E1586" s="1232"/>
      <c r="F1586" s="673"/>
      <c r="G1586" s="672"/>
      <c r="H1586" s="1125"/>
      <c r="I1586" s="673"/>
      <c r="J1586" s="508"/>
    </row>
    <row r="1587" spans="1:10">
      <c r="A1587" s="504"/>
      <c r="B1587" s="1230" t="s">
        <v>1933</v>
      </c>
      <c r="C1587" s="1499"/>
      <c r="D1587" s="1231" t="s">
        <v>1930</v>
      </c>
      <c r="E1587" s="1232"/>
      <c r="F1587" s="673"/>
      <c r="G1587" s="672"/>
      <c r="H1587" s="1125"/>
      <c r="I1587" s="673"/>
      <c r="J1587" s="508"/>
    </row>
    <row r="1588" spans="1:10">
      <c r="A1588" s="504"/>
      <c r="B1588" s="1230" t="s">
        <v>1934</v>
      </c>
      <c r="C1588" s="1499"/>
      <c r="D1588" s="1231" t="s">
        <v>1930</v>
      </c>
      <c r="E1588" s="1232"/>
      <c r="F1588" s="673"/>
      <c r="G1588" s="672"/>
      <c r="H1588" s="1125"/>
      <c r="I1588" s="673"/>
      <c r="J1588" s="508"/>
    </row>
    <row r="1589" spans="1:10">
      <c r="A1589" s="504"/>
      <c r="B1589" s="1230" t="s">
        <v>1935</v>
      </c>
      <c r="C1589" s="1499"/>
      <c r="D1589" s="1231" t="s">
        <v>1930</v>
      </c>
      <c r="E1589" s="1232"/>
      <c r="F1589" s="673"/>
      <c r="G1589" s="672"/>
      <c r="H1589" s="1125"/>
      <c r="I1589" s="673"/>
      <c r="J1589" s="508"/>
    </row>
    <row r="1590" spans="1:10">
      <c r="A1590" s="504"/>
      <c r="B1590" s="1230" t="s">
        <v>1936</v>
      </c>
      <c r="C1590" s="1499"/>
      <c r="D1590" s="1231" t="s">
        <v>15</v>
      </c>
      <c r="E1590" s="1232"/>
      <c r="F1590" s="673"/>
      <c r="G1590" s="672"/>
      <c r="H1590" s="1125"/>
      <c r="I1590" s="673"/>
      <c r="J1590" s="508"/>
    </row>
    <row r="1591" spans="1:10">
      <c r="A1591" s="504"/>
      <c r="B1591" s="1230" t="s">
        <v>1937</v>
      </c>
      <c r="C1591" s="1499"/>
      <c r="D1591" s="1231" t="s">
        <v>1938</v>
      </c>
      <c r="E1591" s="1232"/>
      <c r="F1591" s="673"/>
      <c r="G1591" s="672"/>
      <c r="H1591" s="1125"/>
      <c r="I1591" s="673"/>
      <c r="J1591" s="508"/>
    </row>
    <row r="1592" spans="1:10">
      <c r="A1592" s="496"/>
      <c r="B1592" s="1230" t="s">
        <v>1939</v>
      </c>
      <c r="C1592" s="1499"/>
      <c r="D1592" s="1231" t="s">
        <v>15</v>
      </c>
      <c r="E1592" s="1232"/>
      <c r="F1592" s="673"/>
      <c r="G1592" s="672"/>
      <c r="H1592" s="1125"/>
      <c r="I1592" s="673"/>
      <c r="J1592" s="508"/>
    </row>
    <row r="1593" spans="1:10">
      <c r="A1593" s="496"/>
      <c r="B1593" s="1230" t="s">
        <v>1918</v>
      </c>
      <c r="C1593" s="1499"/>
      <c r="D1593" s="1231" t="s">
        <v>44</v>
      </c>
      <c r="E1593" s="1232"/>
      <c r="F1593" s="673"/>
      <c r="G1593" s="672"/>
      <c r="H1593" s="1125"/>
      <c r="I1593" s="673"/>
      <c r="J1593" s="508"/>
    </row>
    <row r="1594" spans="1:10">
      <c r="A1594" s="496"/>
      <c r="B1594" s="1230" t="s">
        <v>1940</v>
      </c>
      <c r="C1594" s="1499"/>
      <c r="D1594" s="1231" t="s">
        <v>44</v>
      </c>
      <c r="E1594" s="1232"/>
      <c r="F1594" s="673"/>
      <c r="G1594" s="672"/>
      <c r="H1594" s="1125"/>
      <c r="I1594" s="673"/>
      <c r="J1594" s="508"/>
    </row>
    <row r="1595" spans="1:10">
      <c r="A1595" s="496"/>
      <c r="B1595" s="1230" t="s">
        <v>1941</v>
      </c>
      <c r="C1595" s="1499"/>
      <c r="D1595" s="1231" t="s">
        <v>15</v>
      </c>
      <c r="E1595" s="1232"/>
      <c r="F1595" s="673"/>
      <c r="G1595" s="672"/>
      <c r="H1595" s="1125"/>
      <c r="I1595" s="673"/>
      <c r="J1595" s="508"/>
    </row>
    <row r="1596" spans="1:10">
      <c r="A1596" s="496"/>
      <c r="B1596" s="1230" t="s">
        <v>1924</v>
      </c>
      <c r="C1596" s="1499"/>
      <c r="D1596" s="1231" t="s">
        <v>44</v>
      </c>
      <c r="E1596" s="1232"/>
      <c r="F1596" s="673"/>
      <c r="G1596" s="672"/>
      <c r="H1596" s="1125"/>
      <c r="I1596" s="673"/>
      <c r="J1596" s="508"/>
    </row>
    <row r="1597" spans="1:10">
      <c r="A1597" s="496"/>
      <c r="B1597" s="1230" t="s">
        <v>1942</v>
      </c>
      <c r="C1597" s="1499"/>
      <c r="D1597" s="1231" t="s">
        <v>1926</v>
      </c>
      <c r="E1597" s="1232"/>
      <c r="F1597" s="673"/>
      <c r="G1597" s="672"/>
      <c r="H1597" s="1125"/>
      <c r="I1597" s="673"/>
      <c r="J1597" s="508"/>
    </row>
    <row r="1598" spans="1:10">
      <c r="A1598" s="1316" t="s">
        <v>2278</v>
      </c>
      <c r="B1598" s="643" t="s">
        <v>1943</v>
      </c>
      <c r="C1598" s="1499"/>
      <c r="D1598" s="1231"/>
      <c r="E1598" s="1232"/>
      <c r="F1598" s="673"/>
      <c r="G1598" s="672"/>
      <c r="H1598" s="1125"/>
      <c r="I1598" s="673"/>
      <c r="J1598" s="508"/>
    </row>
    <row r="1599" spans="1:10">
      <c r="A1599" s="496"/>
      <c r="B1599" s="1230" t="s">
        <v>1944</v>
      </c>
      <c r="C1599" s="1499"/>
      <c r="D1599" s="1231" t="s">
        <v>15</v>
      </c>
      <c r="E1599" s="1232"/>
      <c r="F1599" s="673"/>
      <c r="G1599" s="672"/>
      <c r="H1599" s="1125"/>
      <c r="I1599" s="673"/>
      <c r="J1599" s="508"/>
    </row>
    <row r="1600" spans="1:10">
      <c r="A1600" s="496"/>
      <c r="B1600" s="1230" t="s">
        <v>1945</v>
      </c>
      <c r="C1600" s="1499"/>
      <c r="D1600" s="1231" t="s">
        <v>15</v>
      </c>
      <c r="E1600" s="1232"/>
      <c r="F1600" s="673"/>
      <c r="G1600" s="672"/>
      <c r="H1600" s="1125"/>
      <c r="I1600" s="673"/>
      <c r="J1600" s="508"/>
    </row>
    <row r="1601" spans="1:10">
      <c r="A1601" s="496"/>
      <c r="B1601" s="1230" t="s">
        <v>1946</v>
      </c>
      <c r="C1601" s="1499"/>
      <c r="D1601" s="1231" t="s">
        <v>27</v>
      </c>
      <c r="E1601" s="1232"/>
      <c r="F1601" s="673"/>
      <c r="G1601" s="672"/>
      <c r="H1601" s="1125"/>
      <c r="I1601" s="673"/>
      <c r="J1601" s="508"/>
    </row>
    <row r="1602" spans="1:10">
      <c r="A1602" s="496"/>
      <c r="B1602" s="1230" t="s">
        <v>1918</v>
      </c>
      <c r="C1602" s="1499"/>
      <c r="D1602" s="1231" t="s">
        <v>44</v>
      </c>
      <c r="E1602" s="1232"/>
      <c r="F1602" s="673"/>
      <c r="G1602" s="672"/>
      <c r="H1602" s="1125"/>
      <c r="I1602" s="673"/>
      <c r="J1602" s="508"/>
    </row>
    <row r="1603" spans="1:10">
      <c r="A1603" s="496"/>
      <c r="B1603" s="1230" t="s">
        <v>1947</v>
      </c>
      <c r="C1603" s="1499"/>
      <c r="D1603" s="1231" t="s">
        <v>15</v>
      </c>
      <c r="E1603" s="1232"/>
      <c r="F1603" s="673"/>
      <c r="G1603" s="672"/>
      <c r="H1603" s="1125"/>
      <c r="I1603" s="673"/>
      <c r="J1603" s="508"/>
    </row>
    <row r="1604" spans="1:10">
      <c r="A1604" s="496"/>
      <c r="B1604" s="1230" t="s">
        <v>1923</v>
      </c>
      <c r="C1604" s="1499"/>
      <c r="D1604" s="1231" t="s">
        <v>44</v>
      </c>
      <c r="E1604" s="1232"/>
      <c r="F1604" s="673"/>
      <c r="G1604" s="672"/>
      <c r="H1604" s="1125"/>
      <c r="I1604" s="673"/>
      <c r="J1604" s="508"/>
    </row>
    <row r="1605" spans="1:10">
      <c r="A1605" s="496"/>
      <c r="B1605" s="1230" t="s">
        <v>1924</v>
      </c>
      <c r="C1605" s="1499"/>
      <c r="D1605" s="1231" t="s">
        <v>44</v>
      </c>
      <c r="E1605" s="1232"/>
      <c r="F1605" s="673"/>
      <c r="G1605" s="672"/>
      <c r="H1605" s="1125"/>
      <c r="I1605" s="673"/>
      <c r="J1605" s="508"/>
    </row>
    <row r="1606" spans="1:10">
      <c r="A1606" s="496"/>
      <c r="B1606" s="1230" t="s">
        <v>1920</v>
      </c>
      <c r="C1606" s="1499"/>
      <c r="D1606" s="1231" t="s">
        <v>44</v>
      </c>
      <c r="E1606" s="1232"/>
      <c r="F1606" s="673"/>
      <c r="G1606" s="672"/>
      <c r="H1606" s="1125"/>
      <c r="I1606" s="673"/>
      <c r="J1606" s="508"/>
    </row>
    <row r="1607" spans="1:10">
      <c r="A1607" s="496"/>
      <c r="B1607" s="1230" t="s">
        <v>1948</v>
      </c>
      <c r="C1607" s="1499"/>
      <c r="D1607" s="1231" t="s">
        <v>1926</v>
      </c>
      <c r="E1607" s="1232"/>
      <c r="F1607" s="673"/>
      <c r="G1607" s="672"/>
      <c r="H1607" s="1125"/>
      <c r="I1607" s="673"/>
      <c r="J1607" s="508"/>
    </row>
    <row r="1608" spans="1:10">
      <c r="A1608" s="1316" t="s">
        <v>2279</v>
      </c>
      <c r="B1608" s="643" t="s">
        <v>1949</v>
      </c>
      <c r="C1608" s="1499"/>
      <c r="D1608" s="1231"/>
      <c r="E1608" s="1232"/>
      <c r="F1608" s="673"/>
      <c r="G1608" s="672"/>
      <c r="H1608" s="1125"/>
      <c r="I1608" s="673"/>
      <c r="J1608" s="508"/>
    </row>
    <row r="1609" spans="1:10">
      <c r="A1609" s="496"/>
      <c r="B1609" s="1230" t="s">
        <v>1929</v>
      </c>
      <c r="C1609" s="1499"/>
      <c r="D1609" s="1231" t="s">
        <v>1930</v>
      </c>
      <c r="E1609" s="1232"/>
      <c r="F1609" s="673"/>
      <c r="G1609" s="672"/>
      <c r="H1609" s="1125"/>
      <c r="I1609" s="673"/>
      <c r="J1609" s="508"/>
    </row>
    <row r="1610" spans="1:10">
      <c r="A1610" s="496"/>
      <c r="B1610" s="1230" t="s">
        <v>1931</v>
      </c>
      <c r="C1610" s="1499"/>
      <c r="D1610" s="1231" t="s">
        <v>1932</v>
      </c>
      <c r="E1610" s="1232"/>
      <c r="F1610" s="673"/>
      <c r="G1610" s="672"/>
      <c r="H1610" s="1125"/>
      <c r="I1610" s="673"/>
      <c r="J1610" s="508"/>
    </row>
    <row r="1611" spans="1:10">
      <c r="A1611" s="496"/>
      <c r="B1611" s="1230" t="s">
        <v>1933</v>
      </c>
      <c r="C1611" s="1499"/>
      <c r="D1611" s="1231" t="s">
        <v>1930</v>
      </c>
      <c r="E1611" s="1232"/>
      <c r="F1611" s="673"/>
      <c r="G1611" s="672"/>
      <c r="H1611" s="1125"/>
      <c r="I1611" s="673"/>
      <c r="J1611" s="508"/>
    </row>
    <row r="1612" spans="1:10">
      <c r="A1612" s="496"/>
      <c r="B1612" s="1230" t="s">
        <v>1950</v>
      </c>
      <c r="C1612" s="1499"/>
      <c r="D1612" s="1231" t="s">
        <v>27</v>
      </c>
      <c r="E1612" s="1232"/>
      <c r="F1612" s="673"/>
      <c r="G1612" s="672"/>
      <c r="H1612" s="1125"/>
      <c r="I1612" s="673"/>
      <c r="J1612" s="508"/>
    </row>
    <row r="1613" spans="1:10">
      <c r="A1613" s="496"/>
      <c r="B1613" s="1230" t="s">
        <v>1918</v>
      </c>
      <c r="C1613" s="1499"/>
      <c r="D1613" s="1231" t="s">
        <v>44</v>
      </c>
      <c r="E1613" s="1232"/>
      <c r="F1613" s="673"/>
      <c r="G1613" s="672"/>
      <c r="H1613" s="1125"/>
      <c r="I1613" s="673"/>
      <c r="J1613" s="508"/>
    </row>
    <row r="1614" spans="1:10">
      <c r="A1614" s="496"/>
      <c r="B1614" s="1230" t="s">
        <v>1951</v>
      </c>
      <c r="C1614" s="1499"/>
      <c r="D1614" s="1231" t="s">
        <v>44</v>
      </c>
      <c r="E1614" s="1232"/>
      <c r="F1614" s="673"/>
      <c r="G1614" s="672"/>
      <c r="H1614" s="1125"/>
      <c r="I1614" s="673"/>
      <c r="J1614" s="508"/>
    </row>
    <row r="1615" spans="1:10">
      <c r="A1615" s="496"/>
      <c r="B1615" s="1230" t="s">
        <v>1920</v>
      </c>
      <c r="C1615" s="1499"/>
      <c r="D1615" s="1231" t="s">
        <v>44</v>
      </c>
      <c r="E1615" s="1232"/>
      <c r="F1615" s="673"/>
      <c r="G1615" s="672"/>
      <c r="H1615" s="1125"/>
      <c r="I1615" s="673"/>
      <c r="J1615" s="508"/>
    </row>
    <row r="1616" spans="1:10">
      <c r="A1616" s="496"/>
      <c r="B1616" s="1230" t="s">
        <v>1923</v>
      </c>
      <c r="C1616" s="1499"/>
      <c r="D1616" s="1231" t="s">
        <v>44</v>
      </c>
      <c r="E1616" s="1232"/>
      <c r="F1616" s="673"/>
      <c r="G1616" s="672"/>
      <c r="H1616" s="1125"/>
      <c r="I1616" s="673"/>
      <c r="J1616" s="508"/>
    </row>
    <row r="1617" spans="1:10">
      <c r="A1617" s="496"/>
      <c r="B1617" s="1230" t="s">
        <v>1952</v>
      </c>
      <c r="C1617" s="1499"/>
      <c r="D1617" s="1231" t="s">
        <v>44</v>
      </c>
      <c r="E1617" s="1232"/>
      <c r="F1617" s="673"/>
      <c r="G1617" s="672"/>
      <c r="H1617" s="1125"/>
      <c r="I1617" s="673"/>
      <c r="J1617" s="508"/>
    </row>
    <row r="1618" spans="1:10">
      <c r="A1618" s="496"/>
      <c r="B1618" s="1230" t="s">
        <v>1953</v>
      </c>
      <c r="C1618" s="1499"/>
      <c r="D1618" s="1231" t="s">
        <v>44</v>
      </c>
      <c r="E1618" s="1232"/>
      <c r="F1618" s="673"/>
      <c r="G1618" s="672"/>
      <c r="H1618" s="1125"/>
      <c r="I1618" s="673"/>
      <c r="J1618" s="508"/>
    </row>
    <row r="1619" spans="1:10">
      <c r="A1619" s="496"/>
      <c r="B1619" s="1230" t="s">
        <v>1924</v>
      </c>
      <c r="C1619" s="1499"/>
      <c r="D1619" s="1231" t="s">
        <v>44</v>
      </c>
      <c r="E1619" s="1232"/>
      <c r="F1619" s="673"/>
      <c r="G1619" s="672"/>
      <c r="H1619" s="1125"/>
      <c r="I1619" s="673"/>
      <c r="J1619" s="508"/>
    </row>
    <row r="1620" spans="1:10">
      <c r="A1620" s="496"/>
      <c r="B1620" s="1230" t="s">
        <v>1954</v>
      </c>
      <c r="C1620" s="1499"/>
      <c r="D1620" s="1231" t="s">
        <v>15</v>
      </c>
      <c r="E1620" s="1232"/>
      <c r="F1620" s="673"/>
      <c r="G1620" s="672"/>
      <c r="H1620" s="1125"/>
      <c r="I1620" s="673"/>
      <c r="J1620" s="508"/>
    </row>
    <row r="1621" spans="1:10">
      <c r="A1621" s="496"/>
      <c r="B1621" s="1230" t="s">
        <v>1955</v>
      </c>
      <c r="C1621" s="1499"/>
      <c r="D1621" s="1231" t="s">
        <v>1926</v>
      </c>
      <c r="E1621" s="1232"/>
      <c r="F1621" s="673"/>
      <c r="G1621" s="672"/>
      <c r="H1621" s="1125"/>
      <c r="I1621" s="673"/>
      <c r="J1621" s="508"/>
    </row>
    <row r="1622" spans="1:10">
      <c r="A1622" s="1316" t="s">
        <v>2280</v>
      </c>
      <c r="B1622" s="643" t="s">
        <v>1956</v>
      </c>
      <c r="C1622" s="1499"/>
      <c r="D1622" s="1231"/>
      <c r="E1622" s="1232"/>
      <c r="F1622" s="673"/>
      <c r="G1622" s="672"/>
      <c r="H1622" s="1125"/>
      <c r="I1622" s="673"/>
      <c r="J1622" s="508"/>
    </row>
    <row r="1623" spans="1:10">
      <c r="A1623" s="496"/>
      <c r="B1623" s="1230" t="s">
        <v>1918</v>
      </c>
      <c r="C1623" s="1499"/>
      <c r="D1623" s="1231" t="s">
        <v>44</v>
      </c>
      <c r="E1623" s="1232"/>
      <c r="F1623" s="673"/>
      <c r="G1623" s="672"/>
      <c r="H1623" s="1125"/>
      <c r="I1623" s="673"/>
      <c r="J1623" s="508"/>
    </row>
    <row r="1624" spans="1:10">
      <c r="A1624" s="496"/>
      <c r="B1624" s="1230" t="s">
        <v>1957</v>
      </c>
      <c r="C1624" s="1499"/>
      <c r="D1624" s="1231" t="s">
        <v>44</v>
      </c>
      <c r="E1624" s="1232"/>
      <c r="F1624" s="673"/>
      <c r="G1624" s="672"/>
      <c r="H1624" s="1125"/>
      <c r="I1624" s="673"/>
      <c r="J1624" s="508"/>
    </row>
    <row r="1625" spans="1:10">
      <c r="A1625" s="496"/>
      <c r="B1625" s="1230" t="s">
        <v>1924</v>
      </c>
      <c r="C1625" s="1499"/>
      <c r="D1625" s="1231" t="s">
        <v>44</v>
      </c>
      <c r="E1625" s="1232"/>
      <c r="F1625" s="673"/>
      <c r="G1625" s="672"/>
      <c r="H1625" s="1125"/>
      <c r="I1625" s="673"/>
      <c r="J1625" s="508"/>
    </row>
    <row r="1626" spans="1:10">
      <c r="A1626" s="496"/>
      <c r="B1626" s="1230" t="s">
        <v>1958</v>
      </c>
      <c r="C1626" s="1499"/>
      <c r="D1626" s="1231" t="s">
        <v>44</v>
      </c>
      <c r="E1626" s="1232"/>
      <c r="F1626" s="673"/>
      <c r="G1626" s="672"/>
      <c r="H1626" s="1125"/>
      <c r="I1626" s="673"/>
      <c r="J1626" s="508"/>
    </row>
    <row r="1627" spans="1:10">
      <c r="A1627" s="496"/>
      <c r="B1627" s="1230" t="s">
        <v>1959</v>
      </c>
      <c r="C1627" s="1499"/>
      <c r="D1627" s="1231" t="s">
        <v>15</v>
      </c>
      <c r="E1627" s="1232"/>
      <c r="F1627" s="673"/>
      <c r="G1627" s="672"/>
      <c r="H1627" s="1125"/>
      <c r="I1627" s="673"/>
      <c r="J1627" s="508"/>
    </row>
    <row r="1628" spans="1:10">
      <c r="A1628" s="496"/>
      <c r="B1628" s="1230" t="s">
        <v>1960</v>
      </c>
      <c r="C1628" s="1499"/>
      <c r="D1628" s="1231" t="s">
        <v>1926</v>
      </c>
      <c r="E1628" s="1232"/>
      <c r="F1628" s="673"/>
      <c r="G1628" s="672"/>
      <c r="H1628" s="1125"/>
      <c r="I1628" s="673"/>
      <c r="J1628" s="508"/>
    </row>
    <row r="1629" spans="1:10">
      <c r="A1629" s="1316" t="s">
        <v>2281</v>
      </c>
      <c r="B1629" s="643" t="s">
        <v>1961</v>
      </c>
      <c r="C1629" s="1499"/>
      <c r="D1629" s="1231"/>
      <c r="E1629" s="1232"/>
      <c r="F1629" s="673"/>
      <c r="G1629" s="672"/>
      <c r="H1629" s="1125"/>
      <c r="I1629" s="673"/>
      <c r="J1629" s="508"/>
    </row>
    <row r="1630" spans="1:10">
      <c r="A1630" s="496"/>
      <c r="B1630" s="1230" t="s">
        <v>1962</v>
      </c>
      <c r="C1630" s="1499"/>
      <c r="D1630" s="1231" t="s">
        <v>44</v>
      </c>
      <c r="E1630" s="1232"/>
      <c r="F1630" s="673"/>
      <c r="G1630" s="672"/>
      <c r="H1630" s="1125"/>
      <c r="I1630" s="673"/>
      <c r="J1630" s="508"/>
    </row>
    <row r="1631" spans="1:10">
      <c r="A1631" s="496"/>
      <c r="B1631" s="1230" t="s">
        <v>1963</v>
      </c>
      <c r="C1631" s="1499"/>
      <c r="D1631" s="1231" t="s">
        <v>44</v>
      </c>
      <c r="E1631" s="1232"/>
      <c r="F1631" s="673"/>
      <c r="G1631" s="672"/>
      <c r="H1631" s="1125"/>
      <c r="I1631" s="673"/>
      <c r="J1631" s="508"/>
    </row>
    <row r="1632" spans="1:10">
      <c r="A1632" s="496"/>
      <c r="B1632" s="1230" t="s">
        <v>1920</v>
      </c>
      <c r="C1632" s="1499"/>
      <c r="D1632" s="1231" t="s">
        <v>44</v>
      </c>
      <c r="E1632" s="1232"/>
      <c r="F1632" s="673"/>
      <c r="G1632" s="672"/>
      <c r="H1632" s="1125"/>
      <c r="I1632" s="673"/>
      <c r="J1632" s="508"/>
    </row>
    <row r="1633" spans="1:10">
      <c r="A1633" s="496"/>
      <c r="B1633" s="1230" t="s">
        <v>1924</v>
      </c>
      <c r="C1633" s="1499"/>
      <c r="D1633" s="1231" t="s">
        <v>44</v>
      </c>
      <c r="E1633" s="1232"/>
      <c r="F1633" s="673"/>
      <c r="G1633" s="672"/>
      <c r="H1633" s="1125"/>
      <c r="I1633" s="673"/>
      <c r="J1633" s="508"/>
    </row>
    <row r="1634" spans="1:10">
      <c r="A1634" s="496"/>
      <c r="B1634" s="1230" t="s">
        <v>1940</v>
      </c>
      <c r="C1634" s="1499"/>
      <c r="D1634" s="1231" t="s">
        <v>44</v>
      </c>
      <c r="E1634" s="1232"/>
      <c r="F1634" s="673"/>
      <c r="G1634" s="672"/>
      <c r="H1634" s="1125"/>
      <c r="I1634" s="673"/>
      <c r="J1634" s="508"/>
    </row>
    <row r="1635" spans="1:10">
      <c r="A1635" s="496"/>
      <c r="B1635" s="1230" t="s">
        <v>1918</v>
      </c>
      <c r="C1635" s="1499"/>
      <c r="D1635" s="1231" t="s">
        <v>44</v>
      </c>
      <c r="E1635" s="1232"/>
      <c r="F1635" s="673"/>
      <c r="G1635" s="672"/>
      <c r="H1635" s="1125"/>
      <c r="I1635" s="673"/>
      <c r="J1635" s="508"/>
    </row>
    <row r="1636" spans="1:10">
      <c r="A1636" s="496"/>
      <c r="B1636" s="1230" t="s">
        <v>1923</v>
      </c>
      <c r="C1636" s="1499"/>
      <c r="D1636" s="1231" t="s">
        <v>44</v>
      </c>
      <c r="E1636" s="1232"/>
      <c r="F1636" s="673"/>
      <c r="G1636" s="672"/>
      <c r="H1636" s="1125"/>
      <c r="I1636" s="673"/>
      <c r="J1636" s="508"/>
    </row>
    <row r="1637" spans="1:10">
      <c r="A1637" s="496"/>
      <c r="B1637" s="1230" t="s">
        <v>1964</v>
      </c>
      <c r="C1637" s="1499"/>
      <c r="D1637" s="1231" t="s">
        <v>1926</v>
      </c>
      <c r="E1637" s="1232"/>
      <c r="F1637" s="673"/>
      <c r="G1637" s="672"/>
      <c r="H1637" s="1125"/>
      <c r="I1637" s="673"/>
      <c r="J1637" s="508"/>
    </row>
    <row r="1638" spans="1:10">
      <c r="A1638" s="1316" t="s">
        <v>2282</v>
      </c>
      <c r="B1638" s="643" t="s">
        <v>1965</v>
      </c>
      <c r="C1638" s="1499"/>
      <c r="D1638" s="1231"/>
      <c r="E1638" s="1232"/>
      <c r="F1638" s="673"/>
      <c r="G1638" s="672"/>
      <c r="H1638" s="1125"/>
      <c r="I1638" s="673"/>
      <c r="J1638" s="508"/>
    </row>
    <row r="1639" spans="1:10">
      <c r="A1639" s="496"/>
      <c r="B1639" s="1230" t="s">
        <v>1929</v>
      </c>
      <c r="C1639" s="1499"/>
      <c r="D1639" s="1231" t="s">
        <v>1930</v>
      </c>
      <c r="E1639" s="1232"/>
      <c r="F1639" s="673"/>
      <c r="G1639" s="672"/>
      <c r="H1639" s="1125"/>
      <c r="I1639" s="673"/>
      <c r="J1639" s="508"/>
    </row>
    <row r="1640" spans="1:10">
      <c r="A1640" s="496"/>
      <c r="B1640" s="1230" t="s">
        <v>1931</v>
      </c>
      <c r="C1640" s="1499"/>
      <c r="D1640" s="1231" t="s">
        <v>1932</v>
      </c>
      <c r="E1640" s="1232"/>
      <c r="F1640" s="673"/>
      <c r="G1640" s="672"/>
      <c r="H1640" s="1125"/>
      <c r="I1640" s="673"/>
      <c r="J1640" s="508"/>
    </row>
    <row r="1641" spans="1:10">
      <c r="A1641" s="496"/>
      <c r="B1641" s="1230" t="s">
        <v>1933</v>
      </c>
      <c r="C1641" s="1499"/>
      <c r="D1641" s="1231" t="s">
        <v>1930</v>
      </c>
      <c r="E1641" s="1232"/>
      <c r="F1641" s="673"/>
      <c r="G1641" s="672"/>
      <c r="H1641" s="1125"/>
      <c r="I1641" s="673"/>
      <c r="J1641" s="508"/>
    </row>
    <row r="1642" spans="1:10">
      <c r="A1642" s="496"/>
      <c r="B1642" s="1230" t="s">
        <v>1966</v>
      </c>
      <c r="C1642" s="1499"/>
      <c r="D1642" s="1231" t="s">
        <v>15</v>
      </c>
      <c r="E1642" s="1232"/>
      <c r="F1642" s="673"/>
      <c r="G1642" s="672"/>
      <c r="H1642" s="1125"/>
      <c r="I1642" s="673"/>
      <c r="J1642" s="508"/>
    </row>
    <row r="1643" spans="1:10">
      <c r="A1643" s="496"/>
      <c r="B1643" s="1230" t="s">
        <v>1967</v>
      </c>
      <c r="C1643" s="1499"/>
      <c r="D1643" s="1231" t="s">
        <v>27</v>
      </c>
      <c r="E1643" s="1232"/>
      <c r="F1643" s="673"/>
      <c r="G1643" s="672"/>
      <c r="H1643" s="1125"/>
      <c r="I1643" s="673"/>
      <c r="J1643" s="508"/>
    </row>
    <row r="1644" spans="1:10">
      <c r="A1644" s="496"/>
      <c r="B1644" s="1230" t="s">
        <v>1968</v>
      </c>
      <c r="C1644" s="1499"/>
      <c r="D1644" s="1231" t="s">
        <v>1930</v>
      </c>
      <c r="E1644" s="1232"/>
      <c r="F1644" s="673"/>
      <c r="G1644" s="672"/>
      <c r="H1644" s="1125"/>
      <c r="I1644" s="673"/>
      <c r="J1644" s="508"/>
    </row>
    <row r="1645" spans="1:10">
      <c r="A1645" s="496"/>
      <c r="B1645" s="1230" t="s">
        <v>1969</v>
      </c>
      <c r="C1645" s="1499"/>
      <c r="D1645" s="1231" t="s">
        <v>27</v>
      </c>
      <c r="E1645" s="1232"/>
      <c r="F1645" s="673"/>
      <c r="G1645" s="672"/>
      <c r="H1645" s="1125"/>
      <c r="I1645" s="673"/>
      <c r="J1645" s="508"/>
    </row>
    <row r="1646" spans="1:10">
      <c r="A1646" s="496"/>
      <c r="B1646" s="1230" t="s">
        <v>1970</v>
      </c>
      <c r="C1646" s="1499"/>
      <c r="D1646" s="1231" t="s">
        <v>44</v>
      </c>
      <c r="E1646" s="1232"/>
      <c r="F1646" s="673"/>
      <c r="G1646" s="672"/>
      <c r="H1646" s="1125"/>
      <c r="I1646" s="673"/>
      <c r="J1646" s="508"/>
    </row>
    <row r="1647" spans="1:10">
      <c r="A1647" s="496"/>
      <c r="B1647" s="1230" t="s">
        <v>1918</v>
      </c>
      <c r="C1647" s="1499"/>
      <c r="D1647" s="1231" t="s">
        <v>44</v>
      </c>
      <c r="E1647" s="1232"/>
      <c r="F1647" s="673"/>
      <c r="G1647" s="672"/>
      <c r="H1647" s="1125"/>
      <c r="I1647" s="673"/>
      <c r="J1647" s="508"/>
    </row>
    <row r="1648" spans="1:10">
      <c r="A1648" s="496"/>
      <c r="B1648" s="1230" t="s">
        <v>1971</v>
      </c>
      <c r="C1648" s="1499"/>
      <c r="D1648" s="1231" t="s">
        <v>15</v>
      </c>
      <c r="E1648" s="1232"/>
      <c r="F1648" s="673"/>
      <c r="G1648" s="672"/>
      <c r="H1648" s="1125"/>
      <c r="I1648" s="673"/>
      <c r="J1648" s="508"/>
    </row>
    <row r="1649" spans="1:10">
      <c r="A1649" s="496"/>
      <c r="B1649" s="1230" t="s">
        <v>1924</v>
      </c>
      <c r="C1649" s="1499"/>
      <c r="D1649" s="1231" t="s">
        <v>44</v>
      </c>
      <c r="E1649" s="1232"/>
      <c r="F1649" s="673"/>
      <c r="G1649" s="672"/>
      <c r="H1649" s="1125"/>
      <c r="I1649" s="673"/>
      <c r="J1649" s="508"/>
    </row>
    <row r="1650" spans="1:10">
      <c r="A1650" s="496"/>
      <c r="B1650" s="1230" t="s">
        <v>1972</v>
      </c>
      <c r="C1650" s="1499"/>
      <c r="D1650" s="1231" t="s">
        <v>15</v>
      </c>
      <c r="E1650" s="1232"/>
      <c r="F1650" s="673"/>
      <c r="G1650" s="672"/>
      <c r="H1650" s="1125"/>
      <c r="I1650" s="673"/>
      <c r="J1650" s="508"/>
    </row>
    <row r="1651" spans="1:10">
      <c r="A1651" s="496"/>
      <c r="B1651" s="1230" t="s">
        <v>1973</v>
      </c>
      <c r="C1651" s="1499"/>
      <c r="D1651" s="1231" t="s">
        <v>1926</v>
      </c>
      <c r="E1651" s="1232"/>
      <c r="F1651" s="673"/>
      <c r="G1651" s="672"/>
      <c r="H1651" s="1125"/>
      <c r="I1651" s="673"/>
      <c r="J1651" s="508"/>
    </row>
    <row r="1652" spans="1:10">
      <c r="A1652" s="1316" t="s">
        <v>2283</v>
      </c>
      <c r="B1652" s="643" t="s">
        <v>1974</v>
      </c>
      <c r="C1652" s="1499"/>
      <c r="D1652" s="1231"/>
      <c r="E1652" s="1232"/>
      <c r="F1652" s="673"/>
      <c r="G1652" s="672"/>
      <c r="H1652" s="1125"/>
      <c r="I1652" s="673"/>
      <c r="J1652" s="508"/>
    </row>
    <row r="1653" spans="1:10">
      <c r="A1653" s="496"/>
      <c r="B1653" s="1230" t="s">
        <v>1975</v>
      </c>
      <c r="C1653" s="1499"/>
      <c r="D1653" s="1231" t="s">
        <v>27</v>
      </c>
      <c r="E1653" s="1232"/>
      <c r="F1653" s="673"/>
      <c r="G1653" s="672"/>
      <c r="H1653" s="1125"/>
      <c r="I1653" s="673"/>
      <c r="J1653" s="508"/>
    </row>
    <row r="1654" spans="1:10">
      <c r="A1654" s="496"/>
      <c r="B1654" s="1230" t="s">
        <v>1976</v>
      </c>
      <c r="C1654" s="1499"/>
      <c r="D1654" s="1231" t="s">
        <v>15</v>
      </c>
      <c r="E1654" s="1232"/>
      <c r="F1654" s="673"/>
      <c r="G1654" s="672"/>
      <c r="H1654" s="1125"/>
      <c r="I1654" s="673"/>
      <c r="J1654" s="508"/>
    </row>
    <row r="1655" spans="1:10">
      <c r="A1655" s="496"/>
      <c r="B1655" s="1230" t="s">
        <v>1977</v>
      </c>
      <c r="C1655" s="1499"/>
      <c r="D1655" s="1231" t="s">
        <v>15</v>
      </c>
      <c r="E1655" s="1232"/>
      <c r="F1655" s="673"/>
      <c r="G1655" s="672"/>
      <c r="H1655" s="1125"/>
      <c r="I1655" s="673"/>
      <c r="J1655" s="508"/>
    </row>
    <row r="1656" spans="1:10">
      <c r="A1656" s="496"/>
      <c r="B1656" s="1230" t="s">
        <v>1918</v>
      </c>
      <c r="C1656" s="1499"/>
      <c r="D1656" s="1231" t="s">
        <v>44</v>
      </c>
      <c r="E1656" s="1232"/>
      <c r="F1656" s="673"/>
      <c r="G1656" s="672"/>
      <c r="H1656" s="1125"/>
      <c r="I1656" s="673"/>
      <c r="J1656" s="508"/>
    </row>
    <row r="1657" spans="1:10">
      <c r="A1657" s="496"/>
      <c r="B1657" s="1230" t="s">
        <v>1978</v>
      </c>
      <c r="C1657" s="1499"/>
      <c r="D1657" s="1231" t="s">
        <v>1979</v>
      </c>
      <c r="E1657" s="1232"/>
      <c r="F1657" s="673"/>
      <c r="G1657" s="672"/>
      <c r="H1657" s="1125"/>
      <c r="I1657" s="673"/>
      <c r="J1657" s="508"/>
    </row>
    <row r="1658" spans="1:10">
      <c r="A1658" s="496"/>
      <c r="B1658" s="1230" t="s">
        <v>1924</v>
      </c>
      <c r="C1658" s="1499"/>
      <c r="D1658" s="1231" t="s">
        <v>44</v>
      </c>
      <c r="E1658" s="1232"/>
      <c r="F1658" s="673"/>
      <c r="G1658" s="672"/>
      <c r="H1658" s="1125"/>
      <c r="I1658" s="673"/>
      <c r="J1658" s="508"/>
    </row>
    <row r="1659" spans="1:10">
      <c r="A1659" s="496"/>
      <c r="B1659" s="1230" t="s">
        <v>1980</v>
      </c>
      <c r="C1659" s="1499"/>
      <c r="D1659" s="1231" t="s">
        <v>44</v>
      </c>
      <c r="E1659" s="1232"/>
      <c r="F1659" s="673"/>
      <c r="G1659" s="672"/>
      <c r="H1659" s="1125"/>
      <c r="I1659" s="673"/>
      <c r="J1659" s="508"/>
    </row>
    <row r="1660" spans="1:10">
      <c r="A1660" s="496"/>
      <c r="B1660" s="1230" t="s">
        <v>1981</v>
      </c>
      <c r="C1660" s="1499"/>
      <c r="D1660" s="1231" t="s">
        <v>15</v>
      </c>
      <c r="E1660" s="1232"/>
      <c r="F1660" s="673"/>
      <c r="G1660" s="672"/>
      <c r="H1660" s="1125"/>
      <c r="I1660" s="673"/>
      <c r="J1660" s="508"/>
    </row>
    <row r="1661" spans="1:10">
      <c r="A1661" s="496"/>
      <c r="B1661" s="1230" t="s">
        <v>1923</v>
      </c>
      <c r="C1661" s="1499"/>
      <c r="D1661" s="1231" t="s">
        <v>44</v>
      </c>
      <c r="E1661" s="1232"/>
      <c r="F1661" s="673"/>
      <c r="G1661" s="672"/>
      <c r="H1661" s="1125"/>
      <c r="I1661" s="673"/>
      <c r="J1661" s="508"/>
    </row>
    <row r="1662" spans="1:10">
      <c r="A1662" s="496"/>
      <c r="B1662" s="1230" t="s">
        <v>1982</v>
      </c>
      <c r="C1662" s="1499"/>
      <c r="D1662" s="1231" t="s">
        <v>1926</v>
      </c>
      <c r="E1662" s="1232"/>
      <c r="F1662" s="673"/>
      <c r="G1662" s="672"/>
      <c r="H1662" s="1125"/>
      <c r="I1662" s="673"/>
      <c r="J1662" s="508"/>
    </row>
    <row r="1663" spans="1:10">
      <c r="A1663" s="1316" t="s">
        <v>2284</v>
      </c>
      <c r="B1663" s="643" t="s">
        <v>1983</v>
      </c>
      <c r="C1663" s="1499"/>
      <c r="D1663" s="1231"/>
      <c r="E1663" s="1232"/>
      <c r="F1663" s="673"/>
      <c r="G1663" s="672"/>
      <c r="H1663" s="1125"/>
      <c r="I1663" s="673"/>
      <c r="J1663" s="508"/>
    </row>
    <row r="1664" spans="1:10">
      <c r="A1664" s="496"/>
      <c r="B1664" s="1230" t="s">
        <v>1918</v>
      </c>
      <c r="C1664" s="1499"/>
      <c r="D1664" s="1231" t="s">
        <v>44</v>
      </c>
      <c r="E1664" s="1232"/>
      <c r="F1664" s="673"/>
      <c r="G1664" s="672"/>
      <c r="H1664" s="1125"/>
      <c r="I1664" s="673"/>
      <c r="J1664" s="508"/>
    </row>
    <row r="1665" spans="1:10">
      <c r="A1665" s="496"/>
      <c r="B1665" s="1230" t="s">
        <v>1984</v>
      </c>
      <c r="C1665" s="1499"/>
      <c r="D1665" s="1231" t="s">
        <v>1979</v>
      </c>
      <c r="E1665" s="1232"/>
      <c r="F1665" s="673"/>
      <c r="G1665" s="672"/>
      <c r="H1665" s="1125"/>
      <c r="I1665" s="673"/>
      <c r="J1665" s="508"/>
    </row>
    <row r="1666" spans="1:10">
      <c r="A1666" s="496"/>
      <c r="B1666" s="1230" t="s">
        <v>1920</v>
      </c>
      <c r="C1666" s="1499"/>
      <c r="D1666" s="1231" t="s">
        <v>44</v>
      </c>
      <c r="E1666" s="1232"/>
      <c r="F1666" s="673"/>
      <c r="G1666" s="672"/>
      <c r="H1666" s="1125"/>
      <c r="I1666" s="673"/>
      <c r="J1666" s="508"/>
    </row>
    <row r="1667" spans="1:10">
      <c r="A1667" s="496"/>
      <c r="B1667" s="1230" t="s">
        <v>1924</v>
      </c>
      <c r="C1667" s="1499"/>
      <c r="D1667" s="1231" t="s">
        <v>44</v>
      </c>
      <c r="E1667" s="1232"/>
      <c r="F1667" s="673"/>
      <c r="G1667" s="672"/>
      <c r="H1667" s="1125"/>
      <c r="I1667" s="673"/>
      <c r="J1667" s="508"/>
    </row>
    <row r="1668" spans="1:10">
      <c r="A1668" s="496"/>
      <c r="B1668" s="1230" t="s">
        <v>1985</v>
      </c>
      <c r="C1668" s="1499"/>
      <c r="D1668" s="1231" t="s">
        <v>44</v>
      </c>
      <c r="E1668" s="1232"/>
      <c r="F1668" s="673"/>
      <c r="G1668" s="672"/>
      <c r="H1668" s="1125"/>
      <c r="I1668" s="673"/>
      <c r="J1668" s="508"/>
    </row>
    <row r="1669" spans="1:10">
      <c r="A1669" s="496"/>
      <c r="B1669" s="1230" t="s">
        <v>1986</v>
      </c>
      <c r="C1669" s="1499"/>
      <c r="D1669" s="1231" t="s">
        <v>15</v>
      </c>
      <c r="E1669" s="1232"/>
      <c r="F1669" s="673"/>
      <c r="G1669" s="672"/>
      <c r="H1669" s="1125"/>
      <c r="I1669" s="673"/>
      <c r="J1669" s="508"/>
    </row>
    <row r="1670" spans="1:10">
      <c r="A1670" s="496"/>
      <c r="B1670" s="1230" t="s">
        <v>1923</v>
      </c>
      <c r="C1670" s="1499"/>
      <c r="D1670" s="1231" t="s">
        <v>44</v>
      </c>
      <c r="E1670" s="1232"/>
      <c r="F1670" s="673"/>
      <c r="G1670" s="672"/>
      <c r="H1670" s="1125"/>
      <c r="I1670" s="673"/>
      <c r="J1670" s="508"/>
    </row>
    <row r="1671" spans="1:10">
      <c r="A1671" s="496"/>
      <c r="B1671" s="1230" t="s">
        <v>1987</v>
      </c>
      <c r="C1671" s="1499"/>
      <c r="D1671" s="1231" t="s">
        <v>1926</v>
      </c>
      <c r="E1671" s="1232"/>
      <c r="F1671" s="673"/>
      <c r="G1671" s="672"/>
      <c r="H1671" s="1125"/>
      <c r="I1671" s="673"/>
      <c r="J1671" s="508"/>
    </row>
    <row r="1672" spans="1:10">
      <c r="A1672" s="1316" t="s">
        <v>2285</v>
      </c>
      <c r="B1672" s="643" t="s">
        <v>1988</v>
      </c>
      <c r="C1672" s="1499"/>
      <c r="D1672" s="1231"/>
      <c r="E1672" s="1232"/>
      <c r="F1672" s="673"/>
      <c r="G1672" s="672"/>
      <c r="H1672" s="1125"/>
      <c r="I1672" s="673"/>
      <c r="J1672" s="508"/>
    </row>
    <row r="1673" spans="1:10">
      <c r="A1673" s="496"/>
      <c r="B1673" s="1230" t="s">
        <v>1989</v>
      </c>
      <c r="C1673" s="1499"/>
      <c r="D1673" s="1231" t="s">
        <v>1926</v>
      </c>
      <c r="E1673" s="1232"/>
      <c r="F1673" s="673"/>
      <c r="G1673" s="672"/>
      <c r="H1673" s="1125"/>
      <c r="I1673" s="673"/>
      <c r="J1673" s="508"/>
    </row>
    <row r="1674" spans="1:10">
      <c r="A1674" s="496"/>
      <c r="B1674" s="1230" t="s">
        <v>1990</v>
      </c>
      <c r="C1674" s="1499"/>
      <c r="D1674" s="1231" t="s">
        <v>1926</v>
      </c>
      <c r="E1674" s="1232"/>
      <c r="F1674" s="673"/>
      <c r="G1674" s="672"/>
      <c r="H1674" s="1125"/>
      <c r="I1674" s="673"/>
      <c r="J1674" s="508"/>
    </row>
    <row r="1675" spans="1:10">
      <c r="A1675" s="1316" t="s">
        <v>2286</v>
      </c>
      <c r="B1675" s="643" t="s">
        <v>1991</v>
      </c>
      <c r="C1675" s="1499"/>
      <c r="D1675" s="1231"/>
      <c r="E1675" s="1232"/>
      <c r="F1675" s="673"/>
      <c r="G1675" s="672"/>
      <c r="H1675" s="1125"/>
      <c r="I1675" s="673"/>
      <c r="J1675" s="508"/>
    </row>
    <row r="1676" spans="1:10">
      <c r="A1676" s="496"/>
      <c r="B1676" s="1230" t="s">
        <v>1992</v>
      </c>
      <c r="C1676" s="1499"/>
      <c r="D1676" s="1231" t="s">
        <v>1926</v>
      </c>
      <c r="E1676" s="1232"/>
      <c r="F1676" s="673"/>
      <c r="G1676" s="672"/>
      <c r="H1676" s="1125"/>
      <c r="I1676" s="673"/>
      <c r="J1676" s="508"/>
    </row>
    <row r="1677" spans="1:10">
      <c r="A1677" s="504">
        <v>8.6999999999999993</v>
      </c>
      <c r="B1677" s="1425" t="s">
        <v>2537</v>
      </c>
      <c r="C1677" s="1499"/>
      <c r="D1677" s="1231"/>
      <c r="E1677" s="1232"/>
      <c r="F1677" s="673"/>
      <c r="G1677" s="672"/>
      <c r="H1677" s="1125"/>
      <c r="I1677" s="673"/>
      <c r="J1677" s="508"/>
    </row>
    <row r="1678" spans="1:10">
      <c r="A1678" s="1316" t="s">
        <v>2287</v>
      </c>
      <c r="B1678" s="643" t="s">
        <v>1993</v>
      </c>
      <c r="C1678" s="1499"/>
      <c r="D1678" s="1231"/>
      <c r="E1678" s="1232"/>
      <c r="F1678" s="673"/>
      <c r="G1678" s="672"/>
      <c r="H1678" s="1125"/>
      <c r="I1678" s="673"/>
      <c r="J1678" s="508"/>
    </row>
    <row r="1679" spans="1:10">
      <c r="A1679" s="496"/>
      <c r="B1679" s="1230" t="s">
        <v>1994</v>
      </c>
      <c r="C1679" s="1499"/>
      <c r="D1679" s="1231" t="s">
        <v>27</v>
      </c>
      <c r="E1679" s="1232"/>
      <c r="F1679" s="673"/>
      <c r="G1679" s="672"/>
      <c r="H1679" s="1125"/>
      <c r="I1679" s="673"/>
      <c r="J1679" s="508"/>
    </row>
    <row r="1680" spans="1:10">
      <c r="A1680" s="496"/>
      <c r="B1680" s="1230" t="s">
        <v>1995</v>
      </c>
      <c r="C1680" s="1499"/>
      <c r="D1680" s="1231" t="s">
        <v>44</v>
      </c>
      <c r="E1680" s="1232"/>
      <c r="F1680" s="673"/>
      <c r="G1680" s="672"/>
      <c r="H1680" s="1125"/>
      <c r="I1680" s="673"/>
      <c r="J1680" s="508"/>
    </row>
    <row r="1681" spans="1:10">
      <c r="A1681" s="496"/>
      <c r="B1681" s="1230" t="s">
        <v>1984</v>
      </c>
      <c r="C1681" s="1499"/>
      <c r="D1681" s="1231" t="s">
        <v>1979</v>
      </c>
      <c r="E1681" s="1232"/>
      <c r="F1681" s="673"/>
      <c r="G1681" s="672"/>
      <c r="H1681" s="1125"/>
      <c r="I1681" s="673"/>
      <c r="J1681" s="508"/>
    </row>
    <row r="1682" spans="1:10">
      <c r="A1682" s="496"/>
      <c r="B1682" s="1230" t="s">
        <v>1996</v>
      </c>
      <c r="C1682" s="1499"/>
      <c r="D1682" s="1231" t="s">
        <v>44</v>
      </c>
      <c r="E1682" s="1232"/>
      <c r="F1682" s="673"/>
      <c r="G1682" s="672"/>
      <c r="H1682" s="1125"/>
      <c r="I1682" s="673"/>
      <c r="J1682" s="508"/>
    </row>
    <row r="1683" spans="1:10">
      <c r="A1683" s="496"/>
      <c r="B1683" s="1230" t="s">
        <v>1918</v>
      </c>
      <c r="C1683" s="1499"/>
      <c r="D1683" s="1231" t="s">
        <v>44</v>
      </c>
      <c r="E1683" s="1232"/>
      <c r="F1683" s="673"/>
      <c r="G1683" s="672"/>
      <c r="H1683" s="1125"/>
      <c r="I1683" s="673"/>
      <c r="J1683" s="508"/>
    </row>
    <row r="1684" spans="1:10">
      <c r="A1684" s="496"/>
      <c r="B1684" s="1230" t="s">
        <v>1922</v>
      </c>
      <c r="C1684" s="1499"/>
      <c r="D1684" s="1231"/>
      <c r="E1684" s="1232"/>
      <c r="F1684" s="673"/>
      <c r="G1684" s="672"/>
      <c r="H1684" s="1125"/>
      <c r="I1684" s="673"/>
      <c r="J1684" s="508"/>
    </row>
    <row r="1685" spans="1:10" ht="48">
      <c r="A1685" s="496"/>
      <c r="B1685" s="1235" t="s">
        <v>1997</v>
      </c>
      <c r="C1685" s="1500"/>
      <c r="D1685" s="1236" t="s">
        <v>15</v>
      </c>
      <c r="E1685" s="1433"/>
      <c r="F1685" s="1237"/>
      <c r="G1685" s="669"/>
      <c r="H1685" s="1238"/>
      <c r="I1685" s="1237"/>
      <c r="J1685" s="508"/>
    </row>
    <row r="1686" spans="1:10" ht="48">
      <c r="A1686" s="496"/>
      <c r="B1686" s="1235" t="s">
        <v>1998</v>
      </c>
      <c r="C1686" s="1500"/>
      <c r="D1686" s="1236" t="s">
        <v>15</v>
      </c>
      <c r="E1686" s="1433"/>
      <c r="F1686" s="1237"/>
      <c r="G1686" s="669"/>
      <c r="H1686" s="1238"/>
      <c r="I1686" s="1237"/>
      <c r="J1686" s="508"/>
    </row>
    <row r="1687" spans="1:10">
      <c r="A1687" s="496"/>
      <c r="B1687" s="1230" t="s">
        <v>1923</v>
      </c>
      <c r="C1687" s="1499"/>
      <c r="D1687" s="1231" t="s">
        <v>44</v>
      </c>
      <c r="E1687" s="1232"/>
      <c r="F1687" s="673"/>
      <c r="G1687" s="672"/>
      <c r="H1687" s="1125"/>
      <c r="I1687" s="673"/>
      <c r="J1687" s="508"/>
    </row>
    <row r="1688" spans="1:10">
      <c r="A1688" s="496"/>
      <c r="B1688" s="1230" t="s">
        <v>1920</v>
      </c>
      <c r="C1688" s="1499"/>
      <c r="D1688" s="1231" t="s">
        <v>44</v>
      </c>
      <c r="E1688" s="1232"/>
      <c r="F1688" s="673"/>
      <c r="G1688" s="672"/>
      <c r="H1688" s="1125"/>
      <c r="I1688" s="673"/>
      <c r="J1688" s="508"/>
    </row>
    <row r="1689" spans="1:10">
      <c r="A1689" s="496"/>
      <c r="B1689" s="1230" t="s">
        <v>1924</v>
      </c>
      <c r="C1689" s="1499"/>
      <c r="D1689" s="1231" t="s">
        <v>44</v>
      </c>
      <c r="E1689" s="1232"/>
      <c r="F1689" s="673"/>
      <c r="G1689" s="672"/>
      <c r="H1689" s="1125"/>
      <c r="I1689" s="673"/>
      <c r="J1689" s="508"/>
    </row>
    <row r="1690" spans="1:10">
      <c r="A1690" s="496"/>
      <c r="B1690" s="1230" t="s">
        <v>1999</v>
      </c>
      <c r="C1690" s="1499"/>
      <c r="D1690" s="1231" t="s">
        <v>2000</v>
      </c>
      <c r="E1690" s="1232"/>
      <c r="F1690" s="673"/>
      <c r="G1690" s="672"/>
      <c r="H1690" s="1125"/>
      <c r="I1690" s="673"/>
      <c r="J1690" s="508"/>
    </row>
    <row r="1691" spans="1:10">
      <c r="A1691" s="496"/>
      <c r="B1691" s="1230" t="s">
        <v>2001</v>
      </c>
      <c r="C1691" s="1499"/>
      <c r="D1691" s="1231" t="s">
        <v>1930</v>
      </c>
      <c r="E1691" s="1232"/>
      <c r="F1691" s="673"/>
      <c r="G1691" s="672"/>
      <c r="H1691" s="1125"/>
      <c r="I1691" s="673"/>
      <c r="J1691" s="508"/>
    </row>
    <row r="1692" spans="1:10">
      <c r="A1692" s="496"/>
      <c r="B1692" s="1230" t="s">
        <v>2002</v>
      </c>
      <c r="C1692" s="1499"/>
      <c r="D1692" s="1231" t="s">
        <v>1926</v>
      </c>
      <c r="E1692" s="1232"/>
      <c r="F1692" s="673"/>
      <c r="G1692" s="672"/>
      <c r="H1692" s="1125"/>
      <c r="I1692" s="673"/>
      <c r="J1692" s="508"/>
    </row>
    <row r="1693" spans="1:10">
      <c r="A1693" s="496"/>
      <c r="B1693" s="1230" t="s">
        <v>2003</v>
      </c>
      <c r="C1693" s="1499"/>
      <c r="D1693" s="1231" t="s">
        <v>1926</v>
      </c>
      <c r="E1693" s="1232"/>
      <c r="F1693" s="673"/>
      <c r="G1693" s="672"/>
      <c r="H1693" s="1125"/>
      <c r="I1693" s="673"/>
      <c r="J1693" s="508"/>
    </row>
    <row r="1694" spans="1:10">
      <c r="A1694" s="1316" t="s">
        <v>2288</v>
      </c>
      <c r="B1694" s="643" t="s">
        <v>2004</v>
      </c>
      <c r="C1694" s="1499"/>
      <c r="D1694" s="1231"/>
      <c r="E1694" s="1232"/>
      <c r="F1694" s="673"/>
      <c r="G1694" s="672"/>
      <c r="H1694" s="1125"/>
      <c r="I1694" s="673"/>
      <c r="J1694" s="508"/>
    </row>
    <row r="1695" spans="1:10">
      <c r="A1695" s="496"/>
      <c r="B1695" s="1230" t="s">
        <v>2005</v>
      </c>
      <c r="C1695" s="1499"/>
      <c r="D1695" s="1231" t="s">
        <v>1932</v>
      </c>
      <c r="E1695" s="1232"/>
      <c r="F1695" s="673"/>
      <c r="G1695" s="672"/>
      <c r="H1695" s="1125"/>
      <c r="I1695" s="673"/>
      <c r="J1695" s="508"/>
    </row>
    <row r="1696" spans="1:10">
      <c r="A1696" s="496"/>
      <c r="B1696" s="1230" t="s">
        <v>2006</v>
      </c>
      <c r="C1696" s="1499"/>
      <c r="D1696" s="1231" t="s">
        <v>1930</v>
      </c>
      <c r="E1696" s="1232"/>
      <c r="F1696" s="673"/>
      <c r="G1696" s="672"/>
      <c r="H1696" s="1125"/>
      <c r="I1696" s="673"/>
      <c r="J1696" s="508"/>
    </row>
    <row r="1697" spans="1:10">
      <c r="A1697" s="496"/>
      <c r="B1697" s="1230" t="s">
        <v>2007</v>
      </c>
      <c r="C1697" s="1499"/>
      <c r="D1697" s="1231" t="s">
        <v>15</v>
      </c>
      <c r="E1697" s="1232"/>
      <c r="F1697" s="673"/>
      <c r="G1697" s="672"/>
      <c r="H1697" s="1125"/>
      <c r="I1697" s="673"/>
      <c r="J1697" s="508"/>
    </row>
    <row r="1698" spans="1:10">
      <c r="A1698" s="496"/>
      <c r="B1698" s="1230" t="s">
        <v>2008</v>
      </c>
      <c r="C1698" s="1499"/>
      <c r="D1698" s="1231" t="s">
        <v>2009</v>
      </c>
      <c r="E1698" s="1232"/>
      <c r="F1698" s="673"/>
      <c r="G1698" s="672"/>
      <c r="H1698" s="1125"/>
      <c r="I1698" s="673"/>
      <c r="J1698" s="508"/>
    </row>
    <row r="1699" spans="1:10">
      <c r="A1699" s="496"/>
      <c r="B1699" s="1230" t="s">
        <v>2010</v>
      </c>
      <c r="C1699" s="1499"/>
      <c r="D1699" s="1231" t="s">
        <v>1930</v>
      </c>
      <c r="E1699" s="1232"/>
      <c r="F1699" s="673"/>
      <c r="G1699" s="672"/>
      <c r="H1699" s="1125"/>
      <c r="I1699" s="673"/>
      <c r="J1699" s="508"/>
    </row>
    <row r="1700" spans="1:10">
      <c r="A1700" s="496"/>
      <c r="B1700" s="1230" t="s">
        <v>2011</v>
      </c>
      <c r="C1700" s="1499"/>
      <c r="D1700" s="1231" t="s">
        <v>15</v>
      </c>
      <c r="E1700" s="1232"/>
      <c r="F1700" s="673"/>
      <c r="G1700" s="672"/>
      <c r="H1700" s="1125"/>
      <c r="I1700" s="673"/>
      <c r="J1700" s="508"/>
    </row>
    <row r="1701" spans="1:10">
      <c r="A1701" s="496"/>
      <c r="B1701" s="1230" t="s">
        <v>2012</v>
      </c>
      <c r="C1701" s="1499"/>
      <c r="D1701" s="1231" t="s">
        <v>15</v>
      </c>
      <c r="E1701" s="1232"/>
      <c r="F1701" s="673"/>
      <c r="G1701" s="672"/>
      <c r="H1701" s="1125"/>
      <c r="I1701" s="673"/>
      <c r="J1701" s="508"/>
    </row>
    <row r="1702" spans="1:10">
      <c r="A1702" s="496"/>
      <c r="B1702" s="1230" t="s">
        <v>2013</v>
      </c>
      <c r="C1702" s="1499"/>
      <c r="D1702" s="1231" t="s">
        <v>15</v>
      </c>
      <c r="E1702" s="1232"/>
      <c r="F1702" s="673"/>
      <c r="G1702" s="672"/>
      <c r="H1702" s="1125"/>
      <c r="I1702" s="673"/>
      <c r="J1702" s="508"/>
    </row>
    <row r="1703" spans="1:10">
      <c r="A1703" s="496"/>
      <c r="B1703" s="1230" t="s">
        <v>2014</v>
      </c>
      <c r="C1703" s="1499"/>
      <c r="D1703" s="1231" t="s">
        <v>15</v>
      </c>
      <c r="E1703" s="1232"/>
      <c r="F1703" s="673"/>
      <c r="G1703" s="672"/>
      <c r="H1703" s="1125"/>
      <c r="I1703" s="673"/>
      <c r="J1703" s="508"/>
    </row>
    <row r="1704" spans="1:10">
      <c r="A1704" s="496"/>
      <c r="B1704" s="1230" t="s">
        <v>2015</v>
      </c>
      <c r="C1704" s="1499"/>
      <c r="D1704" s="1231" t="s">
        <v>15</v>
      </c>
      <c r="E1704" s="1232"/>
      <c r="F1704" s="673"/>
      <c r="G1704" s="672"/>
      <c r="H1704" s="1125"/>
      <c r="I1704" s="673"/>
      <c r="J1704" s="508"/>
    </row>
    <row r="1705" spans="1:10">
      <c r="A1705" s="496"/>
      <c r="B1705" s="1230" t="s">
        <v>2016</v>
      </c>
      <c r="C1705" s="1499"/>
      <c r="D1705" s="1231" t="s">
        <v>15</v>
      </c>
      <c r="E1705" s="1232"/>
      <c r="F1705" s="673"/>
      <c r="G1705" s="672"/>
      <c r="H1705" s="1125"/>
      <c r="I1705" s="673"/>
      <c r="J1705" s="508"/>
    </row>
    <row r="1706" spans="1:10">
      <c r="A1706" s="496"/>
      <c r="B1706" s="1230" t="s">
        <v>2017</v>
      </c>
      <c r="C1706" s="1499"/>
      <c r="D1706" s="1231" t="s">
        <v>15</v>
      </c>
      <c r="E1706" s="1232"/>
      <c r="F1706" s="673"/>
      <c r="G1706" s="672"/>
      <c r="H1706" s="1125"/>
      <c r="I1706" s="673"/>
      <c r="J1706" s="508"/>
    </row>
    <row r="1707" spans="1:10">
      <c r="A1707" s="496"/>
      <c r="B1707" s="1230" t="s">
        <v>2018</v>
      </c>
      <c r="C1707" s="1499"/>
      <c r="D1707" s="1231" t="s">
        <v>2019</v>
      </c>
      <c r="E1707" s="1232"/>
      <c r="F1707" s="673"/>
      <c r="G1707" s="672"/>
      <c r="H1707" s="1125"/>
      <c r="I1707" s="673"/>
      <c r="J1707" s="508"/>
    </row>
    <row r="1708" spans="1:10">
      <c r="A1708" s="496"/>
      <c r="B1708" s="1230" t="s">
        <v>2020</v>
      </c>
      <c r="C1708" s="1499"/>
      <c r="D1708" s="1231" t="s">
        <v>15</v>
      </c>
      <c r="E1708" s="1232"/>
      <c r="F1708" s="673"/>
      <c r="G1708" s="672"/>
      <c r="H1708" s="1125"/>
      <c r="I1708" s="673"/>
      <c r="J1708" s="508"/>
    </row>
    <row r="1709" spans="1:10">
      <c r="A1709" s="496"/>
      <c r="B1709" s="1230" t="s">
        <v>2021</v>
      </c>
      <c r="C1709" s="1499"/>
      <c r="D1709" s="1231" t="s">
        <v>44</v>
      </c>
      <c r="E1709" s="1232"/>
      <c r="F1709" s="673"/>
      <c r="G1709" s="672"/>
      <c r="H1709" s="1125"/>
      <c r="I1709" s="673"/>
      <c r="J1709" s="508"/>
    </row>
    <row r="1710" spans="1:10">
      <c r="A1710" s="496"/>
      <c r="B1710" s="1230" t="s">
        <v>2022</v>
      </c>
      <c r="C1710" s="1499"/>
      <c r="D1710" s="1231" t="s">
        <v>44</v>
      </c>
      <c r="E1710" s="1232"/>
      <c r="F1710" s="673"/>
      <c r="G1710" s="672"/>
      <c r="H1710" s="1125"/>
      <c r="I1710" s="673"/>
      <c r="J1710" s="508"/>
    </row>
    <row r="1711" spans="1:10">
      <c r="A1711" s="496"/>
      <c r="B1711" s="1230" t="s">
        <v>2023</v>
      </c>
      <c r="C1711" s="1499"/>
      <c r="D1711" s="1231" t="s">
        <v>44</v>
      </c>
      <c r="E1711" s="1232"/>
      <c r="F1711" s="673"/>
      <c r="G1711" s="672"/>
      <c r="H1711" s="1125"/>
      <c r="I1711" s="673"/>
      <c r="J1711" s="508"/>
    </row>
    <row r="1712" spans="1:10">
      <c r="A1712" s="496"/>
      <c r="B1712" s="1230" t="s">
        <v>2024</v>
      </c>
      <c r="C1712" s="1499"/>
      <c r="D1712" s="1231" t="s">
        <v>44</v>
      </c>
      <c r="E1712" s="1232"/>
      <c r="F1712" s="673"/>
      <c r="G1712" s="672"/>
      <c r="H1712" s="1125"/>
      <c r="I1712" s="673"/>
      <c r="J1712" s="508"/>
    </row>
    <row r="1713" spans="1:10">
      <c r="A1713" s="496"/>
      <c r="B1713" s="1230" t="s">
        <v>2025</v>
      </c>
      <c r="C1713" s="1499"/>
      <c r="D1713" s="1231" t="s">
        <v>1926</v>
      </c>
      <c r="E1713" s="1232"/>
      <c r="F1713" s="673"/>
      <c r="G1713" s="672"/>
      <c r="H1713" s="1125"/>
      <c r="I1713" s="673"/>
      <c r="J1713" s="508"/>
    </row>
    <row r="1714" spans="1:10">
      <c r="A1714" s="496"/>
      <c r="B1714" s="1230" t="s">
        <v>2003</v>
      </c>
      <c r="C1714" s="1499"/>
      <c r="D1714" s="1231" t="s">
        <v>1926</v>
      </c>
      <c r="E1714" s="1232"/>
      <c r="F1714" s="673"/>
      <c r="G1714" s="672"/>
      <c r="H1714" s="1125"/>
      <c r="I1714" s="673"/>
      <c r="J1714" s="508"/>
    </row>
    <row r="1715" spans="1:10">
      <c r="A1715" s="496"/>
      <c r="B1715" s="1230" t="s">
        <v>1989</v>
      </c>
      <c r="C1715" s="1499"/>
      <c r="D1715" s="1231" t="s">
        <v>1926</v>
      </c>
      <c r="E1715" s="1232"/>
      <c r="F1715" s="673"/>
      <c r="G1715" s="672"/>
      <c r="H1715" s="1125"/>
      <c r="I1715" s="673"/>
      <c r="J1715" s="508"/>
    </row>
    <row r="1716" spans="1:10">
      <c r="A1716" s="496"/>
      <c r="B1716" s="1230" t="s">
        <v>1990</v>
      </c>
      <c r="C1716" s="1499"/>
      <c r="D1716" s="1231" t="s">
        <v>1926</v>
      </c>
      <c r="E1716" s="1232"/>
      <c r="F1716" s="673"/>
      <c r="G1716" s="672"/>
      <c r="H1716" s="1125"/>
      <c r="I1716" s="673"/>
      <c r="J1716" s="508"/>
    </row>
    <row r="1717" spans="1:10">
      <c r="A1717" s="496"/>
      <c r="B1717" s="1230" t="s">
        <v>2026</v>
      </c>
      <c r="C1717" s="1499"/>
      <c r="D1717" s="1231" t="s">
        <v>1926</v>
      </c>
      <c r="E1717" s="1232"/>
      <c r="F1717" s="673"/>
      <c r="G1717" s="672"/>
      <c r="H1717" s="1125"/>
      <c r="I1717" s="673"/>
      <c r="J1717" s="508"/>
    </row>
    <row r="1718" spans="1:10">
      <c r="A1718" s="504">
        <v>8.8000000000000007</v>
      </c>
      <c r="B1718" s="1425" t="s">
        <v>2682</v>
      </c>
      <c r="C1718" s="1499"/>
      <c r="D1718" s="1231"/>
      <c r="E1718" s="1232"/>
      <c r="F1718" s="673"/>
      <c r="G1718" s="672"/>
      <c r="H1718" s="1125"/>
      <c r="I1718" s="673"/>
      <c r="J1718" s="508"/>
    </row>
    <row r="1719" spans="1:10">
      <c r="A1719" s="1317"/>
      <c r="B1719" s="1178" t="s">
        <v>2682</v>
      </c>
      <c r="C1719" s="1499"/>
      <c r="D1719" s="1231" t="s">
        <v>15</v>
      </c>
      <c r="E1719" s="1232"/>
      <c r="F1719" s="673"/>
      <c r="G1719" s="672"/>
      <c r="H1719" s="1125"/>
      <c r="I1719" s="673"/>
      <c r="J1719" s="508"/>
    </row>
    <row r="1720" spans="1:10">
      <c r="A1720" s="1434">
        <v>8.9</v>
      </c>
      <c r="B1720" s="1425" t="s">
        <v>2027</v>
      </c>
      <c r="C1720" s="1499"/>
      <c r="D1720" s="1231"/>
      <c r="E1720" s="1231"/>
      <c r="F1720" s="1231"/>
      <c r="G1720" s="672"/>
      <c r="H1720" s="1125"/>
      <c r="I1720" s="673"/>
      <c r="J1720" s="508"/>
    </row>
    <row r="1721" spans="1:10">
      <c r="A1721" s="504"/>
      <c r="B1721" s="1178" t="s">
        <v>2028</v>
      </c>
      <c r="C1721" s="1499"/>
      <c r="D1721" s="1231" t="s">
        <v>1930</v>
      </c>
      <c r="E1721" s="1232"/>
      <c r="F1721" s="673"/>
      <c r="G1721" s="672"/>
      <c r="H1721" s="1125"/>
      <c r="I1721" s="673"/>
      <c r="J1721" s="508"/>
    </row>
    <row r="1722" spans="1:10">
      <c r="A1722" s="504"/>
      <c r="B1722" s="1178" t="s">
        <v>2029</v>
      </c>
      <c r="C1722" s="1499"/>
      <c r="D1722" s="1231" t="s">
        <v>15</v>
      </c>
      <c r="E1722" s="1232"/>
      <c r="F1722" s="673"/>
      <c r="G1722" s="672"/>
      <c r="H1722" s="1125"/>
      <c r="I1722" s="673"/>
      <c r="J1722" s="508"/>
    </row>
    <row r="1723" spans="1:10">
      <c r="A1723" s="504"/>
      <c r="B1723" s="1178" t="s">
        <v>2030</v>
      </c>
      <c r="C1723" s="1499"/>
      <c r="D1723" s="1231" t="s">
        <v>15</v>
      </c>
      <c r="E1723" s="1232"/>
      <c r="F1723" s="673"/>
      <c r="G1723" s="672"/>
      <c r="H1723" s="1125"/>
      <c r="I1723" s="673"/>
      <c r="J1723" s="508"/>
    </row>
    <row r="1724" spans="1:10">
      <c r="A1724" s="504"/>
      <c r="B1724" s="1178" t="s">
        <v>2031</v>
      </c>
      <c r="C1724" s="1499"/>
      <c r="D1724" s="1231" t="s">
        <v>2019</v>
      </c>
      <c r="E1724" s="1232"/>
      <c r="F1724" s="673"/>
      <c r="G1724" s="672"/>
      <c r="H1724" s="1125"/>
      <c r="I1724" s="673"/>
      <c r="J1724" s="508"/>
    </row>
    <row r="1725" spans="1:10">
      <c r="A1725" s="504"/>
      <c r="B1725" s="1178" t="s">
        <v>2032</v>
      </c>
      <c r="C1725" s="1499"/>
      <c r="D1725" s="1231" t="s">
        <v>15</v>
      </c>
      <c r="E1725" s="1232"/>
      <c r="F1725" s="673"/>
      <c r="G1725" s="672"/>
      <c r="H1725" s="1125"/>
      <c r="I1725" s="673"/>
      <c r="J1725" s="508"/>
    </row>
    <row r="1726" spans="1:10">
      <c r="A1726" s="504"/>
      <c r="B1726" s="1178" t="s">
        <v>2033</v>
      </c>
      <c r="C1726" s="1499"/>
      <c r="D1726" s="1231" t="s">
        <v>15</v>
      </c>
      <c r="E1726" s="1232"/>
      <c r="F1726" s="673"/>
      <c r="G1726" s="672"/>
      <c r="H1726" s="1125"/>
      <c r="I1726" s="673"/>
      <c r="J1726" s="508"/>
    </row>
    <row r="1727" spans="1:10">
      <c r="A1727" s="504"/>
      <c r="B1727" s="1178" t="s">
        <v>2034</v>
      </c>
      <c r="C1727" s="1499"/>
      <c r="D1727" s="1231" t="s">
        <v>1930</v>
      </c>
      <c r="E1727" s="1232"/>
      <c r="F1727" s="673"/>
      <c r="G1727" s="672"/>
      <c r="H1727" s="1125"/>
      <c r="I1727" s="673"/>
      <c r="J1727" s="508"/>
    </row>
    <row r="1728" spans="1:10">
      <c r="A1728" s="504"/>
      <c r="B1728" s="1178" t="s">
        <v>2035</v>
      </c>
      <c r="C1728" s="1499"/>
      <c r="D1728" s="1231" t="s">
        <v>1930</v>
      </c>
      <c r="E1728" s="1232"/>
      <c r="F1728" s="673"/>
      <c r="G1728" s="672"/>
      <c r="H1728" s="1125"/>
      <c r="I1728" s="673"/>
      <c r="J1728" s="508"/>
    </row>
    <row r="1729" spans="1:10">
      <c r="A1729" s="504"/>
      <c r="B1729" s="1178" t="s">
        <v>2036</v>
      </c>
      <c r="C1729" s="1499"/>
      <c r="D1729" s="1231" t="s">
        <v>1930</v>
      </c>
      <c r="E1729" s="1232"/>
      <c r="F1729" s="673"/>
      <c r="G1729" s="672"/>
      <c r="H1729" s="1125"/>
      <c r="I1729" s="673"/>
      <c r="J1729" s="508"/>
    </row>
    <row r="1730" spans="1:10">
      <c r="A1730" s="504"/>
      <c r="B1730" s="1178" t="s">
        <v>2037</v>
      </c>
      <c r="C1730" s="1499"/>
      <c r="D1730" s="1231" t="s">
        <v>1930</v>
      </c>
      <c r="E1730" s="1232"/>
      <c r="F1730" s="673"/>
      <c r="G1730" s="672"/>
      <c r="H1730" s="1125"/>
      <c r="I1730" s="673"/>
      <c r="J1730" s="508"/>
    </row>
    <row r="1731" spans="1:10">
      <c r="A1731" s="504"/>
      <c r="B1731" s="1178" t="s">
        <v>2038</v>
      </c>
      <c r="C1731" s="1499"/>
      <c r="D1731" s="1231" t="s">
        <v>15</v>
      </c>
      <c r="E1731" s="1232"/>
      <c r="F1731" s="673"/>
      <c r="G1731" s="672"/>
      <c r="H1731" s="1125"/>
      <c r="I1731" s="673"/>
      <c r="J1731" s="508"/>
    </row>
    <row r="1732" spans="1:10">
      <c r="A1732" s="504"/>
      <c r="B1732" s="1178" t="s">
        <v>2039</v>
      </c>
      <c r="C1732" s="1499"/>
      <c r="D1732" s="1231" t="s">
        <v>2040</v>
      </c>
      <c r="E1732" s="1232"/>
      <c r="F1732" s="673"/>
      <c r="G1732" s="672"/>
      <c r="H1732" s="1125"/>
      <c r="I1732" s="673"/>
      <c r="J1732" s="508"/>
    </row>
    <row r="1733" spans="1:10">
      <c r="A1733" s="504"/>
      <c r="B1733" s="1178" t="s">
        <v>2041</v>
      </c>
      <c r="C1733" s="1499"/>
      <c r="D1733" s="1231" t="s">
        <v>1930</v>
      </c>
      <c r="E1733" s="1232"/>
      <c r="F1733" s="673"/>
      <c r="G1733" s="672"/>
      <c r="H1733" s="1125"/>
      <c r="I1733" s="673"/>
      <c r="J1733" s="508"/>
    </row>
    <row r="1734" spans="1:10">
      <c r="A1734" s="504"/>
      <c r="B1734" s="1178" t="s">
        <v>2042</v>
      </c>
      <c r="C1734" s="1499"/>
      <c r="D1734" s="1231" t="s">
        <v>1926</v>
      </c>
      <c r="E1734" s="1232"/>
      <c r="F1734" s="673"/>
      <c r="G1734" s="672"/>
      <c r="H1734" s="1125"/>
      <c r="I1734" s="673"/>
      <c r="J1734" s="508"/>
    </row>
    <row r="1735" spans="1:10">
      <c r="A1735" s="504"/>
      <c r="B1735" s="1178" t="s">
        <v>2043</v>
      </c>
      <c r="C1735" s="1499"/>
      <c r="D1735" s="1231" t="s">
        <v>1926</v>
      </c>
      <c r="E1735" s="1232"/>
      <c r="F1735" s="673"/>
      <c r="G1735" s="672"/>
      <c r="H1735" s="1125"/>
      <c r="I1735" s="673"/>
      <c r="J1735" s="508"/>
    </row>
    <row r="1736" spans="1:10">
      <c r="A1736" s="533">
        <v>8.1</v>
      </c>
      <c r="B1736" s="1425" t="s">
        <v>2044</v>
      </c>
      <c r="C1736" s="1499"/>
      <c r="D1736" s="1231"/>
      <c r="E1736" s="1231"/>
      <c r="F1736" s="673"/>
      <c r="G1736" s="672"/>
      <c r="H1736" s="1125"/>
      <c r="I1736" s="673"/>
      <c r="J1736" s="508"/>
    </row>
    <row r="1737" spans="1:10">
      <c r="A1737" s="504"/>
      <c r="B1737" s="1435" t="s">
        <v>2117</v>
      </c>
      <c r="C1737" s="1272"/>
      <c r="D1737" s="1273" t="s">
        <v>27</v>
      </c>
      <c r="E1737" s="1436"/>
      <c r="F1737" s="1240"/>
      <c r="G1737" s="1274"/>
      <c r="H1737" s="1275"/>
      <c r="I1737" s="1240"/>
      <c r="J1737" s="508"/>
    </row>
    <row r="1738" spans="1:10">
      <c r="A1738" s="504"/>
      <c r="B1738" s="1435" t="s">
        <v>2118</v>
      </c>
      <c r="C1738" s="1272"/>
      <c r="D1738" s="1273" t="s">
        <v>27</v>
      </c>
      <c r="E1738" s="1436"/>
      <c r="F1738" s="1240"/>
      <c r="G1738" s="1274"/>
      <c r="H1738" s="1275"/>
      <c r="I1738" s="1240"/>
      <c r="J1738" s="508"/>
    </row>
    <row r="1739" spans="1:10">
      <c r="A1739" s="504"/>
      <c r="B1739" s="1435" t="s">
        <v>2119</v>
      </c>
      <c r="C1739" s="1272"/>
      <c r="D1739" s="1273" t="s">
        <v>27</v>
      </c>
      <c r="E1739" s="1436"/>
      <c r="F1739" s="1240"/>
      <c r="G1739" s="1274"/>
      <c r="H1739" s="1275"/>
      <c r="I1739" s="1240"/>
      <c r="J1739" s="508"/>
    </row>
    <row r="1740" spans="1:10">
      <c r="A1740" s="504"/>
      <c r="B1740" s="1435" t="s">
        <v>2120</v>
      </c>
      <c r="C1740" s="1272"/>
      <c r="D1740" s="1273" t="s">
        <v>27</v>
      </c>
      <c r="E1740" s="1436"/>
      <c r="F1740" s="1240"/>
      <c r="G1740" s="1274"/>
      <c r="H1740" s="1275"/>
      <c r="I1740" s="1240"/>
      <c r="J1740" s="508"/>
    </row>
    <row r="1741" spans="1:10">
      <c r="A1741" s="504"/>
      <c r="B1741" s="1435" t="s">
        <v>2121</v>
      </c>
      <c r="C1741" s="1272"/>
      <c r="D1741" s="1273" t="s">
        <v>15</v>
      </c>
      <c r="E1741" s="1436"/>
      <c r="F1741" s="1240"/>
      <c r="G1741" s="1274"/>
      <c r="H1741" s="1275"/>
      <c r="I1741" s="1240"/>
      <c r="J1741" s="508"/>
    </row>
    <row r="1742" spans="1:10">
      <c r="A1742" s="504"/>
      <c r="B1742" s="1435" t="s">
        <v>2122</v>
      </c>
      <c r="C1742" s="1272"/>
      <c r="D1742" s="1273" t="s">
        <v>15</v>
      </c>
      <c r="E1742" s="1436"/>
      <c r="F1742" s="1240"/>
      <c r="G1742" s="1274"/>
      <c r="H1742" s="1275"/>
      <c r="I1742" s="1240"/>
      <c r="J1742" s="508"/>
    </row>
    <row r="1743" spans="1:10">
      <c r="A1743" s="504"/>
      <c r="B1743" s="1435" t="s">
        <v>2123</v>
      </c>
      <c r="C1743" s="1272"/>
      <c r="D1743" s="1273" t="s">
        <v>27</v>
      </c>
      <c r="E1743" s="1436"/>
      <c r="F1743" s="1240"/>
      <c r="G1743" s="1274"/>
      <c r="H1743" s="1275"/>
      <c r="I1743" s="1240"/>
      <c r="J1743" s="508"/>
    </row>
    <row r="1744" spans="1:10">
      <c r="A1744" s="504"/>
      <c r="B1744" s="1435" t="s">
        <v>2124</v>
      </c>
      <c r="C1744" s="1272"/>
      <c r="D1744" s="1273" t="s">
        <v>15</v>
      </c>
      <c r="E1744" s="1436"/>
      <c r="F1744" s="1240"/>
      <c r="G1744" s="1274"/>
      <c r="H1744" s="1275"/>
      <c r="I1744" s="1240"/>
      <c r="J1744" s="508"/>
    </row>
    <row r="1745" spans="1:10">
      <c r="A1745" s="504"/>
      <c r="B1745" s="1435" t="s">
        <v>2099</v>
      </c>
      <c r="C1745" s="1272"/>
      <c r="D1745" s="1273" t="s">
        <v>15</v>
      </c>
      <c r="E1745" s="1436"/>
      <c r="F1745" s="1240"/>
      <c r="G1745" s="1274"/>
      <c r="H1745" s="1275"/>
      <c r="I1745" s="1240"/>
      <c r="J1745" s="508"/>
    </row>
    <row r="1746" spans="1:10">
      <c r="A1746" s="504"/>
      <c r="B1746" s="1435" t="s">
        <v>2125</v>
      </c>
      <c r="C1746" s="1272"/>
      <c r="D1746" s="1273" t="s">
        <v>15</v>
      </c>
      <c r="E1746" s="1436"/>
      <c r="F1746" s="1240"/>
      <c r="G1746" s="1274"/>
      <c r="H1746" s="1275"/>
      <c r="I1746" s="1240"/>
      <c r="J1746" s="508"/>
    </row>
    <row r="1747" spans="1:10">
      <c r="A1747" s="504"/>
      <c r="B1747" s="1435" t="s">
        <v>2126</v>
      </c>
      <c r="C1747" s="1272"/>
      <c r="D1747" s="1273" t="s">
        <v>15</v>
      </c>
      <c r="E1747" s="1436"/>
      <c r="F1747" s="1240"/>
      <c r="G1747" s="1274"/>
      <c r="H1747" s="1275"/>
      <c r="I1747" s="1240"/>
      <c r="J1747" s="508"/>
    </row>
    <row r="1748" spans="1:10">
      <c r="A1748" s="504"/>
      <c r="B1748" s="1435" t="s">
        <v>2127</v>
      </c>
      <c r="C1748" s="1272"/>
      <c r="D1748" s="1273" t="s">
        <v>15</v>
      </c>
      <c r="E1748" s="1436"/>
      <c r="F1748" s="1240"/>
      <c r="G1748" s="1274"/>
      <c r="H1748" s="1275"/>
      <c r="I1748" s="1240"/>
      <c r="J1748" s="508"/>
    </row>
    <row r="1749" spans="1:10">
      <c r="A1749" s="504"/>
      <c r="B1749" s="1435" t="s">
        <v>2100</v>
      </c>
      <c r="C1749" s="1272"/>
      <c r="D1749" s="1273" t="s">
        <v>15</v>
      </c>
      <c r="E1749" s="1436"/>
      <c r="F1749" s="1240"/>
      <c r="G1749" s="1274"/>
      <c r="H1749" s="1275"/>
      <c r="I1749" s="1240"/>
      <c r="J1749" s="508"/>
    </row>
    <row r="1750" spans="1:10">
      <c r="A1750" s="504"/>
      <c r="B1750" s="1435" t="s">
        <v>2101</v>
      </c>
      <c r="C1750" s="1272"/>
      <c r="D1750" s="1273" t="s">
        <v>15</v>
      </c>
      <c r="E1750" s="1436"/>
      <c r="F1750" s="1240"/>
      <c r="G1750" s="1274"/>
      <c r="H1750" s="1275"/>
      <c r="I1750" s="1240"/>
      <c r="J1750" s="508"/>
    </row>
    <row r="1751" spans="1:10">
      <c r="A1751" s="504"/>
      <c r="B1751" s="1435" t="s">
        <v>2102</v>
      </c>
      <c r="C1751" s="1272"/>
      <c r="D1751" s="1273" t="s">
        <v>15</v>
      </c>
      <c r="E1751" s="1436"/>
      <c r="F1751" s="1240"/>
      <c r="G1751" s="1274"/>
      <c r="H1751" s="1275"/>
      <c r="I1751" s="1240"/>
      <c r="J1751" s="508"/>
    </row>
    <row r="1752" spans="1:10">
      <c r="A1752" s="504"/>
      <c r="B1752" s="1435" t="s">
        <v>2103</v>
      </c>
      <c r="C1752" s="1272"/>
      <c r="D1752" s="1273" t="s">
        <v>15</v>
      </c>
      <c r="E1752" s="1436"/>
      <c r="F1752" s="1240"/>
      <c r="G1752" s="1274"/>
      <c r="H1752" s="1275"/>
      <c r="I1752" s="1240"/>
      <c r="J1752" s="508"/>
    </row>
    <row r="1753" spans="1:10">
      <c r="A1753" s="504"/>
      <c r="B1753" s="1435" t="s">
        <v>2104</v>
      </c>
      <c r="C1753" s="1272"/>
      <c r="D1753" s="1273" t="s">
        <v>15</v>
      </c>
      <c r="E1753" s="1436"/>
      <c r="F1753" s="1240"/>
      <c r="G1753" s="1274"/>
      <c r="H1753" s="1275"/>
      <c r="I1753" s="1240"/>
      <c r="J1753" s="508"/>
    </row>
    <row r="1754" spans="1:10">
      <c r="A1754" s="504"/>
      <c r="B1754" s="1435" t="s">
        <v>2105</v>
      </c>
      <c r="C1754" s="1272"/>
      <c r="D1754" s="1273" t="s">
        <v>15</v>
      </c>
      <c r="E1754" s="1436"/>
      <c r="F1754" s="1240"/>
      <c r="G1754" s="1274"/>
      <c r="H1754" s="1275"/>
      <c r="I1754" s="1240"/>
      <c r="J1754" s="508"/>
    </row>
    <row r="1755" spans="1:10">
      <c r="A1755" s="504"/>
      <c r="B1755" s="1435" t="s">
        <v>2106</v>
      </c>
      <c r="C1755" s="1272"/>
      <c r="D1755" s="1273" t="s">
        <v>15</v>
      </c>
      <c r="E1755" s="1436"/>
      <c r="F1755" s="1240"/>
      <c r="G1755" s="1274"/>
      <c r="H1755" s="1275"/>
      <c r="I1755" s="1240"/>
      <c r="J1755" s="508"/>
    </row>
    <row r="1756" spans="1:10">
      <c r="A1756" s="504"/>
      <c r="B1756" s="1435" t="s">
        <v>2107</v>
      </c>
      <c r="C1756" s="1272"/>
      <c r="D1756" s="1273" t="s">
        <v>15</v>
      </c>
      <c r="E1756" s="1436"/>
      <c r="F1756" s="1240"/>
      <c r="G1756" s="1274"/>
      <c r="H1756" s="1275"/>
      <c r="I1756" s="1240"/>
      <c r="J1756" s="508"/>
    </row>
    <row r="1757" spans="1:10">
      <c r="A1757" s="504"/>
      <c r="B1757" s="1435" t="s">
        <v>2108</v>
      </c>
      <c r="C1757" s="1272"/>
      <c r="D1757" s="1273" t="s">
        <v>15</v>
      </c>
      <c r="E1757" s="1436"/>
      <c r="F1757" s="1240"/>
      <c r="G1757" s="1274"/>
      <c r="H1757" s="1275"/>
      <c r="I1757" s="1240"/>
      <c r="J1757" s="508"/>
    </row>
    <row r="1758" spans="1:10">
      <c r="A1758" s="504"/>
      <c r="B1758" s="1435" t="s">
        <v>2109</v>
      </c>
      <c r="C1758" s="1272"/>
      <c r="D1758" s="1273" t="s">
        <v>15</v>
      </c>
      <c r="E1758" s="1436"/>
      <c r="F1758" s="1240"/>
      <c r="G1758" s="1274"/>
      <c r="H1758" s="1275"/>
      <c r="I1758" s="1240"/>
      <c r="J1758" s="508"/>
    </row>
    <row r="1759" spans="1:10">
      <c r="A1759" s="504"/>
      <c r="B1759" s="1435" t="s">
        <v>2110</v>
      </c>
      <c r="C1759" s="1272"/>
      <c r="D1759" s="1273" t="s">
        <v>15</v>
      </c>
      <c r="E1759" s="1436"/>
      <c r="F1759" s="1240"/>
      <c r="G1759" s="1274"/>
      <c r="H1759" s="1275"/>
      <c r="I1759" s="1240"/>
      <c r="J1759" s="508"/>
    </row>
    <row r="1760" spans="1:10">
      <c r="A1760" s="504"/>
      <c r="B1760" s="1435" t="s">
        <v>2111</v>
      </c>
      <c r="C1760" s="1272"/>
      <c r="D1760" s="1273" t="s">
        <v>15</v>
      </c>
      <c r="E1760" s="1436"/>
      <c r="F1760" s="1240"/>
      <c r="G1760" s="1274"/>
      <c r="H1760" s="1275"/>
      <c r="I1760" s="1240"/>
      <c r="J1760" s="508"/>
    </row>
    <row r="1761" spans="1:10">
      <c r="A1761" s="504"/>
      <c r="B1761" s="1435" t="s">
        <v>2112</v>
      </c>
      <c r="C1761" s="1272"/>
      <c r="D1761" s="1273" t="s">
        <v>15</v>
      </c>
      <c r="E1761" s="1436"/>
      <c r="F1761" s="1240"/>
      <c r="G1761" s="1274"/>
      <c r="H1761" s="1275"/>
      <c r="I1761" s="1240"/>
      <c r="J1761" s="508"/>
    </row>
    <row r="1762" spans="1:10">
      <c r="A1762" s="504"/>
      <c r="B1762" s="1435" t="s">
        <v>2114</v>
      </c>
      <c r="C1762" s="1272"/>
      <c r="D1762" s="1273" t="s">
        <v>15</v>
      </c>
      <c r="E1762" s="1436"/>
      <c r="F1762" s="1240"/>
      <c r="G1762" s="1274"/>
      <c r="H1762" s="1275"/>
      <c r="I1762" s="1240"/>
      <c r="J1762" s="508"/>
    </row>
    <row r="1763" spans="1:10">
      <c r="A1763" s="504"/>
      <c r="B1763" s="1435" t="s">
        <v>2113</v>
      </c>
      <c r="C1763" s="1272"/>
      <c r="D1763" s="1273" t="s">
        <v>15</v>
      </c>
      <c r="E1763" s="1436"/>
      <c r="F1763" s="1240"/>
      <c r="G1763" s="1274"/>
      <c r="H1763" s="1275"/>
      <c r="I1763" s="1240"/>
      <c r="J1763" s="508"/>
    </row>
    <row r="1764" spans="1:10">
      <c r="A1764" s="504"/>
      <c r="B1764" s="1435" t="s">
        <v>2116</v>
      </c>
      <c r="C1764" s="1272"/>
      <c r="D1764" s="1273" t="s">
        <v>15</v>
      </c>
      <c r="E1764" s="1436"/>
      <c r="F1764" s="1240"/>
      <c r="G1764" s="1274"/>
      <c r="H1764" s="1275"/>
      <c r="I1764" s="1240"/>
      <c r="J1764" s="508"/>
    </row>
    <row r="1765" spans="1:10">
      <c r="A1765" s="504"/>
      <c r="B1765" s="1435" t="s">
        <v>2115</v>
      </c>
      <c r="C1765" s="1272"/>
      <c r="D1765" s="1273" t="s">
        <v>15</v>
      </c>
      <c r="E1765" s="1436"/>
      <c r="F1765" s="1240"/>
      <c r="G1765" s="1274"/>
      <c r="H1765" s="1275"/>
      <c r="I1765" s="1240"/>
      <c r="J1765" s="508"/>
    </row>
    <row r="1766" spans="1:10">
      <c r="A1766" s="504"/>
      <c r="B1766" s="1435" t="s">
        <v>2128</v>
      </c>
      <c r="C1766" s="1272"/>
      <c r="D1766" s="1273" t="s">
        <v>15</v>
      </c>
      <c r="E1766" s="1436"/>
      <c r="F1766" s="1240"/>
      <c r="G1766" s="1274"/>
      <c r="H1766" s="1275"/>
      <c r="I1766" s="1240"/>
      <c r="J1766" s="508"/>
    </row>
    <row r="1767" spans="1:10">
      <c r="A1767" s="504"/>
      <c r="B1767" s="1178" t="s">
        <v>2150</v>
      </c>
      <c r="C1767" s="1272"/>
      <c r="D1767" s="1273" t="s">
        <v>15</v>
      </c>
      <c r="E1767" s="568"/>
      <c r="F1767" s="1241"/>
      <c r="G1767" s="1274"/>
      <c r="H1767" s="1275"/>
      <c r="I1767" s="1240"/>
      <c r="J1767" s="508"/>
    </row>
    <row r="1768" spans="1:10">
      <c r="A1768" s="504"/>
      <c r="B1768" s="1178" t="s">
        <v>2151</v>
      </c>
      <c r="C1768" s="1272"/>
      <c r="D1768" s="1273" t="s">
        <v>15</v>
      </c>
      <c r="E1768" s="568"/>
      <c r="F1768" s="1241"/>
      <c r="G1768" s="1274"/>
      <c r="H1768" s="1275"/>
      <c r="I1768" s="1240"/>
      <c r="J1768" s="508"/>
    </row>
    <row r="1769" spans="1:10">
      <c r="A1769" s="504"/>
      <c r="B1769" s="1178" t="s">
        <v>2152</v>
      </c>
      <c r="C1769" s="1272"/>
      <c r="D1769" s="1273" t="s">
        <v>15</v>
      </c>
      <c r="E1769" s="568"/>
      <c r="F1769" s="1241"/>
      <c r="G1769" s="1274"/>
      <c r="H1769" s="1275"/>
      <c r="I1769" s="1240"/>
      <c r="J1769" s="508"/>
    </row>
    <row r="1770" spans="1:10">
      <c r="A1770" s="504"/>
      <c r="B1770" s="1178" t="s">
        <v>2153</v>
      </c>
      <c r="C1770" s="1272"/>
      <c r="D1770" s="1273" t="s">
        <v>15</v>
      </c>
      <c r="E1770" s="568"/>
      <c r="F1770" s="1241"/>
      <c r="G1770" s="1274"/>
      <c r="H1770" s="1275"/>
      <c r="I1770" s="1240"/>
      <c r="J1770" s="508"/>
    </row>
    <row r="1771" spans="1:10">
      <c r="A1771" s="504"/>
      <c r="B1771" s="1178" t="s">
        <v>2154</v>
      </c>
      <c r="C1771" s="1272"/>
      <c r="D1771" s="1273" t="s">
        <v>15</v>
      </c>
      <c r="E1771" s="568"/>
      <c r="F1771" s="1241"/>
      <c r="G1771" s="1274"/>
      <c r="H1771" s="1275"/>
      <c r="I1771" s="1240"/>
      <c r="J1771" s="508"/>
    </row>
    <row r="1772" spans="1:10">
      <c r="A1772" s="504"/>
      <c r="B1772" s="1178" t="s">
        <v>2155</v>
      </c>
      <c r="C1772" s="1272"/>
      <c r="D1772" s="1273" t="s">
        <v>15</v>
      </c>
      <c r="E1772" s="568"/>
      <c r="F1772" s="1241"/>
      <c r="G1772" s="1274"/>
      <c r="H1772" s="1275"/>
      <c r="I1772" s="1240"/>
      <c r="J1772" s="508"/>
    </row>
    <row r="1773" spans="1:10">
      <c r="A1773" s="504"/>
      <c r="B1773" s="1178" t="s">
        <v>2156</v>
      </c>
      <c r="C1773" s="1272"/>
      <c r="D1773" s="1273" t="s">
        <v>15</v>
      </c>
      <c r="E1773" s="568"/>
      <c r="F1773" s="1241"/>
      <c r="G1773" s="1274"/>
      <c r="H1773" s="1275"/>
      <c r="I1773" s="1240"/>
      <c r="J1773" s="508"/>
    </row>
    <row r="1774" spans="1:10">
      <c r="A1774" s="504"/>
      <c r="B1774" s="1178" t="s">
        <v>2157</v>
      </c>
      <c r="C1774" s="1272"/>
      <c r="D1774" s="1273" t="s">
        <v>15</v>
      </c>
      <c r="E1774" s="568"/>
      <c r="F1774" s="1241"/>
      <c r="G1774" s="1274"/>
      <c r="H1774" s="1275"/>
      <c r="I1774" s="1240"/>
      <c r="J1774" s="508"/>
    </row>
    <row r="1775" spans="1:10">
      <c r="A1775" s="504"/>
      <c r="B1775" s="1178" t="s">
        <v>2158</v>
      </c>
      <c r="C1775" s="1272"/>
      <c r="D1775" s="1273" t="s">
        <v>15</v>
      </c>
      <c r="E1775" s="568"/>
      <c r="F1775" s="1241"/>
      <c r="G1775" s="1274"/>
      <c r="H1775" s="1275"/>
      <c r="I1775" s="1240"/>
      <c r="J1775" s="508"/>
    </row>
    <row r="1776" spans="1:10">
      <c r="A1776" s="504"/>
      <c r="B1776" s="1178" t="s">
        <v>2159</v>
      </c>
      <c r="C1776" s="1272"/>
      <c r="D1776" s="1273" t="s">
        <v>15</v>
      </c>
      <c r="E1776" s="568"/>
      <c r="F1776" s="1241"/>
      <c r="G1776" s="1274"/>
      <c r="H1776" s="1275"/>
      <c r="I1776" s="1240"/>
      <c r="J1776" s="508"/>
    </row>
    <row r="1777" spans="1:12">
      <c r="A1777" s="832"/>
      <c r="B1777" s="833" t="s">
        <v>61</v>
      </c>
      <c r="C1777" s="1449"/>
      <c r="D1777" s="835"/>
      <c r="E1777" s="836"/>
      <c r="F1777" s="837"/>
      <c r="G1777" s="837"/>
      <c r="H1777" s="837"/>
      <c r="I1777" s="837"/>
      <c r="J1777" s="837"/>
      <c r="L1777" s="652"/>
    </row>
  </sheetData>
  <mergeCells count="24">
    <mergeCell ref="F176:F181"/>
    <mergeCell ref="E176:E181"/>
    <mergeCell ref="E182:E187"/>
    <mergeCell ref="F182:F187"/>
    <mergeCell ref="I182:I187"/>
    <mergeCell ref="A1:J1"/>
    <mergeCell ref="A2:I2"/>
    <mergeCell ref="A5:G5"/>
    <mergeCell ref="H5:J5"/>
    <mergeCell ref="A3:E3"/>
    <mergeCell ref="A4:D4"/>
    <mergeCell ref="A7:A8"/>
    <mergeCell ref="B7:B8"/>
    <mergeCell ref="C7:C8"/>
    <mergeCell ref="D7:D8"/>
    <mergeCell ref="E7:F7"/>
    <mergeCell ref="I7:I8"/>
    <mergeCell ref="J7:J8"/>
    <mergeCell ref="G176:G181"/>
    <mergeCell ref="H176:H181"/>
    <mergeCell ref="G182:G187"/>
    <mergeCell ref="H182:H187"/>
    <mergeCell ref="G7:H7"/>
    <mergeCell ref="I176:I181"/>
  </mergeCells>
  <phoneticPr fontId="40" type="noConversion"/>
  <printOptions horizontalCentered="1"/>
  <pageMargins left="0.19685039370078741" right="0.15748031496062992" top="0.35433070866141736" bottom="0.15748031496062992" header="0.31496062992125984" footer="0.31496062992125984"/>
  <pageSetup paperSize="9" scale="65" orientation="landscape" r:id="rId1"/>
  <headerFooter>
    <oddHeader>&amp;Rแบบ ปร.4 แผ่นที่ &amp;P / 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opLeftCell="A50" zoomScaleNormal="100" zoomScaleSheetLayoutView="90" workbookViewId="0">
      <selection activeCell="A66" sqref="A66"/>
    </sheetView>
  </sheetViews>
  <sheetFormatPr defaultColWidth="9.140625" defaultRowHeight="20.25"/>
  <cols>
    <col min="1" max="1" width="82.85546875" style="1252" bestFit="1" customWidth="1"/>
    <col min="2" max="2" width="22.28515625" style="1252" customWidth="1"/>
    <col min="3" max="3" width="21" style="1252" customWidth="1"/>
    <col min="4" max="4" width="32.42578125" style="1252" customWidth="1"/>
    <col min="5" max="5" width="18.42578125" style="1252" bestFit="1" customWidth="1"/>
    <col min="6" max="16384" width="9.140625" style="1252"/>
  </cols>
  <sheetData>
    <row r="1" spans="1:5">
      <c r="A1" s="1271" t="s">
        <v>2149</v>
      </c>
    </row>
    <row r="2" spans="1:5">
      <c r="A2" s="1252" t="s">
        <v>244</v>
      </c>
    </row>
    <row r="3" spans="1:5" s="1270" customFormat="1">
      <c r="A3" s="1252" t="s">
        <v>2148</v>
      </c>
      <c r="B3" s="1270" t="s">
        <v>2147</v>
      </c>
      <c r="C3" s="1270" t="s">
        <v>8</v>
      </c>
      <c r="D3" s="1252" t="s">
        <v>10</v>
      </c>
    </row>
    <row r="4" spans="1:5">
      <c r="A4" s="1263" t="s">
        <v>2146</v>
      </c>
      <c r="B4" s="1269" t="s">
        <v>2145</v>
      </c>
      <c r="C4" s="1268" t="s">
        <v>2144</v>
      </c>
      <c r="D4" s="1261"/>
    </row>
    <row r="5" spans="1:5" ht="36">
      <c r="A5" s="1263" t="s">
        <v>2143</v>
      </c>
      <c r="B5" s="1259">
        <v>3700.92</v>
      </c>
      <c r="C5" s="1259">
        <v>591</v>
      </c>
      <c r="D5" s="1265" t="s">
        <v>2136</v>
      </c>
      <c r="E5" s="1252" t="s">
        <v>2142</v>
      </c>
    </row>
    <row r="6" spans="1:5" ht="36">
      <c r="A6" s="1263" t="s">
        <v>1760</v>
      </c>
      <c r="B6" s="1259"/>
      <c r="C6" s="1259">
        <v>28500</v>
      </c>
      <c r="D6" s="1265" t="s">
        <v>2136</v>
      </c>
    </row>
    <row r="7" spans="1:5" ht="36">
      <c r="A7" s="1263" t="s">
        <v>2141</v>
      </c>
      <c r="B7" s="1259"/>
      <c r="C7" s="1259">
        <v>300</v>
      </c>
      <c r="D7" s="1265" t="s">
        <v>2136</v>
      </c>
    </row>
    <row r="8" spans="1:5" ht="36">
      <c r="A8" s="1263" t="s">
        <v>671</v>
      </c>
      <c r="B8" s="1264">
        <v>0</v>
      </c>
      <c r="C8" s="1259">
        <v>320</v>
      </c>
      <c r="D8" s="1265" t="s">
        <v>2136</v>
      </c>
    </row>
    <row r="9" spans="1:5" ht="36">
      <c r="A9" s="1263" t="s">
        <v>672</v>
      </c>
      <c r="B9" s="1264">
        <v>0</v>
      </c>
      <c r="C9" s="1259">
        <v>125</v>
      </c>
      <c r="D9" s="1265" t="s">
        <v>2136</v>
      </c>
    </row>
    <row r="10" spans="1:5" ht="36">
      <c r="A10" s="1263" t="s">
        <v>673</v>
      </c>
      <c r="B10" s="1264">
        <v>0</v>
      </c>
      <c r="C10" s="1259">
        <v>99</v>
      </c>
      <c r="D10" s="1265" t="s">
        <v>2136</v>
      </c>
    </row>
    <row r="11" spans="1:5" ht="36">
      <c r="A11" s="1262" t="s">
        <v>674</v>
      </c>
      <c r="B11" s="1259">
        <v>1836.22</v>
      </c>
      <c r="C11" s="1259">
        <v>485</v>
      </c>
      <c r="D11" s="1265" t="s">
        <v>2136</v>
      </c>
    </row>
    <row r="12" spans="1:5" ht="36">
      <c r="A12" s="1262" t="s">
        <v>2140</v>
      </c>
      <c r="B12" s="1259">
        <v>1915.89</v>
      </c>
      <c r="C12" s="1259">
        <v>485</v>
      </c>
      <c r="D12" s="1265" t="s">
        <v>2136</v>
      </c>
    </row>
    <row r="13" spans="1:5">
      <c r="A13" s="1262" t="s">
        <v>2139</v>
      </c>
      <c r="B13" s="1259">
        <v>250</v>
      </c>
      <c r="C13" s="1259">
        <v>100</v>
      </c>
      <c r="D13" s="1266"/>
    </row>
    <row r="14" spans="1:5" ht="36">
      <c r="A14" s="1262" t="s">
        <v>1664</v>
      </c>
      <c r="B14" s="1259">
        <v>0</v>
      </c>
      <c r="C14" s="1259">
        <v>115</v>
      </c>
      <c r="D14" s="1265" t="s">
        <v>2136</v>
      </c>
    </row>
    <row r="15" spans="1:5" ht="36">
      <c r="A15" s="1262" t="s">
        <v>675</v>
      </c>
      <c r="B15" s="1259">
        <v>400</v>
      </c>
      <c r="C15" s="1259">
        <v>0</v>
      </c>
      <c r="D15" s="1265" t="s">
        <v>2136</v>
      </c>
    </row>
    <row r="16" spans="1:5" ht="36">
      <c r="A16" s="1262" t="s">
        <v>1666</v>
      </c>
      <c r="B16" s="1259">
        <v>400</v>
      </c>
      <c r="C16" s="1259">
        <v>0</v>
      </c>
      <c r="D16" s="1265" t="s">
        <v>2136</v>
      </c>
    </row>
    <row r="17" spans="1:4">
      <c r="A17" s="1263" t="s">
        <v>676</v>
      </c>
      <c r="B17" s="1259">
        <v>60</v>
      </c>
      <c r="C17" s="1264">
        <v>0</v>
      </c>
      <c r="D17" s="1267"/>
    </row>
    <row r="18" spans="1:4" ht="36">
      <c r="A18" s="1263" t="s">
        <v>677</v>
      </c>
      <c r="B18" s="1259">
        <v>1989</v>
      </c>
      <c r="C18" s="1259">
        <v>398</v>
      </c>
      <c r="D18" s="1265" t="s">
        <v>2136</v>
      </c>
    </row>
    <row r="19" spans="1:4" ht="36">
      <c r="A19" s="1262" t="s">
        <v>678</v>
      </c>
      <c r="B19" s="1259">
        <v>435</v>
      </c>
      <c r="C19" s="1259">
        <v>91</v>
      </c>
      <c r="D19" s="1265" t="s">
        <v>2136</v>
      </c>
    </row>
    <row r="20" spans="1:4">
      <c r="A20" s="1263" t="s">
        <v>679</v>
      </c>
      <c r="B20" s="1259"/>
      <c r="C20" s="1259"/>
      <c r="D20" s="1266"/>
    </row>
    <row r="21" spans="1:4" ht="36">
      <c r="A21" s="1263" t="s">
        <v>2138</v>
      </c>
      <c r="B21" s="1259">
        <v>19.03</v>
      </c>
      <c r="C21" s="1259">
        <v>4.0999999999999996</v>
      </c>
      <c r="D21" s="1265" t="s">
        <v>2136</v>
      </c>
    </row>
    <row r="22" spans="1:4" ht="36">
      <c r="A22" s="1263" t="s">
        <v>1696</v>
      </c>
      <c r="B22" s="1259">
        <v>18.2</v>
      </c>
      <c r="C22" s="1259">
        <v>4.0999999999999996</v>
      </c>
      <c r="D22" s="1265" t="s">
        <v>2136</v>
      </c>
    </row>
    <row r="23" spans="1:4" ht="36">
      <c r="A23" s="1263" t="s">
        <v>1697</v>
      </c>
      <c r="B23" s="1259">
        <v>17.760000000000002</v>
      </c>
      <c r="C23" s="1259">
        <v>3.3</v>
      </c>
      <c r="D23" s="1265" t="s">
        <v>2136</v>
      </c>
    </row>
    <row r="24" spans="1:4" ht="36">
      <c r="A24" s="1263" t="s">
        <v>1698</v>
      </c>
      <c r="B24" s="1259">
        <v>17.559999999999999</v>
      </c>
      <c r="C24" s="1259">
        <v>3.3</v>
      </c>
      <c r="D24" s="1265" t="s">
        <v>2136</v>
      </c>
    </row>
    <row r="25" spans="1:4" ht="36">
      <c r="A25" s="1263" t="s">
        <v>1699</v>
      </c>
      <c r="B25" s="1259">
        <v>17.559999999999999</v>
      </c>
      <c r="C25" s="1259">
        <v>2.9</v>
      </c>
      <c r="D25" s="1265" t="s">
        <v>2136</v>
      </c>
    </row>
    <row r="26" spans="1:4" ht="36">
      <c r="A26" s="1263" t="s">
        <v>1700</v>
      </c>
      <c r="B26" s="1259">
        <v>17.559999999999999</v>
      </c>
      <c r="C26" s="1259">
        <v>2.9</v>
      </c>
      <c r="D26" s="1265" t="s">
        <v>2136</v>
      </c>
    </row>
    <row r="27" spans="1:4" ht="36">
      <c r="A27" s="1263" t="s">
        <v>2137</v>
      </c>
      <c r="B27" s="1259">
        <v>17.559999999999999</v>
      </c>
      <c r="C27" s="1264">
        <v>2.9</v>
      </c>
      <c r="D27" s="1265" t="s">
        <v>2136</v>
      </c>
    </row>
    <row r="28" spans="1:4" ht="36">
      <c r="A28" s="1263" t="s">
        <v>1673</v>
      </c>
      <c r="B28" s="1259">
        <v>17.559999999999999</v>
      </c>
      <c r="C28" s="1264">
        <v>2.9</v>
      </c>
      <c r="D28" s="1265" t="s">
        <v>2136</v>
      </c>
    </row>
    <row r="29" spans="1:4">
      <c r="A29" s="1263" t="s">
        <v>680</v>
      </c>
      <c r="B29" s="1259">
        <v>53.27</v>
      </c>
      <c r="C29" s="1264">
        <v>0</v>
      </c>
      <c r="D29" s="1261"/>
    </row>
    <row r="30" spans="1:4">
      <c r="A30" s="1262" t="s">
        <v>914</v>
      </c>
      <c r="B30" s="1259">
        <v>280</v>
      </c>
      <c r="C30" s="1259">
        <v>35</v>
      </c>
      <c r="D30" s="1261"/>
    </row>
    <row r="31" spans="1:4">
      <c r="A31" s="1262" t="s">
        <v>2135</v>
      </c>
      <c r="B31" s="1259">
        <v>270</v>
      </c>
      <c r="C31" s="1259">
        <v>87</v>
      </c>
      <c r="D31" s="1261"/>
    </row>
    <row r="32" spans="1:4">
      <c r="A32" s="1262" t="s">
        <v>2134</v>
      </c>
      <c r="B32" s="1259">
        <v>100</v>
      </c>
      <c r="C32" s="1259">
        <v>30</v>
      </c>
      <c r="D32" s="1261"/>
    </row>
    <row r="33" spans="1:4">
      <c r="A33" s="1263" t="s">
        <v>687</v>
      </c>
      <c r="B33" s="1259"/>
      <c r="C33" s="1259"/>
      <c r="D33" s="1261"/>
    </row>
    <row r="34" spans="1:4">
      <c r="A34" s="1263" t="s">
        <v>1679</v>
      </c>
      <c r="B34" s="1259">
        <v>23.5</v>
      </c>
      <c r="C34" s="1259">
        <v>14</v>
      </c>
      <c r="D34" s="1261"/>
    </row>
    <row r="35" spans="1:4">
      <c r="A35" s="1263" t="s">
        <v>1701</v>
      </c>
      <c r="B35" s="1259">
        <v>23.5</v>
      </c>
      <c r="C35" s="1259">
        <v>14</v>
      </c>
      <c r="D35" s="1261"/>
    </row>
    <row r="36" spans="1:4">
      <c r="A36" s="1263" t="s">
        <v>1763</v>
      </c>
      <c r="B36" s="1259">
        <v>23.5</v>
      </c>
      <c r="C36" s="1259">
        <v>14</v>
      </c>
      <c r="D36" s="1261"/>
    </row>
    <row r="37" spans="1:4">
      <c r="A37" s="1263" t="s">
        <v>1680</v>
      </c>
      <c r="B37" s="1259">
        <v>23.5</v>
      </c>
      <c r="C37" s="1259">
        <v>14</v>
      </c>
      <c r="D37" s="1261"/>
    </row>
    <row r="38" spans="1:4">
      <c r="A38" s="1263" t="s">
        <v>1681</v>
      </c>
      <c r="B38" s="1259">
        <v>23.5</v>
      </c>
      <c r="C38" s="1259">
        <v>14</v>
      </c>
      <c r="D38" s="1261"/>
    </row>
    <row r="39" spans="1:4">
      <c r="A39" s="1263" t="s">
        <v>1682</v>
      </c>
      <c r="B39" s="1259">
        <v>23.5</v>
      </c>
      <c r="C39" s="1259">
        <v>14</v>
      </c>
      <c r="D39" s="1261"/>
    </row>
    <row r="40" spans="1:4">
      <c r="A40" s="1263" t="s">
        <v>1693</v>
      </c>
      <c r="B40" s="1259">
        <v>23.5</v>
      </c>
      <c r="C40" s="1259">
        <v>14</v>
      </c>
      <c r="D40" s="1261"/>
    </row>
    <row r="41" spans="1:4">
      <c r="A41" s="1263" t="s">
        <v>1687</v>
      </c>
      <c r="B41" s="1259">
        <v>23.5</v>
      </c>
      <c r="C41" s="1259">
        <v>14</v>
      </c>
      <c r="D41" s="1261"/>
    </row>
    <row r="42" spans="1:4">
      <c r="A42" s="1263" t="s">
        <v>1688</v>
      </c>
      <c r="B42" s="1259">
        <v>23.5</v>
      </c>
      <c r="C42" s="1259">
        <v>14</v>
      </c>
      <c r="D42" s="1261"/>
    </row>
    <row r="43" spans="1:4">
      <c r="A43" s="1263" t="s">
        <v>1694</v>
      </c>
      <c r="B43" s="1259">
        <v>23.5</v>
      </c>
      <c r="C43" s="1259">
        <v>14</v>
      </c>
      <c r="D43" s="1261"/>
    </row>
    <row r="44" spans="1:4">
      <c r="A44" s="1263" t="s">
        <v>1683</v>
      </c>
      <c r="B44" s="1259">
        <v>18.3</v>
      </c>
      <c r="C44" s="1259">
        <v>14</v>
      </c>
      <c r="D44" s="1261"/>
    </row>
    <row r="45" spans="1:4">
      <c r="A45" s="1263" t="s">
        <v>1695</v>
      </c>
      <c r="B45" s="1259">
        <v>18.3</v>
      </c>
      <c r="C45" s="1259">
        <v>14</v>
      </c>
      <c r="D45" s="1261"/>
    </row>
    <row r="46" spans="1:4">
      <c r="A46" s="1263" t="s">
        <v>1766</v>
      </c>
      <c r="B46" s="1259">
        <v>18.3</v>
      </c>
      <c r="C46" s="1259">
        <v>14</v>
      </c>
      <c r="D46" s="1261"/>
    </row>
    <row r="47" spans="1:4">
      <c r="A47" s="1262" t="s">
        <v>1689</v>
      </c>
      <c r="B47" s="1259">
        <v>18.3</v>
      </c>
      <c r="C47" s="1259">
        <v>14</v>
      </c>
      <c r="D47" s="1261"/>
    </row>
    <row r="48" spans="1:4">
      <c r="A48" s="1262" t="s">
        <v>1684</v>
      </c>
      <c r="B48" s="1259">
        <v>25</v>
      </c>
      <c r="C48" s="1259">
        <v>14</v>
      </c>
      <c r="D48" s="1261"/>
    </row>
    <row r="49" spans="1:4">
      <c r="A49" s="1262" t="s">
        <v>1764</v>
      </c>
      <c r="B49" s="1259">
        <v>35</v>
      </c>
      <c r="C49" s="1259">
        <v>15</v>
      </c>
      <c r="D49" s="1261"/>
    </row>
    <row r="50" spans="1:4">
      <c r="A50" s="1262" t="s">
        <v>1765</v>
      </c>
      <c r="B50" s="1259">
        <v>35</v>
      </c>
      <c r="C50" s="1259">
        <v>15</v>
      </c>
      <c r="D50" s="1261"/>
    </row>
    <row r="51" spans="1:4">
      <c r="A51" s="1262" t="s">
        <v>1767</v>
      </c>
      <c r="B51" s="1259">
        <v>35</v>
      </c>
      <c r="C51" s="1259">
        <v>15</v>
      </c>
      <c r="D51" s="1261"/>
    </row>
    <row r="52" spans="1:4">
      <c r="A52" s="1262" t="s">
        <v>1690</v>
      </c>
      <c r="B52" s="1259">
        <v>17.899999999999999</v>
      </c>
      <c r="C52" s="1259">
        <v>3.3</v>
      </c>
      <c r="D52" s="1261"/>
    </row>
    <row r="53" spans="1:4">
      <c r="A53" s="1262" t="s">
        <v>1691</v>
      </c>
      <c r="B53" s="1259">
        <v>17.66</v>
      </c>
      <c r="C53" s="1259">
        <v>3.3</v>
      </c>
      <c r="D53" s="1261"/>
    </row>
    <row r="54" spans="1:4">
      <c r="A54" s="1260" t="s">
        <v>1692</v>
      </c>
      <c r="B54" s="1259">
        <v>17.73</v>
      </c>
      <c r="C54" s="1259">
        <v>2.9</v>
      </c>
    </row>
    <row r="55" spans="1:4">
      <c r="A55" s="1260" t="s">
        <v>1685</v>
      </c>
      <c r="B55" s="1259">
        <v>210</v>
      </c>
      <c r="C55" s="1259">
        <v>100</v>
      </c>
    </row>
    <row r="56" spans="1:4">
      <c r="A56" s="1260" t="s">
        <v>1768</v>
      </c>
      <c r="B56" s="1259">
        <v>310</v>
      </c>
      <c r="C56" s="1259">
        <v>100</v>
      </c>
    </row>
    <row r="57" spans="1:4">
      <c r="A57" s="1260" t="s">
        <v>688</v>
      </c>
      <c r="B57" s="1259">
        <v>30</v>
      </c>
      <c r="C57" s="1259">
        <v>30</v>
      </c>
      <c r="D57" s="1255" t="s">
        <v>2133</v>
      </c>
    </row>
    <row r="58" spans="1:4">
      <c r="A58" s="1258" t="s">
        <v>1686</v>
      </c>
      <c r="B58" s="1257">
        <v>280</v>
      </c>
      <c r="C58" s="1256">
        <v>30</v>
      </c>
      <c r="D58" s="1255"/>
    </row>
    <row r="62" spans="1:4">
      <c r="A62" s="1254" t="s">
        <v>2132</v>
      </c>
      <c r="B62" s="1252" t="s">
        <v>2131</v>
      </c>
    </row>
    <row r="63" spans="1:4">
      <c r="A63" s="1253" t="s">
        <v>2130</v>
      </c>
    </row>
  </sheetData>
  <sheetProtection algorithmName="SHA-512" hashValue="zJ19yt9v7aHZgW3x0VSCtWvRtmUjObKcP+/r+EcCeqHbPyUZxuewDU6y+2Fbg7/1aVTuY11jwuv2M6w5ZAygYA==" saltValue="o4C/UgdiLDNP1DykX4aTBA==" spinCount="100000" sheet="1" objects="1" scenarios="1"/>
  <pageMargins left="0.7" right="0.7" top="0.75" bottom="0.75" header="0.3" footer="0.3"/>
  <pageSetup paperSize="9" scale="47" orientation="portrait" r:id="rId1"/>
  <rowBreaks count="1" manualBreakCount="1">
    <brk id="58" max="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topLeftCell="A29" zoomScaleSheetLayoutView="100" workbookViewId="0">
      <selection activeCell="W53" sqref="W53"/>
    </sheetView>
  </sheetViews>
  <sheetFormatPr defaultColWidth="8.85546875" defaultRowHeight="20.25"/>
  <cols>
    <col min="1" max="1" width="13.42578125" style="692" customWidth="1"/>
    <col min="2" max="2" width="11" style="692" customWidth="1"/>
    <col min="3" max="3" width="3.28515625" style="692" customWidth="1"/>
    <col min="4" max="4" width="9.140625" style="692"/>
    <col min="5" max="5" width="4.7109375" style="692" customWidth="1"/>
    <col min="6" max="6" width="2.42578125" style="692" customWidth="1"/>
    <col min="7" max="7" width="3.28515625" style="692" customWidth="1"/>
    <col min="8" max="8" width="5" style="692" customWidth="1"/>
    <col min="9" max="9" width="3.28515625" style="692" customWidth="1"/>
    <col min="10" max="10" width="5" style="692" customWidth="1"/>
    <col min="11" max="11" width="3.28515625" style="692" customWidth="1"/>
    <col min="12" max="12" width="5.85546875" style="692" customWidth="1"/>
    <col min="13" max="13" width="3.28515625" style="692" customWidth="1"/>
    <col min="14" max="14" width="5" style="692" customWidth="1"/>
    <col min="15" max="15" width="3.28515625" style="692" customWidth="1"/>
    <col min="16" max="16" width="5.7109375" style="692" customWidth="1"/>
    <col min="17" max="17" width="3.28515625" style="692" customWidth="1"/>
    <col min="18" max="19" width="2.42578125" style="692" customWidth="1"/>
    <col min="20" max="20" width="7.42578125" style="692" customWidth="1"/>
    <col min="21" max="22" width="9.140625" style="692"/>
    <col min="23" max="23" width="14.28515625" style="692" customWidth="1"/>
    <col min="24" max="257" width="9.140625" style="692"/>
    <col min="258" max="258" width="13.42578125" style="692" customWidth="1"/>
    <col min="259" max="259" width="11" style="692" customWidth="1"/>
    <col min="260" max="260" width="3.28515625" style="692" customWidth="1"/>
    <col min="261" max="261" width="9.140625" style="692"/>
    <col min="262" max="262" width="2.42578125" style="692" customWidth="1"/>
    <col min="263" max="263" width="3.28515625" style="692" customWidth="1"/>
    <col min="264" max="264" width="5" style="692" customWidth="1"/>
    <col min="265" max="265" width="3.28515625" style="692" customWidth="1"/>
    <col min="266" max="266" width="5" style="692" customWidth="1"/>
    <col min="267" max="269" width="3.28515625" style="692" customWidth="1"/>
    <col min="270" max="270" width="5" style="692" customWidth="1"/>
    <col min="271" max="271" width="3.28515625" style="692" customWidth="1"/>
    <col min="272" max="272" width="5" style="692" customWidth="1"/>
    <col min="273" max="274" width="3.28515625" style="692" customWidth="1"/>
    <col min="275" max="275" width="2.42578125" style="692" customWidth="1"/>
    <col min="276" max="276" width="7.42578125" style="692" customWidth="1"/>
    <col min="277" max="278" width="9.140625" style="692"/>
    <col min="279" max="279" width="21.7109375" style="692" customWidth="1"/>
    <col min="280" max="513" width="9.140625" style="692"/>
    <col min="514" max="514" width="13.42578125" style="692" customWidth="1"/>
    <col min="515" max="515" width="11" style="692" customWidth="1"/>
    <col min="516" max="516" width="3.28515625" style="692" customWidth="1"/>
    <col min="517" max="517" width="9.140625" style="692"/>
    <col min="518" max="518" width="2.42578125" style="692" customWidth="1"/>
    <col min="519" max="519" width="3.28515625" style="692" customWidth="1"/>
    <col min="520" max="520" width="5" style="692" customWidth="1"/>
    <col min="521" max="521" width="3.28515625" style="692" customWidth="1"/>
    <col min="522" max="522" width="5" style="692" customWidth="1"/>
    <col min="523" max="525" width="3.28515625" style="692" customWidth="1"/>
    <col min="526" max="526" width="5" style="692" customWidth="1"/>
    <col min="527" max="527" width="3.28515625" style="692" customWidth="1"/>
    <col min="528" max="528" width="5" style="692" customWidth="1"/>
    <col min="529" max="530" width="3.28515625" style="692" customWidth="1"/>
    <col min="531" max="531" width="2.42578125" style="692" customWidth="1"/>
    <col min="532" max="532" width="7.42578125" style="692" customWidth="1"/>
    <col min="533" max="534" width="9.140625" style="692"/>
    <col min="535" max="535" width="21.7109375" style="692" customWidth="1"/>
    <col min="536" max="769" width="9.140625" style="692"/>
    <col min="770" max="770" width="13.42578125" style="692" customWidth="1"/>
    <col min="771" max="771" width="11" style="692" customWidth="1"/>
    <col min="772" max="772" width="3.28515625" style="692" customWidth="1"/>
    <col min="773" max="773" width="9.140625" style="692"/>
    <col min="774" max="774" width="2.42578125" style="692" customWidth="1"/>
    <col min="775" max="775" width="3.28515625" style="692" customWidth="1"/>
    <col min="776" max="776" width="5" style="692" customWidth="1"/>
    <col min="777" max="777" width="3.28515625" style="692" customWidth="1"/>
    <col min="778" max="778" width="5" style="692" customWidth="1"/>
    <col min="779" max="781" width="3.28515625" style="692" customWidth="1"/>
    <col min="782" max="782" width="5" style="692" customWidth="1"/>
    <col min="783" max="783" width="3.28515625" style="692" customWidth="1"/>
    <col min="784" max="784" width="5" style="692" customWidth="1"/>
    <col min="785" max="786" width="3.28515625" style="692" customWidth="1"/>
    <col min="787" max="787" width="2.42578125" style="692" customWidth="1"/>
    <col min="788" max="788" width="7.42578125" style="692" customWidth="1"/>
    <col min="789" max="790" width="9.140625" style="692"/>
    <col min="791" max="791" width="21.7109375" style="692" customWidth="1"/>
    <col min="792" max="1025" width="9.140625" style="692"/>
    <col min="1026" max="1026" width="13.42578125" style="692" customWidth="1"/>
    <col min="1027" max="1027" width="11" style="692" customWidth="1"/>
    <col min="1028" max="1028" width="3.28515625" style="692" customWidth="1"/>
    <col min="1029" max="1029" width="9.140625" style="692"/>
    <col min="1030" max="1030" width="2.42578125" style="692" customWidth="1"/>
    <col min="1031" max="1031" width="3.28515625" style="692" customWidth="1"/>
    <col min="1032" max="1032" width="5" style="692" customWidth="1"/>
    <col min="1033" max="1033" width="3.28515625" style="692" customWidth="1"/>
    <col min="1034" max="1034" width="5" style="692" customWidth="1"/>
    <col min="1035" max="1037" width="3.28515625" style="692" customWidth="1"/>
    <col min="1038" max="1038" width="5" style="692" customWidth="1"/>
    <col min="1039" max="1039" width="3.28515625" style="692" customWidth="1"/>
    <col min="1040" max="1040" width="5" style="692" customWidth="1"/>
    <col min="1041" max="1042" width="3.28515625" style="692" customWidth="1"/>
    <col min="1043" max="1043" width="2.42578125" style="692" customWidth="1"/>
    <col min="1044" max="1044" width="7.42578125" style="692" customWidth="1"/>
    <col min="1045" max="1046" width="9.140625" style="692"/>
    <col min="1047" max="1047" width="21.7109375" style="692" customWidth="1"/>
    <col min="1048" max="1281" width="9.140625" style="692"/>
    <col min="1282" max="1282" width="13.42578125" style="692" customWidth="1"/>
    <col min="1283" max="1283" width="11" style="692" customWidth="1"/>
    <col min="1284" max="1284" width="3.28515625" style="692" customWidth="1"/>
    <col min="1285" max="1285" width="9.140625" style="692"/>
    <col min="1286" max="1286" width="2.42578125" style="692" customWidth="1"/>
    <col min="1287" max="1287" width="3.28515625" style="692" customWidth="1"/>
    <col min="1288" max="1288" width="5" style="692" customWidth="1"/>
    <col min="1289" max="1289" width="3.28515625" style="692" customWidth="1"/>
    <col min="1290" max="1290" width="5" style="692" customWidth="1"/>
    <col min="1291" max="1293" width="3.28515625" style="692" customWidth="1"/>
    <col min="1294" max="1294" width="5" style="692" customWidth="1"/>
    <col min="1295" max="1295" width="3.28515625" style="692" customWidth="1"/>
    <col min="1296" max="1296" width="5" style="692" customWidth="1"/>
    <col min="1297" max="1298" width="3.28515625" style="692" customWidth="1"/>
    <col min="1299" max="1299" width="2.42578125" style="692" customWidth="1"/>
    <col min="1300" max="1300" width="7.42578125" style="692" customWidth="1"/>
    <col min="1301" max="1302" width="9.140625" style="692"/>
    <col min="1303" max="1303" width="21.7109375" style="692" customWidth="1"/>
    <col min="1304" max="1537" width="9.140625" style="692"/>
    <col min="1538" max="1538" width="13.42578125" style="692" customWidth="1"/>
    <col min="1539" max="1539" width="11" style="692" customWidth="1"/>
    <col min="1540" max="1540" width="3.28515625" style="692" customWidth="1"/>
    <col min="1541" max="1541" width="9.140625" style="692"/>
    <col min="1542" max="1542" width="2.42578125" style="692" customWidth="1"/>
    <col min="1543" max="1543" width="3.28515625" style="692" customWidth="1"/>
    <col min="1544" max="1544" width="5" style="692" customWidth="1"/>
    <col min="1545" max="1545" width="3.28515625" style="692" customWidth="1"/>
    <col min="1546" max="1546" width="5" style="692" customWidth="1"/>
    <col min="1547" max="1549" width="3.28515625" style="692" customWidth="1"/>
    <col min="1550" max="1550" width="5" style="692" customWidth="1"/>
    <col min="1551" max="1551" width="3.28515625" style="692" customWidth="1"/>
    <col min="1552" max="1552" width="5" style="692" customWidth="1"/>
    <col min="1553" max="1554" width="3.28515625" style="692" customWidth="1"/>
    <col min="1555" max="1555" width="2.42578125" style="692" customWidth="1"/>
    <col min="1556" max="1556" width="7.42578125" style="692" customWidth="1"/>
    <col min="1557" max="1558" width="9.140625" style="692"/>
    <col min="1559" max="1559" width="21.7109375" style="692" customWidth="1"/>
    <col min="1560" max="1793" width="9.140625" style="692"/>
    <col min="1794" max="1794" width="13.42578125" style="692" customWidth="1"/>
    <col min="1795" max="1795" width="11" style="692" customWidth="1"/>
    <col min="1796" max="1796" width="3.28515625" style="692" customWidth="1"/>
    <col min="1797" max="1797" width="9.140625" style="692"/>
    <col min="1798" max="1798" width="2.42578125" style="692" customWidth="1"/>
    <col min="1799" max="1799" width="3.28515625" style="692" customWidth="1"/>
    <col min="1800" max="1800" width="5" style="692" customWidth="1"/>
    <col min="1801" max="1801" width="3.28515625" style="692" customWidth="1"/>
    <col min="1802" max="1802" width="5" style="692" customWidth="1"/>
    <col min="1803" max="1805" width="3.28515625" style="692" customWidth="1"/>
    <col min="1806" max="1806" width="5" style="692" customWidth="1"/>
    <col min="1807" max="1807" width="3.28515625" style="692" customWidth="1"/>
    <col min="1808" max="1808" width="5" style="692" customWidth="1"/>
    <col min="1809" max="1810" width="3.28515625" style="692" customWidth="1"/>
    <col min="1811" max="1811" width="2.42578125" style="692" customWidth="1"/>
    <col min="1812" max="1812" width="7.42578125" style="692" customWidth="1"/>
    <col min="1813" max="1814" width="9.140625" style="692"/>
    <col min="1815" max="1815" width="21.7109375" style="692" customWidth="1"/>
    <col min="1816" max="2049" width="9.140625" style="692"/>
    <col min="2050" max="2050" width="13.42578125" style="692" customWidth="1"/>
    <col min="2051" max="2051" width="11" style="692" customWidth="1"/>
    <col min="2052" max="2052" width="3.28515625" style="692" customWidth="1"/>
    <col min="2053" max="2053" width="9.140625" style="692"/>
    <col min="2054" max="2054" width="2.42578125" style="692" customWidth="1"/>
    <col min="2055" max="2055" width="3.28515625" style="692" customWidth="1"/>
    <col min="2056" max="2056" width="5" style="692" customWidth="1"/>
    <col min="2057" max="2057" width="3.28515625" style="692" customWidth="1"/>
    <col min="2058" max="2058" width="5" style="692" customWidth="1"/>
    <col min="2059" max="2061" width="3.28515625" style="692" customWidth="1"/>
    <col min="2062" max="2062" width="5" style="692" customWidth="1"/>
    <col min="2063" max="2063" width="3.28515625" style="692" customWidth="1"/>
    <col min="2064" max="2064" width="5" style="692" customWidth="1"/>
    <col min="2065" max="2066" width="3.28515625" style="692" customWidth="1"/>
    <col min="2067" max="2067" width="2.42578125" style="692" customWidth="1"/>
    <col min="2068" max="2068" width="7.42578125" style="692" customWidth="1"/>
    <col min="2069" max="2070" width="9.140625" style="692"/>
    <col min="2071" max="2071" width="21.7109375" style="692" customWidth="1"/>
    <col min="2072" max="2305" width="9.140625" style="692"/>
    <col min="2306" max="2306" width="13.42578125" style="692" customWidth="1"/>
    <col min="2307" max="2307" width="11" style="692" customWidth="1"/>
    <col min="2308" max="2308" width="3.28515625" style="692" customWidth="1"/>
    <col min="2309" max="2309" width="9.140625" style="692"/>
    <col min="2310" max="2310" width="2.42578125" style="692" customWidth="1"/>
    <col min="2311" max="2311" width="3.28515625" style="692" customWidth="1"/>
    <col min="2312" max="2312" width="5" style="692" customWidth="1"/>
    <col min="2313" max="2313" width="3.28515625" style="692" customWidth="1"/>
    <col min="2314" max="2314" width="5" style="692" customWidth="1"/>
    <col min="2315" max="2317" width="3.28515625" style="692" customWidth="1"/>
    <col min="2318" max="2318" width="5" style="692" customWidth="1"/>
    <col min="2319" max="2319" width="3.28515625" style="692" customWidth="1"/>
    <col min="2320" max="2320" width="5" style="692" customWidth="1"/>
    <col min="2321" max="2322" width="3.28515625" style="692" customWidth="1"/>
    <col min="2323" max="2323" width="2.42578125" style="692" customWidth="1"/>
    <col min="2324" max="2324" width="7.42578125" style="692" customWidth="1"/>
    <col min="2325" max="2326" width="9.140625" style="692"/>
    <col min="2327" max="2327" width="21.7109375" style="692" customWidth="1"/>
    <col min="2328" max="2561" width="9.140625" style="692"/>
    <col min="2562" max="2562" width="13.42578125" style="692" customWidth="1"/>
    <col min="2563" max="2563" width="11" style="692" customWidth="1"/>
    <col min="2564" max="2564" width="3.28515625" style="692" customWidth="1"/>
    <col min="2565" max="2565" width="9.140625" style="692"/>
    <col min="2566" max="2566" width="2.42578125" style="692" customWidth="1"/>
    <col min="2567" max="2567" width="3.28515625" style="692" customWidth="1"/>
    <col min="2568" max="2568" width="5" style="692" customWidth="1"/>
    <col min="2569" max="2569" width="3.28515625" style="692" customWidth="1"/>
    <col min="2570" max="2570" width="5" style="692" customWidth="1"/>
    <col min="2571" max="2573" width="3.28515625" style="692" customWidth="1"/>
    <col min="2574" max="2574" width="5" style="692" customWidth="1"/>
    <col min="2575" max="2575" width="3.28515625" style="692" customWidth="1"/>
    <col min="2576" max="2576" width="5" style="692" customWidth="1"/>
    <col min="2577" max="2578" width="3.28515625" style="692" customWidth="1"/>
    <col min="2579" max="2579" width="2.42578125" style="692" customWidth="1"/>
    <col min="2580" max="2580" width="7.42578125" style="692" customWidth="1"/>
    <col min="2581" max="2582" width="9.140625" style="692"/>
    <col min="2583" max="2583" width="21.7109375" style="692" customWidth="1"/>
    <col min="2584" max="2817" width="9.140625" style="692"/>
    <col min="2818" max="2818" width="13.42578125" style="692" customWidth="1"/>
    <col min="2819" max="2819" width="11" style="692" customWidth="1"/>
    <col min="2820" max="2820" width="3.28515625" style="692" customWidth="1"/>
    <col min="2821" max="2821" width="9.140625" style="692"/>
    <col min="2822" max="2822" width="2.42578125" style="692" customWidth="1"/>
    <col min="2823" max="2823" width="3.28515625" style="692" customWidth="1"/>
    <col min="2824" max="2824" width="5" style="692" customWidth="1"/>
    <col min="2825" max="2825" width="3.28515625" style="692" customWidth="1"/>
    <col min="2826" max="2826" width="5" style="692" customWidth="1"/>
    <col min="2827" max="2829" width="3.28515625" style="692" customWidth="1"/>
    <col min="2830" max="2830" width="5" style="692" customWidth="1"/>
    <col min="2831" max="2831" width="3.28515625" style="692" customWidth="1"/>
    <col min="2832" max="2832" width="5" style="692" customWidth="1"/>
    <col min="2833" max="2834" width="3.28515625" style="692" customWidth="1"/>
    <col min="2835" max="2835" width="2.42578125" style="692" customWidth="1"/>
    <col min="2836" max="2836" width="7.42578125" style="692" customWidth="1"/>
    <col min="2837" max="2838" width="9.140625" style="692"/>
    <col min="2839" max="2839" width="21.7109375" style="692" customWidth="1"/>
    <col min="2840" max="3073" width="9.140625" style="692"/>
    <col min="3074" max="3074" width="13.42578125" style="692" customWidth="1"/>
    <col min="3075" max="3075" width="11" style="692" customWidth="1"/>
    <col min="3076" max="3076" width="3.28515625" style="692" customWidth="1"/>
    <col min="3077" max="3077" width="9.140625" style="692"/>
    <col min="3078" max="3078" width="2.42578125" style="692" customWidth="1"/>
    <col min="3079" max="3079" width="3.28515625" style="692" customWidth="1"/>
    <col min="3080" max="3080" width="5" style="692" customWidth="1"/>
    <col min="3081" max="3081" width="3.28515625" style="692" customWidth="1"/>
    <col min="3082" max="3082" width="5" style="692" customWidth="1"/>
    <col min="3083" max="3085" width="3.28515625" style="692" customWidth="1"/>
    <col min="3086" max="3086" width="5" style="692" customWidth="1"/>
    <col min="3087" max="3087" width="3.28515625" style="692" customWidth="1"/>
    <col min="3088" max="3088" width="5" style="692" customWidth="1"/>
    <col min="3089" max="3090" width="3.28515625" style="692" customWidth="1"/>
    <col min="3091" max="3091" width="2.42578125" style="692" customWidth="1"/>
    <col min="3092" max="3092" width="7.42578125" style="692" customWidth="1"/>
    <col min="3093" max="3094" width="9.140625" style="692"/>
    <col min="3095" max="3095" width="21.7109375" style="692" customWidth="1"/>
    <col min="3096" max="3329" width="9.140625" style="692"/>
    <col min="3330" max="3330" width="13.42578125" style="692" customWidth="1"/>
    <col min="3331" max="3331" width="11" style="692" customWidth="1"/>
    <col min="3332" max="3332" width="3.28515625" style="692" customWidth="1"/>
    <col min="3333" max="3333" width="9.140625" style="692"/>
    <col min="3334" max="3334" width="2.42578125" style="692" customWidth="1"/>
    <col min="3335" max="3335" width="3.28515625" style="692" customWidth="1"/>
    <col min="3336" max="3336" width="5" style="692" customWidth="1"/>
    <col min="3337" max="3337" width="3.28515625" style="692" customWidth="1"/>
    <col min="3338" max="3338" width="5" style="692" customWidth="1"/>
    <col min="3339" max="3341" width="3.28515625" style="692" customWidth="1"/>
    <col min="3342" max="3342" width="5" style="692" customWidth="1"/>
    <col min="3343" max="3343" width="3.28515625" style="692" customWidth="1"/>
    <col min="3344" max="3344" width="5" style="692" customWidth="1"/>
    <col min="3345" max="3346" width="3.28515625" style="692" customWidth="1"/>
    <col min="3347" max="3347" width="2.42578125" style="692" customWidth="1"/>
    <col min="3348" max="3348" width="7.42578125" style="692" customWidth="1"/>
    <col min="3349" max="3350" width="9.140625" style="692"/>
    <col min="3351" max="3351" width="21.7109375" style="692" customWidth="1"/>
    <col min="3352" max="3585" width="9.140625" style="692"/>
    <col min="3586" max="3586" width="13.42578125" style="692" customWidth="1"/>
    <col min="3587" max="3587" width="11" style="692" customWidth="1"/>
    <col min="3588" max="3588" width="3.28515625" style="692" customWidth="1"/>
    <col min="3589" max="3589" width="9.140625" style="692"/>
    <col min="3590" max="3590" width="2.42578125" style="692" customWidth="1"/>
    <col min="3591" max="3591" width="3.28515625" style="692" customWidth="1"/>
    <col min="3592" max="3592" width="5" style="692" customWidth="1"/>
    <col min="3593" max="3593" width="3.28515625" style="692" customWidth="1"/>
    <col min="3594" max="3594" width="5" style="692" customWidth="1"/>
    <col min="3595" max="3597" width="3.28515625" style="692" customWidth="1"/>
    <col min="3598" max="3598" width="5" style="692" customWidth="1"/>
    <col min="3599" max="3599" width="3.28515625" style="692" customWidth="1"/>
    <col min="3600" max="3600" width="5" style="692" customWidth="1"/>
    <col min="3601" max="3602" width="3.28515625" style="692" customWidth="1"/>
    <col min="3603" max="3603" width="2.42578125" style="692" customWidth="1"/>
    <col min="3604" max="3604" width="7.42578125" style="692" customWidth="1"/>
    <col min="3605" max="3606" width="9.140625" style="692"/>
    <col min="3607" max="3607" width="21.7109375" style="692" customWidth="1"/>
    <col min="3608" max="3841" width="9.140625" style="692"/>
    <col min="3842" max="3842" width="13.42578125" style="692" customWidth="1"/>
    <col min="3843" max="3843" width="11" style="692" customWidth="1"/>
    <col min="3844" max="3844" width="3.28515625" style="692" customWidth="1"/>
    <col min="3845" max="3845" width="9.140625" style="692"/>
    <col min="3846" max="3846" width="2.42578125" style="692" customWidth="1"/>
    <col min="3847" max="3847" width="3.28515625" style="692" customWidth="1"/>
    <col min="3848" max="3848" width="5" style="692" customWidth="1"/>
    <col min="3849" max="3849" width="3.28515625" style="692" customWidth="1"/>
    <col min="3850" max="3850" width="5" style="692" customWidth="1"/>
    <col min="3851" max="3853" width="3.28515625" style="692" customWidth="1"/>
    <col min="3854" max="3854" width="5" style="692" customWidth="1"/>
    <col min="3855" max="3855" width="3.28515625" style="692" customWidth="1"/>
    <col min="3856" max="3856" width="5" style="692" customWidth="1"/>
    <col min="3857" max="3858" width="3.28515625" style="692" customWidth="1"/>
    <col min="3859" max="3859" width="2.42578125" style="692" customWidth="1"/>
    <col min="3860" max="3860" width="7.42578125" style="692" customWidth="1"/>
    <col min="3861" max="3862" width="9.140625" style="692"/>
    <col min="3863" max="3863" width="21.7109375" style="692" customWidth="1"/>
    <col min="3864" max="4097" width="9.140625" style="692"/>
    <col min="4098" max="4098" width="13.42578125" style="692" customWidth="1"/>
    <col min="4099" max="4099" width="11" style="692" customWidth="1"/>
    <col min="4100" max="4100" width="3.28515625" style="692" customWidth="1"/>
    <col min="4101" max="4101" width="9.140625" style="692"/>
    <col min="4102" max="4102" width="2.42578125" style="692" customWidth="1"/>
    <col min="4103" max="4103" width="3.28515625" style="692" customWidth="1"/>
    <col min="4104" max="4104" width="5" style="692" customWidth="1"/>
    <col min="4105" max="4105" width="3.28515625" style="692" customWidth="1"/>
    <col min="4106" max="4106" width="5" style="692" customWidth="1"/>
    <col min="4107" max="4109" width="3.28515625" style="692" customWidth="1"/>
    <col min="4110" max="4110" width="5" style="692" customWidth="1"/>
    <col min="4111" max="4111" width="3.28515625" style="692" customWidth="1"/>
    <col min="4112" max="4112" width="5" style="692" customWidth="1"/>
    <col min="4113" max="4114" width="3.28515625" style="692" customWidth="1"/>
    <col min="4115" max="4115" width="2.42578125" style="692" customWidth="1"/>
    <col min="4116" max="4116" width="7.42578125" style="692" customWidth="1"/>
    <col min="4117" max="4118" width="9.140625" style="692"/>
    <col min="4119" max="4119" width="21.7109375" style="692" customWidth="1"/>
    <col min="4120" max="4353" width="9.140625" style="692"/>
    <col min="4354" max="4354" width="13.42578125" style="692" customWidth="1"/>
    <col min="4355" max="4355" width="11" style="692" customWidth="1"/>
    <col min="4356" max="4356" width="3.28515625" style="692" customWidth="1"/>
    <col min="4357" max="4357" width="9.140625" style="692"/>
    <col min="4358" max="4358" width="2.42578125" style="692" customWidth="1"/>
    <col min="4359" max="4359" width="3.28515625" style="692" customWidth="1"/>
    <col min="4360" max="4360" width="5" style="692" customWidth="1"/>
    <col min="4361" max="4361" width="3.28515625" style="692" customWidth="1"/>
    <col min="4362" max="4362" width="5" style="692" customWidth="1"/>
    <col min="4363" max="4365" width="3.28515625" style="692" customWidth="1"/>
    <col min="4366" max="4366" width="5" style="692" customWidth="1"/>
    <col min="4367" max="4367" width="3.28515625" style="692" customWidth="1"/>
    <col min="4368" max="4368" width="5" style="692" customWidth="1"/>
    <col min="4369" max="4370" width="3.28515625" style="692" customWidth="1"/>
    <col min="4371" max="4371" width="2.42578125" style="692" customWidth="1"/>
    <col min="4372" max="4372" width="7.42578125" style="692" customWidth="1"/>
    <col min="4373" max="4374" width="9.140625" style="692"/>
    <col min="4375" max="4375" width="21.7109375" style="692" customWidth="1"/>
    <col min="4376" max="4609" width="9.140625" style="692"/>
    <col min="4610" max="4610" width="13.42578125" style="692" customWidth="1"/>
    <col min="4611" max="4611" width="11" style="692" customWidth="1"/>
    <col min="4612" max="4612" width="3.28515625" style="692" customWidth="1"/>
    <col min="4613" max="4613" width="9.140625" style="692"/>
    <col min="4614" max="4614" width="2.42578125" style="692" customWidth="1"/>
    <col min="4615" max="4615" width="3.28515625" style="692" customWidth="1"/>
    <col min="4616" max="4616" width="5" style="692" customWidth="1"/>
    <col min="4617" max="4617" width="3.28515625" style="692" customWidth="1"/>
    <col min="4618" max="4618" width="5" style="692" customWidth="1"/>
    <col min="4619" max="4621" width="3.28515625" style="692" customWidth="1"/>
    <col min="4622" max="4622" width="5" style="692" customWidth="1"/>
    <col min="4623" max="4623" width="3.28515625" style="692" customWidth="1"/>
    <col min="4624" max="4624" width="5" style="692" customWidth="1"/>
    <col min="4625" max="4626" width="3.28515625" style="692" customWidth="1"/>
    <col min="4627" max="4627" width="2.42578125" style="692" customWidth="1"/>
    <col min="4628" max="4628" width="7.42578125" style="692" customWidth="1"/>
    <col min="4629" max="4630" width="9.140625" style="692"/>
    <col min="4631" max="4631" width="21.7109375" style="692" customWidth="1"/>
    <col min="4632" max="4865" width="9.140625" style="692"/>
    <col min="4866" max="4866" width="13.42578125" style="692" customWidth="1"/>
    <col min="4867" max="4867" width="11" style="692" customWidth="1"/>
    <col min="4868" max="4868" width="3.28515625" style="692" customWidth="1"/>
    <col min="4869" max="4869" width="9.140625" style="692"/>
    <col min="4870" max="4870" width="2.42578125" style="692" customWidth="1"/>
    <col min="4871" max="4871" width="3.28515625" style="692" customWidth="1"/>
    <col min="4872" max="4872" width="5" style="692" customWidth="1"/>
    <col min="4873" max="4873" width="3.28515625" style="692" customWidth="1"/>
    <col min="4874" max="4874" width="5" style="692" customWidth="1"/>
    <col min="4875" max="4877" width="3.28515625" style="692" customWidth="1"/>
    <col min="4878" max="4878" width="5" style="692" customWidth="1"/>
    <col min="4879" max="4879" width="3.28515625" style="692" customWidth="1"/>
    <col min="4880" max="4880" width="5" style="692" customWidth="1"/>
    <col min="4881" max="4882" width="3.28515625" style="692" customWidth="1"/>
    <col min="4883" max="4883" width="2.42578125" style="692" customWidth="1"/>
    <col min="4884" max="4884" width="7.42578125" style="692" customWidth="1"/>
    <col min="4885" max="4886" width="9.140625" style="692"/>
    <col min="4887" max="4887" width="21.7109375" style="692" customWidth="1"/>
    <col min="4888" max="5121" width="9.140625" style="692"/>
    <col min="5122" max="5122" width="13.42578125" style="692" customWidth="1"/>
    <col min="5123" max="5123" width="11" style="692" customWidth="1"/>
    <col min="5124" max="5124" width="3.28515625" style="692" customWidth="1"/>
    <col min="5125" max="5125" width="9.140625" style="692"/>
    <col min="5126" max="5126" width="2.42578125" style="692" customWidth="1"/>
    <col min="5127" max="5127" width="3.28515625" style="692" customWidth="1"/>
    <col min="5128" max="5128" width="5" style="692" customWidth="1"/>
    <col min="5129" max="5129" width="3.28515625" style="692" customWidth="1"/>
    <col min="5130" max="5130" width="5" style="692" customWidth="1"/>
    <col min="5131" max="5133" width="3.28515625" style="692" customWidth="1"/>
    <col min="5134" max="5134" width="5" style="692" customWidth="1"/>
    <col min="5135" max="5135" width="3.28515625" style="692" customWidth="1"/>
    <col min="5136" max="5136" width="5" style="692" customWidth="1"/>
    <col min="5137" max="5138" width="3.28515625" style="692" customWidth="1"/>
    <col min="5139" max="5139" width="2.42578125" style="692" customWidth="1"/>
    <col min="5140" max="5140" width="7.42578125" style="692" customWidth="1"/>
    <col min="5141" max="5142" width="9.140625" style="692"/>
    <col min="5143" max="5143" width="21.7109375" style="692" customWidth="1"/>
    <col min="5144" max="5377" width="9.140625" style="692"/>
    <col min="5378" max="5378" width="13.42578125" style="692" customWidth="1"/>
    <col min="5379" max="5379" width="11" style="692" customWidth="1"/>
    <col min="5380" max="5380" width="3.28515625" style="692" customWidth="1"/>
    <col min="5381" max="5381" width="9.140625" style="692"/>
    <col min="5382" max="5382" width="2.42578125" style="692" customWidth="1"/>
    <col min="5383" max="5383" width="3.28515625" style="692" customWidth="1"/>
    <col min="5384" max="5384" width="5" style="692" customWidth="1"/>
    <col min="5385" max="5385" width="3.28515625" style="692" customWidth="1"/>
    <col min="5386" max="5386" width="5" style="692" customWidth="1"/>
    <col min="5387" max="5389" width="3.28515625" style="692" customWidth="1"/>
    <col min="5390" max="5390" width="5" style="692" customWidth="1"/>
    <col min="5391" max="5391" width="3.28515625" style="692" customWidth="1"/>
    <col min="5392" max="5392" width="5" style="692" customWidth="1"/>
    <col min="5393" max="5394" width="3.28515625" style="692" customWidth="1"/>
    <col min="5395" max="5395" width="2.42578125" style="692" customWidth="1"/>
    <col min="5396" max="5396" width="7.42578125" style="692" customWidth="1"/>
    <col min="5397" max="5398" width="9.140625" style="692"/>
    <col min="5399" max="5399" width="21.7109375" style="692" customWidth="1"/>
    <col min="5400" max="5633" width="9.140625" style="692"/>
    <col min="5634" max="5634" width="13.42578125" style="692" customWidth="1"/>
    <col min="5635" max="5635" width="11" style="692" customWidth="1"/>
    <col min="5636" max="5636" width="3.28515625" style="692" customWidth="1"/>
    <col min="5637" max="5637" width="9.140625" style="692"/>
    <col min="5638" max="5638" width="2.42578125" style="692" customWidth="1"/>
    <col min="5639" max="5639" width="3.28515625" style="692" customWidth="1"/>
    <col min="5640" max="5640" width="5" style="692" customWidth="1"/>
    <col min="5641" max="5641" width="3.28515625" style="692" customWidth="1"/>
    <col min="5642" max="5642" width="5" style="692" customWidth="1"/>
    <col min="5643" max="5645" width="3.28515625" style="692" customWidth="1"/>
    <col min="5646" max="5646" width="5" style="692" customWidth="1"/>
    <col min="5647" max="5647" width="3.28515625" style="692" customWidth="1"/>
    <col min="5648" max="5648" width="5" style="692" customWidth="1"/>
    <col min="5649" max="5650" width="3.28515625" style="692" customWidth="1"/>
    <col min="5651" max="5651" width="2.42578125" style="692" customWidth="1"/>
    <col min="5652" max="5652" width="7.42578125" style="692" customWidth="1"/>
    <col min="5653" max="5654" width="9.140625" style="692"/>
    <col min="5655" max="5655" width="21.7109375" style="692" customWidth="1"/>
    <col min="5656" max="5889" width="9.140625" style="692"/>
    <col min="5890" max="5890" width="13.42578125" style="692" customWidth="1"/>
    <col min="5891" max="5891" width="11" style="692" customWidth="1"/>
    <col min="5892" max="5892" width="3.28515625" style="692" customWidth="1"/>
    <col min="5893" max="5893" width="9.140625" style="692"/>
    <col min="5894" max="5894" width="2.42578125" style="692" customWidth="1"/>
    <col min="5895" max="5895" width="3.28515625" style="692" customWidth="1"/>
    <col min="5896" max="5896" width="5" style="692" customWidth="1"/>
    <col min="5897" max="5897" width="3.28515625" style="692" customWidth="1"/>
    <col min="5898" max="5898" width="5" style="692" customWidth="1"/>
    <col min="5899" max="5901" width="3.28515625" style="692" customWidth="1"/>
    <col min="5902" max="5902" width="5" style="692" customWidth="1"/>
    <col min="5903" max="5903" width="3.28515625" style="692" customWidth="1"/>
    <col min="5904" max="5904" width="5" style="692" customWidth="1"/>
    <col min="5905" max="5906" width="3.28515625" style="692" customWidth="1"/>
    <col min="5907" max="5907" width="2.42578125" style="692" customWidth="1"/>
    <col min="5908" max="5908" width="7.42578125" style="692" customWidth="1"/>
    <col min="5909" max="5910" width="9.140625" style="692"/>
    <col min="5911" max="5911" width="21.7109375" style="692" customWidth="1"/>
    <col min="5912" max="6145" width="9.140625" style="692"/>
    <col min="6146" max="6146" width="13.42578125" style="692" customWidth="1"/>
    <col min="6147" max="6147" width="11" style="692" customWidth="1"/>
    <col min="6148" max="6148" width="3.28515625" style="692" customWidth="1"/>
    <col min="6149" max="6149" width="9.140625" style="692"/>
    <col min="6150" max="6150" width="2.42578125" style="692" customWidth="1"/>
    <col min="6151" max="6151" width="3.28515625" style="692" customWidth="1"/>
    <col min="6152" max="6152" width="5" style="692" customWidth="1"/>
    <col min="6153" max="6153" width="3.28515625" style="692" customWidth="1"/>
    <col min="6154" max="6154" width="5" style="692" customWidth="1"/>
    <col min="6155" max="6157" width="3.28515625" style="692" customWidth="1"/>
    <col min="6158" max="6158" width="5" style="692" customWidth="1"/>
    <col min="6159" max="6159" width="3.28515625" style="692" customWidth="1"/>
    <col min="6160" max="6160" width="5" style="692" customWidth="1"/>
    <col min="6161" max="6162" width="3.28515625" style="692" customWidth="1"/>
    <col min="6163" max="6163" width="2.42578125" style="692" customWidth="1"/>
    <col min="6164" max="6164" width="7.42578125" style="692" customWidth="1"/>
    <col min="6165" max="6166" width="9.140625" style="692"/>
    <col min="6167" max="6167" width="21.7109375" style="692" customWidth="1"/>
    <col min="6168" max="6401" width="9.140625" style="692"/>
    <col min="6402" max="6402" width="13.42578125" style="692" customWidth="1"/>
    <col min="6403" max="6403" width="11" style="692" customWidth="1"/>
    <col min="6404" max="6404" width="3.28515625" style="692" customWidth="1"/>
    <col min="6405" max="6405" width="9.140625" style="692"/>
    <col min="6406" max="6406" width="2.42578125" style="692" customWidth="1"/>
    <col min="6407" max="6407" width="3.28515625" style="692" customWidth="1"/>
    <col min="6408" max="6408" width="5" style="692" customWidth="1"/>
    <col min="6409" max="6409" width="3.28515625" style="692" customWidth="1"/>
    <col min="6410" max="6410" width="5" style="692" customWidth="1"/>
    <col min="6411" max="6413" width="3.28515625" style="692" customWidth="1"/>
    <col min="6414" max="6414" width="5" style="692" customWidth="1"/>
    <col min="6415" max="6415" width="3.28515625" style="692" customWidth="1"/>
    <col min="6416" max="6416" width="5" style="692" customWidth="1"/>
    <col min="6417" max="6418" width="3.28515625" style="692" customWidth="1"/>
    <col min="6419" max="6419" width="2.42578125" style="692" customWidth="1"/>
    <col min="6420" max="6420" width="7.42578125" style="692" customWidth="1"/>
    <col min="6421" max="6422" width="9.140625" style="692"/>
    <col min="6423" max="6423" width="21.7109375" style="692" customWidth="1"/>
    <col min="6424" max="6657" width="9.140625" style="692"/>
    <col min="6658" max="6658" width="13.42578125" style="692" customWidth="1"/>
    <col min="6659" max="6659" width="11" style="692" customWidth="1"/>
    <col min="6660" max="6660" width="3.28515625" style="692" customWidth="1"/>
    <col min="6661" max="6661" width="9.140625" style="692"/>
    <col min="6662" max="6662" width="2.42578125" style="692" customWidth="1"/>
    <col min="6663" max="6663" width="3.28515625" style="692" customWidth="1"/>
    <col min="6664" max="6664" width="5" style="692" customWidth="1"/>
    <col min="6665" max="6665" width="3.28515625" style="692" customWidth="1"/>
    <col min="6666" max="6666" width="5" style="692" customWidth="1"/>
    <col min="6667" max="6669" width="3.28515625" style="692" customWidth="1"/>
    <col min="6670" max="6670" width="5" style="692" customWidth="1"/>
    <col min="6671" max="6671" width="3.28515625" style="692" customWidth="1"/>
    <col min="6672" max="6672" width="5" style="692" customWidth="1"/>
    <col min="6673" max="6674" width="3.28515625" style="692" customWidth="1"/>
    <col min="6675" max="6675" width="2.42578125" style="692" customWidth="1"/>
    <col min="6676" max="6676" width="7.42578125" style="692" customWidth="1"/>
    <col min="6677" max="6678" width="9.140625" style="692"/>
    <col min="6679" max="6679" width="21.7109375" style="692" customWidth="1"/>
    <col min="6680" max="6913" width="9.140625" style="692"/>
    <col min="6914" max="6914" width="13.42578125" style="692" customWidth="1"/>
    <col min="6915" max="6915" width="11" style="692" customWidth="1"/>
    <col min="6916" max="6916" width="3.28515625" style="692" customWidth="1"/>
    <col min="6917" max="6917" width="9.140625" style="692"/>
    <col min="6918" max="6918" width="2.42578125" style="692" customWidth="1"/>
    <col min="6919" max="6919" width="3.28515625" style="692" customWidth="1"/>
    <col min="6920" max="6920" width="5" style="692" customWidth="1"/>
    <col min="6921" max="6921" width="3.28515625" style="692" customWidth="1"/>
    <col min="6922" max="6922" width="5" style="692" customWidth="1"/>
    <col min="6923" max="6925" width="3.28515625" style="692" customWidth="1"/>
    <col min="6926" max="6926" width="5" style="692" customWidth="1"/>
    <col min="6927" max="6927" width="3.28515625" style="692" customWidth="1"/>
    <col min="6928" max="6928" width="5" style="692" customWidth="1"/>
    <col min="6929" max="6930" width="3.28515625" style="692" customWidth="1"/>
    <col min="6931" max="6931" width="2.42578125" style="692" customWidth="1"/>
    <col min="6932" max="6932" width="7.42578125" style="692" customWidth="1"/>
    <col min="6933" max="6934" width="9.140625" style="692"/>
    <col min="6935" max="6935" width="21.7109375" style="692" customWidth="1"/>
    <col min="6936" max="7169" width="9.140625" style="692"/>
    <col min="7170" max="7170" width="13.42578125" style="692" customWidth="1"/>
    <col min="7171" max="7171" width="11" style="692" customWidth="1"/>
    <col min="7172" max="7172" width="3.28515625" style="692" customWidth="1"/>
    <col min="7173" max="7173" width="9.140625" style="692"/>
    <col min="7174" max="7174" width="2.42578125" style="692" customWidth="1"/>
    <col min="7175" max="7175" width="3.28515625" style="692" customWidth="1"/>
    <col min="7176" max="7176" width="5" style="692" customWidth="1"/>
    <col min="7177" max="7177" width="3.28515625" style="692" customWidth="1"/>
    <col min="7178" max="7178" width="5" style="692" customWidth="1"/>
    <col min="7179" max="7181" width="3.28515625" style="692" customWidth="1"/>
    <col min="7182" max="7182" width="5" style="692" customWidth="1"/>
    <col min="7183" max="7183" width="3.28515625" style="692" customWidth="1"/>
    <col min="7184" max="7184" width="5" style="692" customWidth="1"/>
    <col min="7185" max="7186" width="3.28515625" style="692" customWidth="1"/>
    <col min="7187" max="7187" width="2.42578125" style="692" customWidth="1"/>
    <col min="7188" max="7188" width="7.42578125" style="692" customWidth="1"/>
    <col min="7189" max="7190" width="9.140625" style="692"/>
    <col min="7191" max="7191" width="21.7109375" style="692" customWidth="1"/>
    <col min="7192" max="7425" width="9.140625" style="692"/>
    <col min="7426" max="7426" width="13.42578125" style="692" customWidth="1"/>
    <col min="7427" max="7427" width="11" style="692" customWidth="1"/>
    <col min="7428" max="7428" width="3.28515625" style="692" customWidth="1"/>
    <col min="7429" max="7429" width="9.140625" style="692"/>
    <col min="7430" max="7430" width="2.42578125" style="692" customWidth="1"/>
    <col min="7431" max="7431" width="3.28515625" style="692" customWidth="1"/>
    <col min="7432" max="7432" width="5" style="692" customWidth="1"/>
    <col min="7433" max="7433" width="3.28515625" style="692" customWidth="1"/>
    <col min="7434" max="7434" width="5" style="692" customWidth="1"/>
    <col min="7435" max="7437" width="3.28515625" style="692" customWidth="1"/>
    <col min="7438" max="7438" width="5" style="692" customWidth="1"/>
    <col min="7439" max="7439" width="3.28515625" style="692" customWidth="1"/>
    <col min="7440" max="7440" width="5" style="692" customWidth="1"/>
    <col min="7441" max="7442" width="3.28515625" style="692" customWidth="1"/>
    <col min="7443" max="7443" width="2.42578125" style="692" customWidth="1"/>
    <col min="7444" max="7444" width="7.42578125" style="692" customWidth="1"/>
    <col min="7445" max="7446" width="9.140625" style="692"/>
    <col min="7447" max="7447" width="21.7109375" style="692" customWidth="1"/>
    <col min="7448" max="7681" width="9.140625" style="692"/>
    <col min="7682" max="7682" width="13.42578125" style="692" customWidth="1"/>
    <col min="7683" max="7683" width="11" style="692" customWidth="1"/>
    <col min="7684" max="7684" width="3.28515625" style="692" customWidth="1"/>
    <col min="7685" max="7685" width="9.140625" style="692"/>
    <col min="7686" max="7686" width="2.42578125" style="692" customWidth="1"/>
    <col min="7687" max="7687" width="3.28515625" style="692" customWidth="1"/>
    <col min="7688" max="7688" width="5" style="692" customWidth="1"/>
    <col min="7689" max="7689" width="3.28515625" style="692" customWidth="1"/>
    <col min="7690" max="7690" width="5" style="692" customWidth="1"/>
    <col min="7691" max="7693" width="3.28515625" style="692" customWidth="1"/>
    <col min="7694" max="7694" width="5" style="692" customWidth="1"/>
    <col min="7695" max="7695" width="3.28515625" style="692" customWidth="1"/>
    <col min="7696" max="7696" width="5" style="692" customWidth="1"/>
    <col min="7697" max="7698" width="3.28515625" style="692" customWidth="1"/>
    <col min="7699" max="7699" width="2.42578125" style="692" customWidth="1"/>
    <col min="7700" max="7700" width="7.42578125" style="692" customWidth="1"/>
    <col min="7701" max="7702" width="9.140625" style="692"/>
    <col min="7703" max="7703" width="21.7109375" style="692" customWidth="1"/>
    <col min="7704" max="7937" width="9.140625" style="692"/>
    <col min="7938" max="7938" width="13.42578125" style="692" customWidth="1"/>
    <col min="7939" max="7939" width="11" style="692" customWidth="1"/>
    <col min="7940" max="7940" width="3.28515625" style="692" customWidth="1"/>
    <col min="7941" max="7941" width="9.140625" style="692"/>
    <col min="7942" max="7942" width="2.42578125" style="692" customWidth="1"/>
    <col min="7943" max="7943" width="3.28515625" style="692" customWidth="1"/>
    <col min="7944" max="7944" width="5" style="692" customWidth="1"/>
    <col min="7945" max="7945" width="3.28515625" style="692" customWidth="1"/>
    <col min="7946" max="7946" width="5" style="692" customWidth="1"/>
    <col min="7947" max="7949" width="3.28515625" style="692" customWidth="1"/>
    <col min="7950" max="7950" width="5" style="692" customWidth="1"/>
    <col min="7951" max="7951" width="3.28515625" style="692" customWidth="1"/>
    <col min="7952" max="7952" width="5" style="692" customWidth="1"/>
    <col min="7953" max="7954" width="3.28515625" style="692" customWidth="1"/>
    <col min="7955" max="7955" width="2.42578125" style="692" customWidth="1"/>
    <col min="7956" max="7956" width="7.42578125" style="692" customWidth="1"/>
    <col min="7957" max="7958" width="9.140625" style="692"/>
    <col min="7959" max="7959" width="21.7109375" style="692" customWidth="1"/>
    <col min="7960" max="8193" width="9.140625" style="692"/>
    <col min="8194" max="8194" width="13.42578125" style="692" customWidth="1"/>
    <col min="8195" max="8195" width="11" style="692" customWidth="1"/>
    <col min="8196" max="8196" width="3.28515625" style="692" customWidth="1"/>
    <col min="8197" max="8197" width="9.140625" style="692"/>
    <col min="8198" max="8198" width="2.42578125" style="692" customWidth="1"/>
    <col min="8199" max="8199" width="3.28515625" style="692" customWidth="1"/>
    <col min="8200" max="8200" width="5" style="692" customWidth="1"/>
    <col min="8201" max="8201" width="3.28515625" style="692" customWidth="1"/>
    <col min="8202" max="8202" width="5" style="692" customWidth="1"/>
    <col min="8203" max="8205" width="3.28515625" style="692" customWidth="1"/>
    <col min="8206" max="8206" width="5" style="692" customWidth="1"/>
    <col min="8207" max="8207" width="3.28515625" style="692" customWidth="1"/>
    <col min="8208" max="8208" width="5" style="692" customWidth="1"/>
    <col min="8209" max="8210" width="3.28515625" style="692" customWidth="1"/>
    <col min="8211" max="8211" width="2.42578125" style="692" customWidth="1"/>
    <col min="8212" max="8212" width="7.42578125" style="692" customWidth="1"/>
    <col min="8213" max="8214" width="9.140625" style="692"/>
    <col min="8215" max="8215" width="21.7109375" style="692" customWidth="1"/>
    <col min="8216" max="8449" width="9.140625" style="692"/>
    <col min="8450" max="8450" width="13.42578125" style="692" customWidth="1"/>
    <col min="8451" max="8451" width="11" style="692" customWidth="1"/>
    <col min="8452" max="8452" width="3.28515625" style="692" customWidth="1"/>
    <col min="8453" max="8453" width="9.140625" style="692"/>
    <col min="8454" max="8454" width="2.42578125" style="692" customWidth="1"/>
    <col min="8455" max="8455" width="3.28515625" style="692" customWidth="1"/>
    <col min="8456" max="8456" width="5" style="692" customWidth="1"/>
    <col min="8457" max="8457" width="3.28515625" style="692" customWidth="1"/>
    <col min="8458" max="8458" width="5" style="692" customWidth="1"/>
    <col min="8459" max="8461" width="3.28515625" style="692" customWidth="1"/>
    <col min="8462" max="8462" width="5" style="692" customWidth="1"/>
    <col min="8463" max="8463" width="3.28515625" style="692" customWidth="1"/>
    <col min="8464" max="8464" width="5" style="692" customWidth="1"/>
    <col min="8465" max="8466" width="3.28515625" style="692" customWidth="1"/>
    <col min="8467" max="8467" width="2.42578125" style="692" customWidth="1"/>
    <col min="8468" max="8468" width="7.42578125" style="692" customWidth="1"/>
    <col min="8469" max="8470" width="9.140625" style="692"/>
    <col min="8471" max="8471" width="21.7109375" style="692" customWidth="1"/>
    <col min="8472" max="8705" width="9.140625" style="692"/>
    <col min="8706" max="8706" width="13.42578125" style="692" customWidth="1"/>
    <col min="8707" max="8707" width="11" style="692" customWidth="1"/>
    <col min="8708" max="8708" width="3.28515625" style="692" customWidth="1"/>
    <col min="8709" max="8709" width="9.140625" style="692"/>
    <col min="8710" max="8710" width="2.42578125" style="692" customWidth="1"/>
    <col min="8711" max="8711" width="3.28515625" style="692" customWidth="1"/>
    <col min="8712" max="8712" width="5" style="692" customWidth="1"/>
    <col min="8713" max="8713" width="3.28515625" style="692" customWidth="1"/>
    <col min="8714" max="8714" width="5" style="692" customWidth="1"/>
    <col min="8715" max="8717" width="3.28515625" style="692" customWidth="1"/>
    <col min="8718" max="8718" width="5" style="692" customWidth="1"/>
    <col min="8719" max="8719" width="3.28515625" style="692" customWidth="1"/>
    <col min="8720" max="8720" width="5" style="692" customWidth="1"/>
    <col min="8721" max="8722" width="3.28515625" style="692" customWidth="1"/>
    <col min="8723" max="8723" width="2.42578125" style="692" customWidth="1"/>
    <col min="8724" max="8724" width="7.42578125" style="692" customWidth="1"/>
    <col min="8725" max="8726" width="9.140625" style="692"/>
    <col min="8727" max="8727" width="21.7109375" style="692" customWidth="1"/>
    <col min="8728" max="8961" width="9.140625" style="692"/>
    <col min="8962" max="8962" width="13.42578125" style="692" customWidth="1"/>
    <col min="8963" max="8963" width="11" style="692" customWidth="1"/>
    <col min="8964" max="8964" width="3.28515625" style="692" customWidth="1"/>
    <col min="8965" max="8965" width="9.140625" style="692"/>
    <col min="8966" max="8966" width="2.42578125" style="692" customWidth="1"/>
    <col min="8967" max="8967" width="3.28515625" style="692" customWidth="1"/>
    <col min="8968" max="8968" width="5" style="692" customWidth="1"/>
    <col min="8969" max="8969" width="3.28515625" style="692" customWidth="1"/>
    <col min="8970" max="8970" width="5" style="692" customWidth="1"/>
    <col min="8971" max="8973" width="3.28515625" style="692" customWidth="1"/>
    <col min="8974" max="8974" width="5" style="692" customWidth="1"/>
    <col min="8975" max="8975" width="3.28515625" style="692" customWidth="1"/>
    <col min="8976" max="8976" width="5" style="692" customWidth="1"/>
    <col min="8977" max="8978" width="3.28515625" style="692" customWidth="1"/>
    <col min="8979" max="8979" width="2.42578125" style="692" customWidth="1"/>
    <col min="8980" max="8980" width="7.42578125" style="692" customWidth="1"/>
    <col min="8981" max="8982" width="9.140625" style="692"/>
    <col min="8983" max="8983" width="21.7109375" style="692" customWidth="1"/>
    <col min="8984" max="9217" width="9.140625" style="692"/>
    <col min="9218" max="9218" width="13.42578125" style="692" customWidth="1"/>
    <col min="9219" max="9219" width="11" style="692" customWidth="1"/>
    <col min="9220" max="9220" width="3.28515625" style="692" customWidth="1"/>
    <col min="9221" max="9221" width="9.140625" style="692"/>
    <col min="9222" max="9222" width="2.42578125" style="692" customWidth="1"/>
    <col min="9223" max="9223" width="3.28515625" style="692" customWidth="1"/>
    <col min="9224" max="9224" width="5" style="692" customWidth="1"/>
    <col min="9225" max="9225" width="3.28515625" style="692" customWidth="1"/>
    <col min="9226" max="9226" width="5" style="692" customWidth="1"/>
    <col min="9227" max="9229" width="3.28515625" style="692" customWidth="1"/>
    <col min="9230" max="9230" width="5" style="692" customWidth="1"/>
    <col min="9231" max="9231" width="3.28515625" style="692" customWidth="1"/>
    <col min="9232" max="9232" width="5" style="692" customWidth="1"/>
    <col min="9233" max="9234" width="3.28515625" style="692" customWidth="1"/>
    <col min="9235" max="9235" width="2.42578125" style="692" customWidth="1"/>
    <col min="9236" max="9236" width="7.42578125" style="692" customWidth="1"/>
    <col min="9237" max="9238" width="9.140625" style="692"/>
    <col min="9239" max="9239" width="21.7109375" style="692" customWidth="1"/>
    <col min="9240" max="9473" width="9.140625" style="692"/>
    <col min="9474" max="9474" width="13.42578125" style="692" customWidth="1"/>
    <col min="9475" max="9475" width="11" style="692" customWidth="1"/>
    <col min="9476" max="9476" width="3.28515625" style="692" customWidth="1"/>
    <col min="9477" max="9477" width="9.140625" style="692"/>
    <col min="9478" max="9478" width="2.42578125" style="692" customWidth="1"/>
    <col min="9479" max="9479" width="3.28515625" style="692" customWidth="1"/>
    <col min="9480" max="9480" width="5" style="692" customWidth="1"/>
    <col min="9481" max="9481" width="3.28515625" style="692" customWidth="1"/>
    <col min="9482" max="9482" width="5" style="692" customWidth="1"/>
    <col min="9483" max="9485" width="3.28515625" style="692" customWidth="1"/>
    <col min="9486" max="9486" width="5" style="692" customWidth="1"/>
    <col min="9487" max="9487" width="3.28515625" style="692" customWidth="1"/>
    <col min="9488" max="9488" width="5" style="692" customWidth="1"/>
    <col min="9489" max="9490" width="3.28515625" style="692" customWidth="1"/>
    <col min="9491" max="9491" width="2.42578125" style="692" customWidth="1"/>
    <col min="9492" max="9492" width="7.42578125" style="692" customWidth="1"/>
    <col min="9493" max="9494" width="9.140625" style="692"/>
    <col min="9495" max="9495" width="21.7109375" style="692" customWidth="1"/>
    <col min="9496" max="9729" width="9.140625" style="692"/>
    <col min="9730" max="9730" width="13.42578125" style="692" customWidth="1"/>
    <col min="9731" max="9731" width="11" style="692" customWidth="1"/>
    <col min="9732" max="9732" width="3.28515625" style="692" customWidth="1"/>
    <col min="9733" max="9733" width="9.140625" style="692"/>
    <col min="9734" max="9734" width="2.42578125" style="692" customWidth="1"/>
    <col min="9735" max="9735" width="3.28515625" style="692" customWidth="1"/>
    <col min="9736" max="9736" width="5" style="692" customWidth="1"/>
    <col min="9737" max="9737" width="3.28515625" style="692" customWidth="1"/>
    <col min="9738" max="9738" width="5" style="692" customWidth="1"/>
    <col min="9739" max="9741" width="3.28515625" style="692" customWidth="1"/>
    <col min="9742" max="9742" width="5" style="692" customWidth="1"/>
    <col min="9743" max="9743" width="3.28515625" style="692" customWidth="1"/>
    <col min="9744" max="9744" width="5" style="692" customWidth="1"/>
    <col min="9745" max="9746" width="3.28515625" style="692" customWidth="1"/>
    <col min="9747" max="9747" width="2.42578125" style="692" customWidth="1"/>
    <col min="9748" max="9748" width="7.42578125" style="692" customWidth="1"/>
    <col min="9749" max="9750" width="9.140625" style="692"/>
    <col min="9751" max="9751" width="21.7109375" style="692" customWidth="1"/>
    <col min="9752" max="9985" width="9.140625" style="692"/>
    <col min="9986" max="9986" width="13.42578125" style="692" customWidth="1"/>
    <col min="9987" max="9987" width="11" style="692" customWidth="1"/>
    <col min="9988" max="9988" width="3.28515625" style="692" customWidth="1"/>
    <col min="9989" max="9989" width="9.140625" style="692"/>
    <col min="9990" max="9990" width="2.42578125" style="692" customWidth="1"/>
    <col min="9991" max="9991" width="3.28515625" style="692" customWidth="1"/>
    <col min="9992" max="9992" width="5" style="692" customWidth="1"/>
    <col min="9993" max="9993" width="3.28515625" style="692" customWidth="1"/>
    <col min="9994" max="9994" width="5" style="692" customWidth="1"/>
    <col min="9995" max="9997" width="3.28515625" style="692" customWidth="1"/>
    <col min="9998" max="9998" width="5" style="692" customWidth="1"/>
    <col min="9999" max="9999" width="3.28515625" style="692" customWidth="1"/>
    <col min="10000" max="10000" width="5" style="692" customWidth="1"/>
    <col min="10001" max="10002" width="3.28515625" style="692" customWidth="1"/>
    <col min="10003" max="10003" width="2.42578125" style="692" customWidth="1"/>
    <col min="10004" max="10004" width="7.42578125" style="692" customWidth="1"/>
    <col min="10005" max="10006" width="9.140625" style="692"/>
    <col min="10007" max="10007" width="21.7109375" style="692" customWidth="1"/>
    <col min="10008" max="10241" width="9.140625" style="692"/>
    <col min="10242" max="10242" width="13.42578125" style="692" customWidth="1"/>
    <col min="10243" max="10243" width="11" style="692" customWidth="1"/>
    <col min="10244" max="10244" width="3.28515625" style="692" customWidth="1"/>
    <col min="10245" max="10245" width="9.140625" style="692"/>
    <col min="10246" max="10246" width="2.42578125" style="692" customWidth="1"/>
    <col min="10247" max="10247" width="3.28515625" style="692" customWidth="1"/>
    <col min="10248" max="10248" width="5" style="692" customWidth="1"/>
    <col min="10249" max="10249" width="3.28515625" style="692" customWidth="1"/>
    <col min="10250" max="10250" width="5" style="692" customWidth="1"/>
    <col min="10251" max="10253" width="3.28515625" style="692" customWidth="1"/>
    <col min="10254" max="10254" width="5" style="692" customWidth="1"/>
    <col min="10255" max="10255" width="3.28515625" style="692" customWidth="1"/>
    <col min="10256" max="10256" width="5" style="692" customWidth="1"/>
    <col min="10257" max="10258" width="3.28515625" style="692" customWidth="1"/>
    <col min="10259" max="10259" width="2.42578125" style="692" customWidth="1"/>
    <col min="10260" max="10260" width="7.42578125" style="692" customWidth="1"/>
    <col min="10261" max="10262" width="9.140625" style="692"/>
    <col min="10263" max="10263" width="21.7109375" style="692" customWidth="1"/>
    <col min="10264" max="10497" width="9.140625" style="692"/>
    <col min="10498" max="10498" width="13.42578125" style="692" customWidth="1"/>
    <col min="10499" max="10499" width="11" style="692" customWidth="1"/>
    <col min="10500" max="10500" width="3.28515625" style="692" customWidth="1"/>
    <col min="10501" max="10501" width="9.140625" style="692"/>
    <col min="10502" max="10502" width="2.42578125" style="692" customWidth="1"/>
    <col min="10503" max="10503" width="3.28515625" style="692" customWidth="1"/>
    <col min="10504" max="10504" width="5" style="692" customWidth="1"/>
    <col min="10505" max="10505" width="3.28515625" style="692" customWidth="1"/>
    <col min="10506" max="10506" width="5" style="692" customWidth="1"/>
    <col min="10507" max="10509" width="3.28515625" style="692" customWidth="1"/>
    <col min="10510" max="10510" width="5" style="692" customWidth="1"/>
    <col min="10511" max="10511" width="3.28515625" style="692" customWidth="1"/>
    <col min="10512" max="10512" width="5" style="692" customWidth="1"/>
    <col min="10513" max="10514" width="3.28515625" style="692" customWidth="1"/>
    <col min="10515" max="10515" width="2.42578125" style="692" customWidth="1"/>
    <col min="10516" max="10516" width="7.42578125" style="692" customWidth="1"/>
    <col min="10517" max="10518" width="9.140625" style="692"/>
    <col min="10519" max="10519" width="21.7109375" style="692" customWidth="1"/>
    <col min="10520" max="10753" width="9.140625" style="692"/>
    <col min="10754" max="10754" width="13.42578125" style="692" customWidth="1"/>
    <col min="10755" max="10755" width="11" style="692" customWidth="1"/>
    <col min="10756" max="10756" width="3.28515625" style="692" customWidth="1"/>
    <col min="10757" max="10757" width="9.140625" style="692"/>
    <col min="10758" max="10758" width="2.42578125" style="692" customWidth="1"/>
    <col min="10759" max="10759" width="3.28515625" style="692" customWidth="1"/>
    <col min="10760" max="10760" width="5" style="692" customWidth="1"/>
    <col min="10761" max="10761" width="3.28515625" style="692" customWidth="1"/>
    <col min="10762" max="10762" width="5" style="692" customWidth="1"/>
    <col min="10763" max="10765" width="3.28515625" style="692" customWidth="1"/>
    <col min="10766" max="10766" width="5" style="692" customWidth="1"/>
    <col min="10767" max="10767" width="3.28515625" style="692" customWidth="1"/>
    <col min="10768" max="10768" width="5" style="692" customWidth="1"/>
    <col min="10769" max="10770" width="3.28515625" style="692" customWidth="1"/>
    <col min="10771" max="10771" width="2.42578125" style="692" customWidth="1"/>
    <col min="10772" max="10772" width="7.42578125" style="692" customWidth="1"/>
    <col min="10773" max="10774" width="9.140625" style="692"/>
    <col min="10775" max="10775" width="21.7109375" style="692" customWidth="1"/>
    <col min="10776" max="11009" width="9.140625" style="692"/>
    <col min="11010" max="11010" width="13.42578125" style="692" customWidth="1"/>
    <col min="11011" max="11011" width="11" style="692" customWidth="1"/>
    <col min="11012" max="11012" width="3.28515625" style="692" customWidth="1"/>
    <col min="11013" max="11013" width="9.140625" style="692"/>
    <col min="11014" max="11014" width="2.42578125" style="692" customWidth="1"/>
    <col min="11015" max="11015" width="3.28515625" style="692" customWidth="1"/>
    <col min="11016" max="11016" width="5" style="692" customWidth="1"/>
    <col min="11017" max="11017" width="3.28515625" style="692" customWidth="1"/>
    <col min="11018" max="11018" width="5" style="692" customWidth="1"/>
    <col min="11019" max="11021" width="3.28515625" style="692" customWidth="1"/>
    <col min="11022" max="11022" width="5" style="692" customWidth="1"/>
    <col min="11023" max="11023" width="3.28515625" style="692" customWidth="1"/>
    <col min="11024" max="11024" width="5" style="692" customWidth="1"/>
    <col min="11025" max="11026" width="3.28515625" style="692" customWidth="1"/>
    <col min="11027" max="11027" width="2.42578125" style="692" customWidth="1"/>
    <col min="11028" max="11028" width="7.42578125" style="692" customWidth="1"/>
    <col min="11029" max="11030" width="9.140625" style="692"/>
    <col min="11031" max="11031" width="21.7109375" style="692" customWidth="1"/>
    <col min="11032" max="11265" width="9.140625" style="692"/>
    <col min="11266" max="11266" width="13.42578125" style="692" customWidth="1"/>
    <col min="11267" max="11267" width="11" style="692" customWidth="1"/>
    <col min="11268" max="11268" width="3.28515625" style="692" customWidth="1"/>
    <col min="11269" max="11269" width="9.140625" style="692"/>
    <col min="11270" max="11270" width="2.42578125" style="692" customWidth="1"/>
    <col min="11271" max="11271" width="3.28515625" style="692" customWidth="1"/>
    <col min="11272" max="11272" width="5" style="692" customWidth="1"/>
    <col min="11273" max="11273" width="3.28515625" style="692" customWidth="1"/>
    <col min="11274" max="11274" width="5" style="692" customWidth="1"/>
    <col min="11275" max="11277" width="3.28515625" style="692" customWidth="1"/>
    <col min="11278" max="11278" width="5" style="692" customWidth="1"/>
    <col min="11279" max="11279" width="3.28515625" style="692" customWidth="1"/>
    <col min="11280" max="11280" width="5" style="692" customWidth="1"/>
    <col min="11281" max="11282" width="3.28515625" style="692" customWidth="1"/>
    <col min="11283" max="11283" width="2.42578125" style="692" customWidth="1"/>
    <col min="11284" max="11284" width="7.42578125" style="692" customWidth="1"/>
    <col min="11285" max="11286" width="9.140625" style="692"/>
    <col min="11287" max="11287" width="21.7109375" style="692" customWidth="1"/>
    <col min="11288" max="11521" width="9.140625" style="692"/>
    <col min="11522" max="11522" width="13.42578125" style="692" customWidth="1"/>
    <col min="11523" max="11523" width="11" style="692" customWidth="1"/>
    <col min="11524" max="11524" width="3.28515625" style="692" customWidth="1"/>
    <col min="11525" max="11525" width="9.140625" style="692"/>
    <col min="11526" max="11526" width="2.42578125" style="692" customWidth="1"/>
    <col min="11527" max="11527" width="3.28515625" style="692" customWidth="1"/>
    <col min="11528" max="11528" width="5" style="692" customWidth="1"/>
    <col min="11529" max="11529" width="3.28515625" style="692" customWidth="1"/>
    <col min="11530" max="11530" width="5" style="692" customWidth="1"/>
    <col min="11531" max="11533" width="3.28515625" style="692" customWidth="1"/>
    <col min="11534" max="11534" width="5" style="692" customWidth="1"/>
    <col min="11535" max="11535" width="3.28515625" style="692" customWidth="1"/>
    <col min="11536" max="11536" width="5" style="692" customWidth="1"/>
    <col min="11537" max="11538" width="3.28515625" style="692" customWidth="1"/>
    <col min="11539" max="11539" width="2.42578125" style="692" customWidth="1"/>
    <col min="11540" max="11540" width="7.42578125" style="692" customWidth="1"/>
    <col min="11541" max="11542" width="9.140625" style="692"/>
    <col min="11543" max="11543" width="21.7109375" style="692" customWidth="1"/>
    <col min="11544" max="11777" width="9.140625" style="692"/>
    <col min="11778" max="11778" width="13.42578125" style="692" customWidth="1"/>
    <col min="11779" max="11779" width="11" style="692" customWidth="1"/>
    <col min="11780" max="11780" width="3.28515625" style="692" customWidth="1"/>
    <col min="11781" max="11781" width="9.140625" style="692"/>
    <col min="11782" max="11782" width="2.42578125" style="692" customWidth="1"/>
    <col min="11783" max="11783" width="3.28515625" style="692" customWidth="1"/>
    <col min="11784" max="11784" width="5" style="692" customWidth="1"/>
    <col min="11785" max="11785" width="3.28515625" style="692" customWidth="1"/>
    <col min="11786" max="11786" width="5" style="692" customWidth="1"/>
    <col min="11787" max="11789" width="3.28515625" style="692" customWidth="1"/>
    <col min="11790" max="11790" width="5" style="692" customWidth="1"/>
    <col min="11791" max="11791" width="3.28515625" style="692" customWidth="1"/>
    <col min="11792" max="11792" width="5" style="692" customWidth="1"/>
    <col min="11793" max="11794" width="3.28515625" style="692" customWidth="1"/>
    <col min="11795" max="11795" width="2.42578125" style="692" customWidth="1"/>
    <col min="11796" max="11796" width="7.42578125" style="692" customWidth="1"/>
    <col min="11797" max="11798" width="9.140625" style="692"/>
    <col min="11799" max="11799" width="21.7109375" style="692" customWidth="1"/>
    <col min="11800" max="12033" width="9.140625" style="692"/>
    <col min="12034" max="12034" width="13.42578125" style="692" customWidth="1"/>
    <col min="12035" max="12035" width="11" style="692" customWidth="1"/>
    <col min="12036" max="12036" width="3.28515625" style="692" customWidth="1"/>
    <col min="12037" max="12037" width="9.140625" style="692"/>
    <col min="12038" max="12038" width="2.42578125" style="692" customWidth="1"/>
    <col min="12039" max="12039" width="3.28515625" style="692" customWidth="1"/>
    <col min="12040" max="12040" width="5" style="692" customWidth="1"/>
    <col min="12041" max="12041" width="3.28515625" style="692" customWidth="1"/>
    <col min="12042" max="12042" width="5" style="692" customWidth="1"/>
    <col min="12043" max="12045" width="3.28515625" style="692" customWidth="1"/>
    <col min="12046" max="12046" width="5" style="692" customWidth="1"/>
    <col min="12047" max="12047" width="3.28515625" style="692" customWidth="1"/>
    <col min="12048" max="12048" width="5" style="692" customWidth="1"/>
    <col min="12049" max="12050" width="3.28515625" style="692" customWidth="1"/>
    <col min="12051" max="12051" width="2.42578125" style="692" customWidth="1"/>
    <col min="12052" max="12052" width="7.42578125" style="692" customWidth="1"/>
    <col min="12053" max="12054" width="9.140625" style="692"/>
    <col min="12055" max="12055" width="21.7109375" style="692" customWidth="1"/>
    <col min="12056" max="12289" width="9.140625" style="692"/>
    <col min="12290" max="12290" width="13.42578125" style="692" customWidth="1"/>
    <col min="12291" max="12291" width="11" style="692" customWidth="1"/>
    <col min="12292" max="12292" width="3.28515625" style="692" customWidth="1"/>
    <col min="12293" max="12293" width="9.140625" style="692"/>
    <col min="12294" max="12294" width="2.42578125" style="692" customWidth="1"/>
    <col min="12295" max="12295" width="3.28515625" style="692" customWidth="1"/>
    <col min="12296" max="12296" width="5" style="692" customWidth="1"/>
    <col min="12297" max="12297" width="3.28515625" style="692" customWidth="1"/>
    <col min="12298" max="12298" width="5" style="692" customWidth="1"/>
    <col min="12299" max="12301" width="3.28515625" style="692" customWidth="1"/>
    <col min="12302" max="12302" width="5" style="692" customWidth="1"/>
    <col min="12303" max="12303" width="3.28515625" style="692" customWidth="1"/>
    <col min="12304" max="12304" width="5" style="692" customWidth="1"/>
    <col min="12305" max="12306" width="3.28515625" style="692" customWidth="1"/>
    <col min="12307" max="12307" width="2.42578125" style="692" customWidth="1"/>
    <col min="12308" max="12308" width="7.42578125" style="692" customWidth="1"/>
    <col min="12309" max="12310" width="9.140625" style="692"/>
    <col min="12311" max="12311" width="21.7109375" style="692" customWidth="1"/>
    <col min="12312" max="12545" width="9.140625" style="692"/>
    <col min="12546" max="12546" width="13.42578125" style="692" customWidth="1"/>
    <col min="12547" max="12547" width="11" style="692" customWidth="1"/>
    <col min="12548" max="12548" width="3.28515625" style="692" customWidth="1"/>
    <col min="12549" max="12549" width="9.140625" style="692"/>
    <col min="12550" max="12550" width="2.42578125" style="692" customWidth="1"/>
    <col min="12551" max="12551" width="3.28515625" style="692" customWidth="1"/>
    <col min="12552" max="12552" width="5" style="692" customWidth="1"/>
    <col min="12553" max="12553" width="3.28515625" style="692" customWidth="1"/>
    <col min="12554" max="12554" width="5" style="692" customWidth="1"/>
    <col min="12555" max="12557" width="3.28515625" style="692" customWidth="1"/>
    <col min="12558" max="12558" width="5" style="692" customWidth="1"/>
    <col min="12559" max="12559" width="3.28515625" style="692" customWidth="1"/>
    <col min="12560" max="12560" width="5" style="692" customWidth="1"/>
    <col min="12561" max="12562" width="3.28515625" style="692" customWidth="1"/>
    <col min="12563" max="12563" width="2.42578125" style="692" customWidth="1"/>
    <col min="12564" max="12564" width="7.42578125" style="692" customWidth="1"/>
    <col min="12565" max="12566" width="9.140625" style="692"/>
    <col min="12567" max="12567" width="21.7109375" style="692" customWidth="1"/>
    <col min="12568" max="12801" width="9.140625" style="692"/>
    <col min="12802" max="12802" width="13.42578125" style="692" customWidth="1"/>
    <col min="12803" max="12803" width="11" style="692" customWidth="1"/>
    <col min="12804" max="12804" width="3.28515625" style="692" customWidth="1"/>
    <col min="12805" max="12805" width="9.140625" style="692"/>
    <col min="12806" max="12806" width="2.42578125" style="692" customWidth="1"/>
    <col min="12807" max="12807" width="3.28515625" style="692" customWidth="1"/>
    <col min="12808" max="12808" width="5" style="692" customWidth="1"/>
    <col min="12809" max="12809" width="3.28515625" style="692" customWidth="1"/>
    <col min="12810" max="12810" width="5" style="692" customWidth="1"/>
    <col min="12811" max="12813" width="3.28515625" style="692" customWidth="1"/>
    <col min="12814" max="12814" width="5" style="692" customWidth="1"/>
    <col min="12815" max="12815" width="3.28515625" style="692" customWidth="1"/>
    <col min="12816" max="12816" width="5" style="692" customWidth="1"/>
    <col min="12817" max="12818" width="3.28515625" style="692" customWidth="1"/>
    <col min="12819" max="12819" width="2.42578125" style="692" customWidth="1"/>
    <col min="12820" max="12820" width="7.42578125" style="692" customWidth="1"/>
    <col min="12821" max="12822" width="9.140625" style="692"/>
    <col min="12823" max="12823" width="21.7109375" style="692" customWidth="1"/>
    <col min="12824" max="13057" width="9.140625" style="692"/>
    <col min="13058" max="13058" width="13.42578125" style="692" customWidth="1"/>
    <col min="13059" max="13059" width="11" style="692" customWidth="1"/>
    <col min="13060" max="13060" width="3.28515625" style="692" customWidth="1"/>
    <col min="13061" max="13061" width="9.140625" style="692"/>
    <col min="13062" max="13062" width="2.42578125" style="692" customWidth="1"/>
    <col min="13063" max="13063" width="3.28515625" style="692" customWidth="1"/>
    <col min="13064" max="13064" width="5" style="692" customWidth="1"/>
    <col min="13065" max="13065" width="3.28515625" style="692" customWidth="1"/>
    <col min="13066" max="13066" width="5" style="692" customWidth="1"/>
    <col min="13067" max="13069" width="3.28515625" style="692" customWidth="1"/>
    <col min="13070" max="13070" width="5" style="692" customWidth="1"/>
    <col min="13071" max="13071" width="3.28515625" style="692" customWidth="1"/>
    <col min="13072" max="13072" width="5" style="692" customWidth="1"/>
    <col min="13073" max="13074" width="3.28515625" style="692" customWidth="1"/>
    <col min="13075" max="13075" width="2.42578125" style="692" customWidth="1"/>
    <col min="13076" max="13076" width="7.42578125" style="692" customWidth="1"/>
    <col min="13077" max="13078" width="9.140625" style="692"/>
    <col min="13079" max="13079" width="21.7109375" style="692" customWidth="1"/>
    <col min="13080" max="13313" width="9.140625" style="692"/>
    <col min="13314" max="13314" width="13.42578125" style="692" customWidth="1"/>
    <col min="13315" max="13315" width="11" style="692" customWidth="1"/>
    <col min="13316" max="13316" width="3.28515625" style="692" customWidth="1"/>
    <col min="13317" max="13317" width="9.140625" style="692"/>
    <col min="13318" max="13318" width="2.42578125" style="692" customWidth="1"/>
    <col min="13319" max="13319" width="3.28515625" style="692" customWidth="1"/>
    <col min="13320" max="13320" width="5" style="692" customWidth="1"/>
    <col min="13321" max="13321" width="3.28515625" style="692" customWidth="1"/>
    <col min="13322" max="13322" width="5" style="692" customWidth="1"/>
    <col min="13323" max="13325" width="3.28515625" style="692" customWidth="1"/>
    <col min="13326" max="13326" width="5" style="692" customWidth="1"/>
    <col min="13327" max="13327" width="3.28515625" style="692" customWidth="1"/>
    <col min="13328" max="13328" width="5" style="692" customWidth="1"/>
    <col min="13329" max="13330" width="3.28515625" style="692" customWidth="1"/>
    <col min="13331" max="13331" width="2.42578125" style="692" customWidth="1"/>
    <col min="13332" max="13332" width="7.42578125" style="692" customWidth="1"/>
    <col min="13333" max="13334" width="9.140625" style="692"/>
    <col min="13335" max="13335" width="21.7109375" style="692" customWidth="1"/>
    <col min="13336" max="13569" width="9.140625" style="692"/>
    <col min="13570" max="13570" width="13.42578125" style="692" customWidth="1"/>
    <col min="13571" max="13571" width="11" style="692" customWidth="1"/>
    <col min="13572" max="13572" width="3.28515625" style="692" customWidth="1"/>
    <col min="13573" max="13573" width="9.140625" style="692"/>
    <col min="13574" max="13574" width="2.42578125" style="692" customWidth="1"/>
    <col min="13575" max="13575" width="3.28515625" style="692" customWidth="1"/>
    <col min="13576" max="13576" width="5" style="692" customWidth="1"/>
    <col min="13577" max="13577" width="3.28515625" style="692" customWidth="1"/>
    <col min="13578" max="13578" width="5" style="692" customWidth="1"/>
    <col min="13579" max="13581" width="3.28515625" style="692" customWidth="1"/>
    <col min="13582" max="13582" width="5" style="692" customWidth="1"/>
    <col min="13583" max="13583" width="3.28515625" style="692" customWidth="1"/>
    <col min="13584" max="13584" width="5" style="692" customWidth="1"/>
    <col min="13585" max="13586" width="3.28515625" style="692" customWidth="1"/>
    <col min="13587" max="13587" width="2.42578125" style="692" customWidth="1"/>
    <col min="13588" max="13588" width="7.42578125" style="692" customWidth="1"/>
    <col min="13589" max="13590" width="9.140625" style="692"/>
    <col min="13591" max="13591" width="21.7109375" style="692" customWidth="1"/>
    <col min="13592" max="13825" width="9.140625" style="692"/>
    <col min="13826" max="13826" width="13.42578125" style="692" customWidth="1"/>
    <col min="13827" max="13827" width="11" style="692" customWidth="1"/>
    <col min="13828" max="13828" width="3.28515625" style="692" customWidth="1"/>
    <col min="13829" max="13829" width="9.140625" style="692"/>
    <col min="13830" max="13830" width="2.42578125" style="692" customWidth="1"/>
    <col min="13831" max="13831" width="3.28515625" style="692" customWidth="1"/>
    <col min="13832" max="13832" width="5" style="692" customWidth="1"/>
    <col min="13833" max="13833" width="3.28515625" style="692" customWidth="1"/>
    <col min="13834" max="13834" width="5" style="692" customWidth="1"/>
    <col min="13835" max="13837" width="3.28515625" style="692" customWidth="1"/>
    <col min="13838" max="13838" width="5" style="692" customWidth="1"/>
    <col min="13839" max="13839" width="3.28515625" style="692" customWidth="1"/>
    <col min="13840" max="13840" width="5" style="692" customWidth="1"/>
    <col min="13841" max="13842" width="3.28515625" style="692" customWidth="1"/>
    <col min="13843" max="13843" width="2.42578125" style="692" customWidth="1"/>
    <col min="13844" max="13844" width="7.42578125" style="692" customWidth="1"/>
    <col min="13845" max="13846" width="9.140625" style="692"/>
    <col min="13847" max="13847" width="21.7109375" style="692" customWidth="1"/>
    <col min="13848" max="14081" width="9.140625" style="692"/>
    <col min="14082" max="14082" width="13.42578125" style="692" customWidth="1"/>
    <col min="14083" max="14083" width="11" style="692" customWidth="1"/>
    <col min="14084" max="14084" width="3.28515625" style="692" customWidth="1"/>
    <col min="14085" max="14085" width="9.140625" style="692"/>
    <col min="14086" max="14086" width="2.42578125" style="692" customWidth="1"/>
    <col min="14087" max="14087" width="3.28515625" style="692" customWidth="1"/>
    <col min="14088" max="14088" width="5" style="692" customWidth="1"/>
    <col min="14089" max="14089" width="3.28515625" style="692" customWidth="1"/>
    <col min="14090" max="14090" width="5" style="692" customWidth="1"/>
    <col min="14091" max="14093" width="3.28515625" style="692" customWidth="1"/>
    <col min="14094" max="14094" width="5" style="692" customWidth="1"/>
    <col min="14095" max="14095" width="3.28515625" style="692" customWidth="1"/>
    <col min="14096" max="14096" width="5" style="692" customWidth="1"/>
    <col min="14097" max="14098" width="3.28515625" style="692" customWidth="1"/>
    <col min="14099" max="14099" width="2.42578125" style="692" customWidth="1"/>
    <col min="14100" max="14100" width="7.42578125" style="692" customWidth="1"/>
    <col min="14101" max="14102" width="9.140625" style="692"/>
    <col min="14103" max="14103" width="21.7109375" style="692" customWidth="1"/>
    <col min="14104" max="14337" width="9.140625" style="692"/>
    <col min="14338" max="14338" width="13.42578125" style="692" customWidth="1"/>
    <col min="14339" max="14339" width="11" style="692" customWidth="1"/>
    <col min="14340" max="14340" width="3.28515625" style="692" customWidth="1"/>
    <col min="14341" max="14341" width="9.140625" style="692"/>
    <col min="14342" max="14342" width="2.42578125" style="692" customWidth="1"/>
    <col min="14343" max="14343" width="3.28515625" style="692" customWidth="1"/>
    <col min="14344" max="14344" width="5" style="692" customWidth="1"/>
    <col min="14345" max="14345" width="3.28515625" style="692" customWidth="1"/>
    <col min="14346" max="14346" width="5" style="692" customWidth="1"/>
    <col min="14347" max="14349" width="3.28515625" style="692" customWidth="1"/>
    <col min="14350" max="14350" width="5" style="692" customWidth="1"/>
    <col min="14351" max="14351" width="3.28515625" style="692" customWidth="1"/>
    <col min="14352" max="14352" width="5" style="692" customWidth="1"/>
    <col min="14353" max="14354" width="3.28515625" style="692" customWidth="1"/>
    <col min="14355" max="14355" width="2.42578125" style="692" customWidth="1"/>
    <col min="14356" max="14356" width="7.42578125" style="692" customWidth="1"/>
    <col min="14357" max="14358" width="9.140625" style="692"/>
    <col min="14359" max="14359" width="21.7109375" style="692" customWidth="1"/>
    <col min="14360" max="14593" width="9.140625" style="692"/>
    <col min="14594" max="14594" width="13.42578125" style="692" customWidth="1"/>
    <col min="14595" max="14595" width="11" style="692" customWidth="1"/>
    <col min="14596" max="14596" width="3.28515625" style="692" customWidth="1"/>
    <col min="14597" max="14597" width="9.140625" style="692"/>
    <col min="14598" max="14598" width="2.42578125" style="692" customWidth="1"/>
    <col min="14599" max="14599" width="3.28515625" style="692" customWidth="1"/>
    <col min="14600" max="14600" width="5" style="692" customWidth="1"/>
    <col min="14601" max="14601" width="3.28515625" style="692" customWidth="1"/>
    <col min="14602" max="14602" width="5" style="692" customWidth="1"/>
    <col min="14603" max="14605" width="3.28515625" style="692" customWidth="1"/>
    <col min="14606" max="14606" width="5" style="692" customWidth="1"/>
    <col min="14607" max="14607" width="3.28515625" style="692" customWidth="1"/>
    <col min="14608" max="14608" width="5" style="692" customWidth="1"/>
    <col min="14609" max="14610" width="3.28515625" style="692" customWidth="1"/>
    <col min="14611" max="14611" width="2.42578125" style="692" customWidth="1"/>
    <col min="14612" max="14612" width="7.42578125" style="692" customWidth="1"/>
    <col min="14613" max="14614" width="9.140625" style="692"/>
    <col min="14615" max="14615" width="21.7109375" style="692" customWidth="1"/>
    <col min="14616" max="14849" width="9.140625" style="692"/>
    <col min="14850" max="14850" width="13.42578125" style="692" customWidth="1"/>
    <col min="14851" max="14851" width="11" style="692" customWidth="1"/>
    <col min="14852" max="14852" width="3.28515625" style="692" customWidth="1"/>
    <col min="14853" max="14853" width="9.140625" style="692"/>
    <col min="14854" max="14854" width="2.42578125" style="692" customWidth="1"/>
    <col min="14855" max="14855" width="3.28515625" style="692" customWidth="1"/>
    <col min="14856" max="14856" width="5" style="692" customWidth="1"/>
    <col min="14857" max="14857" width="3.28515625" style="692" customWidth="1"/>
    <col min="14858" max="14858" width="5" style="692" customWidth="1"/>
    <col min="14859" max="14861" width="3.28515625" style="692" customWidth="1"/>
    <col min="14862" max="14862" width="5" style="692" customWidth="1"/>
    <col min="14863" max="14863" width="3.28515625" style="692" customWidth="1"/>
    <col min="14864" max="14864" width="5" style="692" customWidth="1"/>
    <col min="14865" max="14866" width="3.28515625" style="692" customWidth="1"/>
    <col min="14867" max="14867" width="2.42578125" style="692" customWidth="1"/>
    <col min="14868" max="14868" width="7.42578125" style="692" customWidth="1"/>
    <col min="14869" max="14870" width="9.140625" style="692"/>
    <col min="14871" max="14871" width="21.7109375" style="692" customWidth="1"/>
    <col min="14872" max="15105" width="9.140625" style="692"/>
    <col min="15106" max="15106" width="13.42578125" style="692" customWidth="1"/>
    <col min="15107" max="15107" width="11" style="692" customWidth="1"/>
    <col min="15108" max="15108" width="3.28515625" style="692" customWidth="1"/>
    <col min="15109" max="15109" width="9.140625" style="692"/>
    <col min="15110" max="15110" width="2.42578125" style="692" customWidth="1"/>
    <col min="15111" max="15111" width="3.28515625" style="692" customWidth="1"/>
    <col min="15112" max="15112" width="5" style="692" customWidth="1"/>
    <col min="15113" max="15113" width="3.28515625" style="692" customWidth="1"/>
    <col min="15114" max="15114" width="5" style="692" customWidth="1"/>
    <col min="15115" max="15117" width="3.28515625" style="692" customWidth="1"/>
    <col min="15118" max="15118" width="5" style="692" customWidth="1"/>
    <col min="15119" max="15119" width="3.28515625" style="692" customWidth="1"/>
    <col min="15120" max="15120" width="5" style="692" customWidth="1"/>
    <col min="15121" max="15122" width="3.28515625" style="692" customWidth="1"/>
    <col min="15123" max="15123" width="2.42578125" style="692" customWidth="1"/>
    <col min="15124" max="15124" width="7.42578125" style="692" customWidth="1"/>
    <col min="15125" max="15126" width="9.140625" style="692"/>
    <col min="15127" max="15127" width="21.7109375" style="692" customWidth="1"/>
    <col min="15128" max="15361" width="9.140625" style="692"/>
    <col min="15362" max="15362" width="13.42578125" style="692" customWidth="1"/>
    <col min="15363" max="15363" width="11" style="692" customWidth="1"/>
    <col min="15364" max="15364" width="3.28515625" style="692" customWidth="1"/>
    <col min="15365" max="15365" width="9.140625" style="692"/>
    <col min="15366" max="15366" width="2.42578125" style="692" customWidth="1"/>
    <col min="15367" max="15367" width="3.28515625" style="692" customWidth="1"/>
    <col min="15368" max="15368" width="5" style="692" customWidth="1"/>
    <col min="15369" max="15369" width="3.28515625" style="692" customWidth="1"/>
    <col min="15370" max="15370" width="5" style="692" customWidth="1"/>
    <col min="15371" max="15373" width="3.28515625" style="692" customWidth="1"/>
    <col min="15374" max="15374" width="5" style="692" customWidth="1"/>
    <col min="15375" max="15375" width="3.28515625" style="692" customWidth="1"/>
    <col min="15376" max="15376" width="5" style="692" customWidth="1"/>
    <col min="15377" max="15378" width="3.28515625" style="692" customWidth="1"/>
    <col min="15379" max="15379" width="2.42578125" style="692" customWidth="1"/>
    <col min="15380" max="15380" width="7.42578125" style="692" customWidth="1"/>
    <col min="15381" max="15382" width="9.140625" style="692"/>
    <col min="15383" max="15383" width="21.7109375" style="692" customWidth="1"/>
    <col min="15384" max="15617" width="9.140625" style="692"/>
    <col min="15618" max="15618" width="13.42578125" style="692" customWidth="1"/>
    <col min="15619" max="15619" width="11" style="692" customWidth="1"/>
    <col min="15620" max="15620" width="3.28515625" style="692" customWidth="1"/>
    <col min="15621" max="15621" width="9.140625" style="692"/>
    <col min="15622" max="15622" width="2.42578125" style="692" customWidth="1"/>
    <col min="15623" max="15623" width="3.28515625" style="692" customWidth="1"/>
    <col min="15624" max="15624" width="5" style="692" customWidth="1"/>
    <col min="15625" max="15625" width="3.28515625" style="692" customWidth="1"/>
    <col min="15626" max="15626" width="5" style="692" customWidth="1"/>
    <col min="15627" max="15629" width="3.28515625" style="692" customWidth="1"/>
    <col min="15630" max="15630" width="5" style="692" customWidth="1"/>
    <col min="15631" max="15631" width="3.28515625" style="692" customWidth="1"/>
    <col min="15632" max="15632" width="5" style="692" customWidth="1"/>
    <col min="15633" max="15634" width="3.28515625" style="692" customWidth="1"/>
    <col min="15635" max="15635" width="2.42578125" style="692" customWidth="1"/>
    <col min="15636" max="15636" width="7.42578125" style="692" customWidth="1"/>
    <col min="15637" max="15638" width="9.140625" style="692"/>
    <col min="15639" max="15639" width="21.7109375" style="692" customWidth="1"/>
    <col min="15640" max="15873" width="9.140625" style="692"/>
    <col min="15874" max="15874" width="13.42578125" style="692" customWidth="1"/>
    <col min="15875" max="15875" width="11" style="692" customWidth="1"/>
    <col min="15876" max="15876" width="3.28515625" style="692" customWidth="1"/>
    <col min="15877" max="15877" width="9.140625" style="692"/>
    <col min="15878" max="15878" width="2.42578125" style="692" customWidth="1"/>
    <col min="15879" max="15879" width="3.28515625" style="692" customWidth="1"/>
    <col min="15880" max="15880" width="5" style="692" customWidth="1"/>
    <col min="15881" max="15881" width="3.28515625" style="692" customWidth="1"/>
    <col min="15882" max="15882" width="5" style="692" customWidth="1"/>
    <col min="15883" max="15885" width="3.28515625" style="692" customWidth="1"/>
    <col min="15886" max="15886" width="5" style="692" customWidth="1"/>
    <col min="15887" max="15887" width="3.28515625" style="692" customWidth="1"/>
    <col min="15888" max="15888" width="5" style="692" customWidth="1"/>
    <col min="15889" max="15890" width="3.28515625" style="692" customWidth="1"/>
    <col min="15891" max="15891" width="2.42578125" style="692" customWidth="1"/>
    <col min="15892" max="15892" width="7.42578125" style="692" customWidth="1"/>
    <col min="15893" max="15894" width="9.140625" style="692"/>
    <col min="15895" max="15895" width="21.7109375" style="692" customWidth="1"/>
    <col min="15896" max="16129" width="9.140625" style="692"/>
    <col min="16130" max="16130" width="13.42578125" style="692" customWidth="1"/>
    <col min="16131" max="16131" width="11" style="692" customWidth="1"/>
    <col min="16132" max="16132" width="3.28515625" style="692" customWidth="1"/>
    <col min="16133" max="16133" width="9.140625" style="692"/>
    <col min="16134" max="16134" width="2.42578125" style="692" customWidth="1"/>
    <col min="16135" max="16135" width="3.28515625" style="692" customWidth="1"/>
    <col min="16136" max="16136" width="5" style="692" customWidth="1"/>
    <col min="16137" max="16137" width="3.28515625" style="692" customWidth="1"/>
    <col min="16138" max="16138" width="5" style="692" customWidth="1"/>
    <col min="16139" max="16141" width="3.28515625" style="692" customWidth="1"/>
    <col min="16142" max="16142" width="5" style="692" customWidth="1"/>
    <col min="16143" max="16143" width="3.28515625" style="692" customWidth="1"/>
    <col min="16144" max="16144" width="5" style="692" customWidth="1"/>
    <col min="16145" max="16146" width="3.28515625" style="692" customWidth="1"/>
    <col min="16147" max="16147" width="2.42578125" style="692" customWidth="1"/>
    <col min="16148" max="16148" width="7.42578125" style="692" customWidth="1"/>
    <col min="16149" max="16150" width="9.140625" style="692"/>
    <col min="16151" max="16151" width="21.7109375" style="692" customWidth="1"/>
    <col min="16152" max="16384" width="9.140625" style="692"/>
  </cols>
  <sheetData>
    <row r="1" spans="1:23" ht="30.75">
      <c r="A1" s="1726" t="s">
        <v>1297</v>
      </c>
      <c r="B1" s="1726"/>
      <c r="C1" s="1726"/>
      <c r="D1" s="1726"/>
      <c r="E1" s="1726"/>
      <c r="F1" s="1726"/>
      <c r="G1" s="1726"/>
      <c r="H1" s="1726"/>
      <c r="I1" s="1726"/>
      <c r="J1" s="1726"/>
      <c r="K1" s="1726"/>
      <c r="L1" s="1726"/>
      <c r="M1" s="1726"/>
      <c r="N1" s="1726"/>
      <c r="O1" s="1726"/>
      <c r="P1" s="1726"/>
      <c r="Q1" s="1726"/>
      <c r="R1" s="1726"/>
      <c r="S1" s="1726"/>
      <c r="T1" s="690"/>
      <c r="U1" s="691"/>
      <c r="V1" s="691"/>
      <c r="W1" s="691"/>
    </row>
    <row r="2" spans="1:23" ht="23.25">
      <c r="A2" s="693"/>
      <c r="B2" s="693"/>
      <c r="C2" s="693"/>
      <c r="D2" s="693"/>
      <c r="E2" s="693"/>
      <c r="F2" s="693"/>
      <c r="G2" s="693"/>
      <c r="H2" s="693"/>
      <c r="I2" s="693"/>
      <c r="J2" s="693"/>
      <c r="K2" s="693"/>
      <c r="L2" s="693"/>
      <c r="M2" s="693"/>
      <c r="N2" s="693"/>
      <c r="O2" s="693"/>
      <c r="P2" s="693"/>
      <c r="Q2" s="693"/>
      <c r="R2" s="693"/>
      <c r="S2" s="693"/>
      <c r="T2" s="693"/>
      <c r="U2" s="693"/>
      <c r="V2" s="693"/>
      <c r="W2" s="693"/>
    </row>
    <row r="3" spans="1:23" ht="23.25">
      <c r="A3" s="693" t="s">
        <v>1298</v>
      </c>
      <c r="B3" s="693"/>
      <c r="C3" s="693"/>
      <c r="D3" s="693"/>
      <c r="E3" s="693"/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 t="s">
        <v>1857</v>
      </c>
      <c r="V3" s="693"/>
      <c r="W3" s="693"/>
    </row>
    <row r="4" spans="1:23" ht="23.25">
      <c r="A4" s="694" t="s">
        <v>1299</v>
      </c>
      <c r="B4" s="693" t="s">
        <v>1300</v>
      </c>
      <c r="C4" s="693"/>
      <c r="D4" s="693"/>
      <c r="E4" s="693"/>
      <c r="F4" s="693"/>
      <c r="G4" s="693"/>
      <c r="H4" s="693"/>
      <c r="I4" s="693"/>
      <c r="J4" s="693"/>
      <c r="K4" s="693"/>
      <c r="L4" s="695" t="s">
        <v>1301</v>
      </c>
      <c r="M4" s="693"/>
      <c r="N4" s="693"/>
      <c r="O4" s="693"/>
      <c r="P4" s="695" t="s">
        <v>424</v>
      </c>
      <c r="Q4" s="693"/>
      <c r="R4" s="693"/>
      <c r="S4" s="693" t="s">
        <v>1302</v>
      </c>
      <c r="T4" s="693"/>
      <c r="U4" s="693"/>
      <c r="V4" s="693"/>
      <c r="W4" s="693"/>
    </row>
    <row r="5" spans="1:23" ht="23.25">
      <c r="A5" s="694" t="s">
        <v>1299</v>
      </c>
      <c r="B5" s="1715" t="s">
        <v>1303</v>
      </c>
      <c r="C5" s="1716" t="s">
        <v>1301</v>
      </c>
      <c r="D5" s="1716" t="s">
        <v>1304</v>
      </c>
      <c r="E5" s="1727" t="s">
        <v>332</v>
      </c>
      <c r="F5" s="693"/>
      <c r="G5" s="696" t="s">
        <v>1305</v>
      </c>
      <c r="H5" s="856" t="s">
        <v>1304</v>
      </c>
      <c r="I5" s="856" t="s">
        <v>332</v>
      </c>
      <c r="J5" s="856" t="s">
        <v>1306</v>
      </c>
      <c r="K5" s="697" t="s">
        <v>1307</v>
      </c>
      <c r="L5" s="698"/>
      <c r="M5" s="696" t="s">
        <v>1305</v>
      </c>
      <c r="N5" s="856" t="s">
        <v>424</v>
      </c>
      <c r="O5" s="856" t="s">
        <v>332</v>
      </c>
      <c r="P5" s="856" t="s">
        <v>429</v>
      </c>
      <c r="Q5" s="697" t="s">
        <v>1307</v>
      </c>
      <c r="R5" s="693"/>
      <c r="S5" s="693"/>
      <c r="T5" s="693"/>
      <c r="U5" s="693"/>
      <c r="V5" s="693"/>
      <c r="W5" s="693"/>
    </row>
    <row r="6" spans="1:23" ht="23.25">
      <c r="A6" s="694"/>
      <c r="B6" s="1715"/>
      <c r="C6" s="1716"/>
      <c r="D6" s="1716"/>
      <c r="E6" s="1716"/>
      <c r="F6" s="693"/>
      <c r="G6" s="694"/>
      <c r="H6" s="694"/>
      <c r="I6" s="694" t="s">
        <v>1305</v>
      </c>
      <c r="J6" s="853" t="s">
        <v>1308</v>
      </c>
      <c r="K6" s="694"/>
      <c r="L6" s="853" t="s">
        <v>332</v>
      </c>
      <c r="M6" s="694"/>
      <c r="N6" s="853" t="s">
        <v>429</v>
      </c>
      <c r="O6" s="699" t="s">
        <v>1307</v>
      </c>
      <c r="P6" s="694"/>
      <c r="Q6" s="694"/>
      <c r="R6" s="694"/>
      <c r="S6" s="693"/>
      <c r="T6" s="693"/>
      <c r="U6" s="693"/>
      <c r="V6" s="693"/>
      <c r="W6" s="693"/>
    </row>
    <row r="7" spans="1:23" ht="23.25">
      <c r="A7" s="694"/>
      <c r="B7" s="854"/>
      <c r="C7" s="855"/>
      <c r="D7" s="855"/>
      <c r="E7" s="855"/>
      <c r="F7" s="693"/>
      <c r="G7" s="694"/>
      <c r="H7" s="694"/>
      <c r="I7" s="694"/>
      <c r="J7" s="853"/>
      <c r="K7" s="694"/>
      <c r="L7" s="853"/>
      <c r="M7" s="694"/>
      <c r="N7" s="853"/>
      <c r="O7" s="699"/>
      <c r="P7" s="694"/>
      <c r="Q7" s="694"/>
      <c r="R7" s="694"/>
      <c r="S7" s="693"/>
      <c r="T7" s="693"/>
      <c r="U7" s="693"/>
      <c r="V7" s="693"/>
      <c r="W7" s="693"/>
    </row>
    <row r="8" spans="1:23" ht="23.25">
      <c r="A8" s="694" t="s">
        <v>339</v>
      </c>
      <c r="B8" s="693" t="s">
        <v>1309</v>
      </c>
      <c r="C8" s="693"/>
      <c r="D8" s="693"/>
      <c r="E8" s="693"/>
      <c r="F8" s="693"/>
      <c r="G8" s="693"/>
      <c r="H8" s="693"/>
      <c r="I8" s="693"/>
      <c r="J8" s="693"/>
      <c r="K8" s="693"/>
      <c r="L8" s="695" t="s">
        <v>1301</v>
      </c>
      <c r="M8" s="693"/>
      <c r="N8" s="693"/>
      <c r="O8" s="1724">
        <f>'ปร.5(ก)'!D20</f>
        <v>0</v>
      </c>
      <c r="P8" s="1724"/>
      <c r="Q8" s="1724"/>
      <c r="R8" s="1724"/>
      <c r="S8" s="693" t="s">
        <v>1302</v>
      </c>
      <c r="T8" s="693"/>
      <c r="U8" s="693"/>
      <c r="V8" s="693"/>
      <c r="W8" s="693"/>
    </row>
    <row r="9" spans="1:23" ht="23.25">
      <c r="A9" s="693"/>
      <c r="B9" s="693"/>
      <c r="C9" s="693"/>
      <c r="D9" s="693"/>
      <c r="E9" s="693"/>
      <c r="F9" s="693"/>
      <c r="G9" s="693"/>
      <c r="H9" s="693"/>
      <c r="I9" s="693"/>
      <c r="J9" s="693"/>
      <c r="K9" s="693"/>
      <c r="L9" s="695"/>
      <c r="M9" s="693"/>
      <c r="N9" s="693"/>
      <c r="O9" s="1723"/>
      <c r="P9" s="1723"/>
      <c r="Q9" s="1723"/>
      <c r="R9" s="1723"/>
      <c r="S9" s="693"/>
      <c r="T9" s="693"/>
      <c r="U9" s="693"/>
      <c r="V9" s="693"/>
      <c r="W9" s="693"/>
    </row>
    <row r="10" spans="1:23" ht="23.25">
      <c r="A10" s="693"/>
      <c r="B10" s="693"/>
      <c r="C10" s="693"/>
      <c r="D10" s="693"/>
      <c r="E10" s="693"/>
      <c r="F10" s="693"/>
      <c r="G10" s="693"/>
      <c r="H10" s="693"/>
      <c r="I10" s="693"/>
      <c r="J10" s="693"/>
      <c r="K10" s="693"/>
      <c r="L10" s="695"/>
      <c r="M10" s="693"/>
      <c r="N10" s="693"/>
      <c r="O10" s="693"/>
      <c r="P10" s="693"/>
      <c r="Q10" s="695"/>
      <c r="R10" s="693"/>
      <c r="S10" s="693"/>
      <c r="T10" s="693"/>
      <c r="U10" s="693"/>
      <c r="V10" s="693"/>
      <c r="W10" s="693"/>
    </row>
    <row r="11" spans="1:23" ht="23.25">
      <c r="A11" s="693"/>
      <c r="B11" s="1725" t="s">
        <v>1310</v>
      </c>
      <c r="C11" s="1725"/>
      <c r="D11" s="1725"/>
      <c r="E11" s="1725"/>
      <c r="F11" s="1725"/>
      <c r="G11" s="1725"/>
      <c r="H11" s="1725"/>
      <c r="I11" s="1725"/>
      <c r="J11" s="693"/>
      <c r="K11" s="693"/>
      <c r="L11" s="853" t="s">
        <v>1301</v>
      </c>
      <c r="M11" s="693"/>
      <c r="N11" s="693"/>
      <c r="O11" s="1723">
        <f>O8</f>
        <v>0</v>
      </c>
      <c r="P11" s="1723"/>
      <c r="Q11" s="1723"/>
      <c r="R11" s="1723"/>
      <c r="S11" s="694" t="s">
        <v>1302</v>
      </c>
      <c r="T11" s="693"/>
      <c r="U11" s="693"/>
      <c r="V11" s="693"/>
      <c r="W11" s="693"/>
    </row>
    <row r="12" spans="1:23" ht="23.25">
      <c r="A12" s="693"/>
      <c r="B12" s="693"/>
      <c r="C12" s="693"/>
      <c r="D12" s="693"/>
      <c r="E12" s="693"/>
      <c r="F12" s="693"/>
      <c r="G12" s="693"/>
      <c r="H12" s="693"/>
      <c r="I12" s="693"/>
      <c r="J12" s="693"/>
      <c r="K12" s="693"/>
      <c r="L12" s="693"/>
      <c r="M12" s="693"/>
      <c r="N12" s="693"/>
      <c r="O12" s="693"/>
      <c r="P12" s="693"/>
      <c r="Q12" s="693"/>
      <c r="R12" s="693"/>
      <c r="S12" s="693"/>
      <c r="T12" s="693"/>
      <c r="U12" s="693"/>
      <c r="V12" s="693"/>
      <c r="W12" s="693"/>
    </row>
    <row r="13" spans="1:23" ht="23.25">
      <c r="A13" s="694" t="s">
        <v>1311</v>
      </c>
      <c r="B13" s="693" t="s">
        <v>1312</v>
      </c>
      <c r="C13" s="693"/>
      <c r="D13" s="693"/>
      <c r="E13" s="693"/>
      <c r="F13" s="1722">
        <v>0</v>
      </c>
      <c r="G13" s="1722"/>
      <c r="H13" s="693"/>
      <c r="I13" s="693"/>
      <c r="J13" s="693" t="s">
        <v>1313</v>
      </c>
      <c r="K13" s="693"/>
      <c r="L13" s="693"/>
      <c r="M13" s="693"/>
      <c r="N13" s="693"/>
      <c r="O13" s="693"/>
      <c r="P13" s="857">
        <v>0.05</v>
      </c>
      <c r="Q13" s="693" t="s">
        <v>1314</v>
      </c>
      <c r="R13" s="693"/>
      <c r="S13" s="693"/>
      <c r="T13" s="693"/>
      <c r="U13" s="693"/>
      <c r="V13" s="693"/>
      <c r="W13" s="693"/>
    </row>
    <row r="14" spans="1:23" ht="23.25">
      <c r="A14" s="693"/>
      <c r="B14" s="693" t="s">
        <v>1315</v>
      </c>
      <c r="C14" s="693"/>
      <c r="D14" s="693"/>
      <c r="E14" s="693"/>
      <c r="F14" s="1722">
        <v>0.05</v>
      </c>
      <c r="G14" s="1722"/>
      <c r="H14" s="693"/>
      <c r="I14" s="693"/>
      <c r="J14" s="693" t="s">
        <v>348</v>
      </c>
      <c r="K14" s="693"/>
      <c r="L14" s="693"/>
      <c r="M14" s="693"/>
      <c r="N14" s="693"/>
      <c r="O14" s="693"/>
      <c r="P14" s="857">
        <v>7.0000000000000007E-2</v>
      </c>
      <c r="Q14" s="693"/>
      <c r="R14" s="693"/>
      <c r="S14" s="693"/>
      <c r="T14" s="693"/>
      <c r="U14" s="693"/>
      <c r="V14" s="693"/>
      <c r="W14" s="693"/>
    </row>
    <row r="15" spans="1:23" ht="23.25">
      <c r="A15" s="693"/>
      <c r="B15" s="693"/>
      <c r="C15" s="693"/>
      <c r="D15" s="693"/>
      <c r="E15" s="693"/>
      <c r="F15" s="693"/>
      <c r="G15" s="693"/>
      <c r="H15" s="693"/>
      <c r="I15" s="693"/>
      <c r="J15" s="693"/>
      <c r="K15" s="693"/>
      <c r="L15" s="693"/>
      <c r="M15" s="693"/>
      <c r="N15" s="693"/>
      <c r="O15" s="693"/>
      <c r="P15" s="693"/>
      <c r="Q15" s="693"/>
      <c r="R15" s="693"/>
      <c r="S15" s="693"/>
      <c r="T15" s="693"/>
      <c r="U15" s="693"/>
      <c r="V15" s="693"/>
      <c r="W15" s="700"/>
    </row>
    <row r="16" spans="1:23" ht="23.25">
      <c r="A16" s="694" t="s">
        <v>1316</v>
      </c>
      <c r="B16" s="693" t="s">
        <v>1300</v>
      </c>
      <c r="C16" s="693"/>
      <c r="D16" s="693"/>
      <c r="E16" s="693"/>
      <c r="F16" s="693"/>
      <c r="G16" s="693"/>
      <c r="H16" s="693"/>
      <c r="I16" s="695" t="s">
        <v>1301</v>
      </c>
      <c r="J16" s="695" t="s">
        <v>424</v>
      </c>
      <c r="K16" s="693"/>
      <c r="L16" s="693"/>
      <c r="M16" s="695" t="s">
        <v>1301</v>
      </c>
      <c r="N16" s="693"/>
      <c r="O16" s="1723">
        <f>O8</f>
        <v>0</v>
      </c>
      <c r="P16" s="1723"/>
      <c r="Q16" s="1723"/>
      <c r="R16" s="1723"/>
      <c r="S16" s="693" t="s">
        <v>1302</v>
      </c>
      <c r="T16" s="693"/>
      <c r="U16" s="693"/>
      <c r="V16" s="693"/>
      <c r="W16" s="693"/>
    </row>
    <row r="17" spans="1:23" ht="23.25">
      <c r="A17" s="693"/>
      <c r="B17" s="693" t="s">
        <v>1317</v>
      </c>
      <c r="C17" s="693"/>
      <c r="D17" s="693"/>
      <c r="E17" s="693"/>
      <c r="F17" s="693"/>
      <c r="G17" s="693"/>
      <c r="H17" s="693"/>
      <c r="I17" s="695" t="s">
        <v>1301</v>
      </c>
      <c r="J17" s="695" t="s">
        <v>429</v>
      </c>
      <c r="K17" s="693"/>
      <c r="L17" s="693"/>
      <c r="M17" s="695" t="s">
        <v>1301</v>
      </c>
      <c r="N17" s="693"/>
      <c r="O17" s="1724">
        <v>300000000</v>
      </c>
      <c r="P17" s="1724"/>
      <c r="Q17" s="1724"/>
      <c r="R17" s="1724"/>
      <c r="S17" s="693" t="s">
        <v>1302</v>
      </c>
      <c r="T17" s="693"/>
      <c r="U17" s="693"/>
      <c r="V17" s="693"/>
      <c r="W17" s="693"/>
    </row>
    <row r="18" spans="1:23" ht="23.25">
      <c r="A18" s="693"/>
      <c r="B18" s="693" t="s">
        <v>1318</v>
      </c>
      <c r="C18" s="693"/>
      <c r="D18" s="693"/>
      <c r="E18" s="693"/>
      <c r="F18" s="693"/>
      <c r="G18" s="693"/>
      <c r="H18" s="693"/>
      <c r="I18" s="695" t="s">
        <v>1301</v>
      </c>
      <c r="J18" s="695" t="s">
        <v>1308</v>
      </c>
      <c r="K18" s="693"/>
      <c r="L18" s="693"/>
      <c r="M18" s="695" t="s">
        <v>1301</v>
      </c>
      <c r="N18" s="693"/>
      <c r="O18" s="1724">
        <v>350000000</v>
      </c>
      <c r="P18" s="1724"/>
      <c r="Q18" s="1724"/>
      <c r="R18" s="1724"/>
      <c r="S18" s="693" t="s">
        <v>1302</v>
      </c>
      <c r="T18" s="693"/>
      <c r="U18" s="693"/>
      <c r="V18" s="693"/>
      <c r="W18" s="693"/>
    </row>
    <row r="19" spans="1:23" ht="23.25">
      <c r="A19" s="693"/>
      <c r="B19" s="693" t="s">
        <v>1319</v>
      </c>
      <c r="C19" s="693"/>
      <c r="D19" s="693"/>
      <c r="E19" s="693"/>
      <c r="F19" s="693"/>
      <c r="G19" s="693"/>
      <c r="H19" s="693"/>
      <c r="I19" s="695" t="s">
        <v>1301</v>
      </c>
      <c r="J19" s="695" t="s">
        <v>1304</v>
      </c>
      <c r="K19" s="693"/>
      <c r="L19" s="693"/>
      <c r="M19" s="695" t="s">
        <v>1301</v>
      </c>
      <c r="N19" s="693"/>
      <c r="O19" s="1714">
        <v>1.1964999999999999</v>
      </c>
      <c r="P19" s="1714"/>
      <c r="Q19" s="1714"/>
      <c r="R19" s="1714"/>
      <c r="S19" s="693"/>
      <c r="T19" s="693"/>
      <c r="U19" s="693"/>
      <c r="V19" s="693"/>
      <c r="W19" s="693"/>
    </row>
    <row r="20" spans="1:23" ht="23.25">
      <c r="A20" s="693"/>
      <c r="B20" s="693" t="s">
        <v>1320</v>
      </c>
      <c r="C20" s="693"/>
      <c r="D20" s="693"/>
      <c r="E20" s="693"/>
      <c r="F20" s="693"/>
      <c r="G20" s="693"/>
      <c r="H20" s="693"/>
      <c r="I20" s="695" t="s">
        <v>1301</v>
      </c>
      <c r="J20" s="695" t="s">
        <v>1306</v>
      </c>
      <c r="K20" s="693"/>
      <c r="L20" s="693"/>
      <c r="M20" s="695" t="s">
        <v>1301</v>
      </c>
      <c r="N20" s="693"/>
      <c r="O20" s="1714">
        <v>1.1880999999999999</v>
      </c>
      <c r="P20" s="1714"/>
      <c r="Q20" s="1714"/>
      <c r="R20" s="1714"/>
      <c r="S20" s="693"/>
      <c r="T20" s="693"/>
      <c r="U20" s="693"/>
      <c r="V20" s="693"/>
      <c r="W20" s="693"/>
    </row>
    <row r="21" spans="1:23" ht="23.25">
      <c r="A21" s="693"/>
      <c r="B21" s="693"/>
      <c r="C21" s="693"/>
      <c r="D21" s="693"/>
      <c r="E21" s="693"/>
      <c r="F21" s="693"/>
      <c r="G21" s="693"/>
      <c r="H21" s="693"/>
      <c r="I21" s="693"/>
      <c r="J21" s="693"/>
      <c r="K21" s="693"/>
      <c r="L21" s="693"/>
      <c r="M21" s="693"/>
      <c r="N21" s="693"/>
      <c r="O21" s="693"/>
      <c r="P21" s="693"/>
      <c r="Q21" s="693"/>
      <c r="R21" s="693"/>
      <c r="S21" s="693"/>
      <c r="T21" s="693"/>
      <c r="U21" s="693"/>
      <c r="V21" s="693"/>
      <c r="W21" s="693"/>
    </row>
    <row r="22" spans="1:23" ht="23.25">
      <c r="A22" s="1715" t="s">
        <v>1321</v>
      </c>
      <c r="B22" s="1715" t="s">
        <v>1303</v>
      </c>
      <c r="C22" s="1716" t="s">
        <v>1301</v>
      </c>
      <c r="D22" s="1717">
        <f>O19</f>
        <v>1.1964999999999999</v>
      </c>
      <c r="E22" s="1718" t="s">
        <v>332</v>
      </c>
      <c r="F22" s="693"/>
      <c r="G22" s="1719" t="str">
        <f>"("&amp;O19&amp;"-"&amp;O20&amp;")"</f>
        <v>(1.1965-1.1881)</v>
      </c>
      <c r="H22" s="1719"/>
      <c r="I22" s="1719"/>
      <c r="J22" s="1719"/>
      <c r="K22" s="856" t="s">
        <v>1322</v>
      </c>
      <c r="L22" s="1720" t="str">
        <f>"("&amp;TEXT(O16,"#,##0.00")&amp;"-"&amp;TEXT(O17,"#,##0.00")&amp;")"</f>
        <v>(0.00-300,000,000.00)</v>
      </c>
      <c r="M22" s="1720"/>
      <c r="N22" s="1720"/>
      <c r="O22" s="1720"/>
      <c r="P22" s="1720"/>
      <c r="Q22" s="1720"/>
      <c r="R22" s="1720"/>
      <c r="S22" s="693"/>
      <c r="T22" s="693"/>
      <c r="U22" s="693"/>
      <c r="V22" s="693"/>
      <c r="W22" s="693"/>
    </row>
    <row r="23" spans="1:23" ht="23.25">
      <c r="A23" s="1715"/>
      <c r="B23" s="1715"/>
      <c r="C23" s="1716"/>
      <c r="D23" s="1716"/>
      <c r="E23" s="1717"/>
      <c r="F23" s="693"/>
      <c r="G23" s="694"/>
      <c r="H23" s="694"/>
      <c r="I23" s="1721" t="str">
        <f>"("&amp;TEXT(O18,"#,##0.00")&amp;"-"&amp;TEXT(O17,"#,##0.00")&amp;")"</f>
        <v>(350,000,000.00-300,000,000.00)</v>
      </c>
      <c r="J23" s="1721"/>
      <c r="K23" s="1721"/>
      <c r="L23" s="1721"/>
      <c r="M23" s="1721"/>
      <c r="N23" s="1721"/>
      <c r="O23" s="1721"/>
      <c r="P23" s="694"/>
      <c r="Q23" s="694"/>
      <c r="R23" s="694"/>
      <c r="S23" s="693"/>
      <c r="T23" s="693"/>
      <c r="U23" s="693"/>
      <c r="V23" s="693"/>
      <c r="W23" s="693"/>
    </row>
    <row r="24" spans="1:23" ht="24" thickBot="1">
      <c r="A24" s="693"/>
      <c r="B24" s="693"/>
      <c r="C24" s="701"/>
      <c r="D24" s="693"/>
      <c r="E24" s="693"/>
      <c r="F24" s="693"/>
      <c r="G24" s="693"/>
      <c r="H24" s="693"/>
      <c r="I24" s="693"/>
      <c r="J24" s="693"/>
      <c r="K24" s="693"/>
      <c r="L24" s="693"/>
      <c r="M24" s="693"/>
      <c r="N24" s="693"/>
      <c r="O24" s="693"/>
      <c r="P24" s="693"/>
      <c r="Q24" s="693"/>
      <c r="R24" s="693"/>
      <c r="S24" s="693"/>
      <c r="T24" s="693"/>
      <c r="U24" s="693"/>
      <c r="V24" s="693"/>
      <c r="W24" s="693"/>
    </row>
    <row r="25" spans="1:23" ht="24.75" thickBot="1">
      <c r="A25" s="693"/>
      <c r="B25" s="694" t="s">
        <v>1323</v>
      </c>
      <c r="C25" s="702" t="s">
        <v>1301</v>
      </c>
      <c r="D25" s="703">
        <f>D22</f>
        <v>1.1964999999999999</v>
      </c>
      <c r="E25" s="703"/>
      <c r="F25" s="1710">
        <f>(((O19-O20)*(O16-O17))/(O18-O17))</f>
        <v>-5.0399999999999778E-2</v>
      </c>
      <c r="G25" s="1710"/>
      <c r="H25" s="1710"/>
      <c r="I25" s="1710"/>
      <c r="J25" s="704"/>
      <c r="K25" s="704"/>
      <c r="L25" s="704"/>
      <c r="M25" s="693"/>
      <c r="N25" s="693"/>
      <c r="O25" s="1711">
        <f>FLOOR(W25,0.0001)</f>
        <v>1.2469000000000001</v>
      </c>
      <c r="P25" s="1712"/>
      <c r="Q25" s="1712"/>
      <c r="R25" s="1713"/>
      <c r="S25" s="693"/>
      <c r="T25" s="693"/>
      <c r="U25" s="693"/>
      <c r="V25" s="693"/>
      <c r="W25" s="705">
        <f>O19-F25</f>
        <v>1.2468999999999997</v>
      </c>
    </row>
    <row r="26" spans="1:23" ht="23.25">
      <c r="A26" s="693"/>
      <c r="B26" s="693"/>
      <c r="C26" s="693"/>
      <c r="D26" s="693"/>
      <c r="E26" s="693"/>
      <c r="F26" s="693"/>
      <c r="G26" s="693"/>
      <c r="H26" s="693"/>
      <c r="I26" s="693"/>
      <c r="J26" s="693"/>
      <c r="K26" s="693"/>
      <c r="L26" s="693"/>
      <c r="M26" s="693"/>
      <c r="N26" s="693"/>
      <c r="O26" s="693"/>
      <c r="P26" s="693"/>
      <c r="Q26" s="693"/>
      <c r="R26" s="693"/>
      <c r="S26" s="693"/>
      <c r="T26" s="693"/>
      <c r="U26" s="693"/>
      <c r="V26" s="693"/>
      <c r="W26" s="693"/>
    </row>
    <row r="28" spans="1:23" ht="30.75">
      <c r="A28" s="1726" t="s">
        <v>1297</v>
      </c>
      <c r="B28" s="1726"/>
      <c r="C28" s="1726"/>
      <c r="D28" s="1726"/>
      <c r="E28" s="1726"/>
      <c r="F28" s="1726"/>
      <c r="G28" s="1726"/>
      <c r="H28" s="1726"/>
      <c r="I28" s="1726"/>
      <c r="J28" s="1726"/>
      <c r="K28" s="1726"/>
      <c r="L28" s="1726"/>
      <c r="M28" s="1726"/>
      <c r="N28" s="1726"/>
      <c r="O28" s="1726"/>
      <c r="P28" s="1726"/>
      <c r="Q28" s="1726"/>
      <c r="R28" s="1726"/>
      <c r="S28" s="1726"/>
      <c r="T28" s="690"/>
      <c r="U28" s="691" t="s">
        <v>1858</v>
      </c>
      <c r="V28" s="691"/>
      <c r="W28" s="691"/>
    </row>
    <row r="29" spans="1:23" ht="23.25">
      <c r="A29" s="693"/>
      <c r="B29" s="693"/>
      <c r="C29" s="693"/>
      <c r="D29" s="693"/>
      <c r="E29" s="693"/>
      <c r="F29" s="693"/>
      <c r="G29" s="693"/>
      <c r="H29" s="693"/>
      <c r="I29" s="693"/>
      <c r="J29" s="693"/>
      <c r="K29" s="693"/>
      <c r="L29" s="693"/>
      <c r="M29" s="693"/>
      <c r="N29" s="693"/>
      <c r="O29" s="693"/>
      <c r="P29" s="693"/>
      <c r="Q29" s="693"/>
      <c r="R29" s="693"/>
      <c r="S29" s="693"/>
      <c r="T29" s="693"/>
      <c r="U29" s="693"/>
      <c r="V29" s="693"/>
      <c r="W29" s="693"/>
    </row>
    <row r="30" spans="1:23" ht="23.25">
      <c r="A30" s="693" t="s">
        <v>1298</v>
      </c>
      <c r="B30" s="693"/>
      <c r="C30" s="693"/>
      <c r="D30" s="693"/>
      <c r="E30" s="693"/>
      <c r="F30" s="693"/>
      <c r="G30" s="693"/>
      <c r="H30" s="693"/>
      <c r="I30" s="693"/>
      <c r="J30" s="693"/>
      <c r="K30" s="693"/>
      <c r="L30" s="693"/>
      <c r="M30" s="693"/>
      <c r="N30" s="693"/>
      <c r="O30" s="693"/>
      <c r="P30" s="693"/>
      <c r="Q30" s="693"/>
      <c r="R30" s="693"/>
      <c r="S30" s="693"/>
      <c r="T30" s="693"/>
      <c r="U30" s="693"/>
      <c r="V30" s="693"/>
      <c r="W30" s="693"/>
    </row>
    <row r="31" spans="1:23" ht="23.25">
      <c r="A31" s="694" t="s">
        <v>1299</v>
      </c>
      <c r="B31" s="693" t="s">
        <v>1300</v>
      </c>
      <c r="C31" s="693"/>
      <c r="D31" s="693"/>
      <c r="E31" s="693"/>
      <c r="F31" s="693"/>
      <c r="G31" s="693"/>
      <c r="H31" s="693"/>
      <c r="I31" s="693"/>
      <c r="J31" s="693"/>
      <c r="K31" s="693"/>
      <c r="L31" s="695" t="s">
        <v>1301</v>
      </c>
      <c r="M31" s="693"/>
      <c r="N31" s="693"/>
      <c r="O31" s="693"/>
      <c r="P31" s="695" t="s">
        <v>424</v>
      </c>
      <c r="Q31" s="693"/>
      <c r="R31" s="693"/>
      <c r="S31" s="693" t="s">
        <v>1302</v>
      </c>
      <c r="T31" s="693"/>
      <c r="U31" s="693"/>
      <c r="V31" s="693"/>
      <c r="W31" s="693"/>
    </row>
    <row r="32" spans="1:23" ht="23.25">
      <c r="A32" s="694" t="s">
        <v>1299</v>
      </c>
      <c r="B32" s="1715" t="s">
        <v>1303</v>
      </c>
      <c r="C32" s="1716" t="s">
        <v>1301</v>
      </c>
      <c r="D32" s="1716" t="s">
        <v>1304</v>
      </c>
      <c r="E32" s="1727" t="s">
        <v>332</v>
      </c>
      <c r="F32" s="693"/>
      <c r="G32" s="696" t="s">
        <v>1305</v>
      </c>
      <c r="H32" s="1213" t="s">
        <v>1304</v>
      </c>
      <c r="I32" s="1213" t="s">
        <v>332</v>
      </c>
      <c r="J32" s="1213" t="s">
        <v>1306</v>
      </c>
      <c r="K32" s="697" t="s">
        <v>1307</v>
      </c>
      <c r="L32" s="698"/>
      <c r="M32" s="696" t="s">
        <v>1305</v>
      </c>
      <c r="N32" s="1213" t="s">
        <v>424</v>
      </c>
      <c r="O32" s="1213" t="s">
        <v>332</v>
      </c>
      <c r="P32" s="1213" t="s">
        <v>429</v>
      </c>
      <c r="Q32" s="697" t="s">
        <v>1307</v>
      </c>
      <c r="R32" s="693"/>
      <c r="S32" s="693"/>
      <c r="T32" s="693"/>
      <c r="U32" s="693"/>
      <c r="V32" s="693"/>
      <c r="W32" s="693"/>
    </row>
    <row r="33" spans="1:23" ht="23.25">
      <c r="A33" s="694"/>
      <c r="B33" s="1715"/>
      <c r="C33" s="1716"/>
      <c r="D33" s="1716"/>
      <c r="E33" s="1716"/>
      <c r="F33" s="693"/>
      <c r="G33" s="694"/>
      <c r="H33" s="694"/>
      <c r="I33" s="694" t="s">
        <v>1305</v>
      </c>
      <c r="J33" s="1214" t="s">
        <v>1308</v>
      </c>
      <c r="K33" s="694"/>
      <c r="L33" s="1214" t="s">
        <v>332</v>
      </c>
      <c r="M33" s="694"/>
      <c r="N33" s="1214" t="s">
        <v>429</v>
      </c>
      <c r="O33" s="699" t="s">
        <v>1307</v>
      </c>
      <c r="P33" s="694"/>
      <c r="Q33" s="694"/>
      <c r="R33" s="694"/>
      <c r="S33" s="693"/>
      <c r="T33" s="693"/>
      <c r="U33" s="693"/>
      <c r="V33" s="693"/>
      <c r="W33" s="693"/>
    </row>
    <row r="34" spans="1:23" ht="23.25">
      <c r="A34" s="694"/>
      <c r="B34" s="1211"/>
      <c r="C34" s="1212"/>
      <c r="D34" s="1212"/>
      <c r="E34" s="1212"/>
      <c r="F34" s="693"/>
      <c r="G34" s="694"/>
      <c r="H34" s="694"/>
      <c r="I34" s="694"/>
      <c r="J34" s="1214"/>
      <c r="K34" s="694"/>
      <c r="L34" s="1214"/>
      <c r="M34" s="694"/>
      <c r="N34" s="1214"/>
      <c r="O34" s="699"/>
      <c r="P34" s="694"/>
      <c r="Q34" s="694"/>
      <c r="R34" s="694"/>
      <c r="S34" s="693"/>
      <c r="T34" s="693"/>
      <c r="U34" s="693"/>
      <c r="V34" s="693"/>
      <c r="W34" s="693"/>
    </row>
    <row r="35" spans="1:23" ht="23.25">
      <c r="A35" s="694" t="s">
        <v>339</v>
      </c>
      <c r="B35" s="693" t="s">
        <v>1309</v>
      </c>
      <c r="C35" s="693"/>
      <c r="D35" s="693"/>
      <c r="E35" s="693"/>
      <c r="F35" s="693"/>
      <c r="G35" s="693"/>
      <c r="H35" s="693"/>
      <c r="I35" s="693"/>
      <c r="J35" s="693"/>
      <c r="K35" s="693"/>
      <c r="L35" s="695" t="s">
        <v>1301</v>
      </c>
      <c r="M35" s="693"/>
      <c r="N35" s="693"/>
      <c r="O35" s="1724">
        <f>'ปร.5(ก)'!D20</f>
        <v>0</v>
      </c>
      <c r="P35" s="1724"/>
      <c r="Q35" s="1724"/>
      <c r="R35" s="1724"/>
      <c r="S35" s="693" t="s">
        <v>1302</v>
      </c>
      <c r="T35" s="693"/>
      <c r="U35" s="693"/>
      <c r="V35" s="693"/>
      <c r="W35" s="693"/>
    </row>
    <row r="36" spans="1:23" ht="23.25">
      <c r="A36" s="693"/>
      <c r="B36" s="693"/>
      <c r="C36" s="693"/>
      <c r="D36" s="693"/>
      <c r="E36" s="693"/>
      <c r="F36" s="693"/>
      <c r="G36" s="693"/>
      <c r="H36" s="693"/>
      <c r="I36" s="693"/>
      <c r="J36" s="693"/>
      <c r="K36" s="693"/>
      <c r="L36" s="695"/>
      <c r="M36" s="693"/>
      <c r="N36" s="693"/>
      <c r="O36" s="1723"/>
      <c r="P36" s="1723"/>
      <c r="Q36" s="1723"/>
      <c r="R36" s="1723"/>
      <c r="S36" s="693"/>
      <c r="T36" s="693"/>
      <c r="U36" s="693"/>
      <c r="V36" s="693"/>
      <c r="W36" s="693"/>
    </row>
    <row r="37" spans="1:23" ht="23.25">
      <c r="A37" s="693"/>
      <c r="B37" s="693"/>
      <c r="C37" s="693"/>
      <c r="D37" s="693"/>
      <c r="E37" s="693"/>
      <c r="F37" s="693"/>
      <c r="G37" s="693"/>
      <c r="H37" s="693"/>
      <c r="I37" s="693"/>
      <c r="J37" s="693"/>
      <c r="K37" s="693"/>
      <c r="L37" s="695"/>
      <c r="M37" s="693"/>
      <c r="N37" s="693"/>
      <c r="O37" s="693"/>
      <c r="P37" s="693"/>
      <c r="Q37" s="695"/>
      <c r="R37" s="693"/>
      <c r="S37" s="693"/>
      <c r="T37" s="693"/>
      <c r="U37" s="693"/>
      <c r="V37" s="693"/>
      <c r="W37" s="693"/>
    </row>
    <row r="38" spans="1:23" ht="23.25">
      <c r="A38" s="693"/>
      <c r="B38" s="1725" t="s">
        <v>1310</v>
      </c>
      <c r="C38" s="1725"/>
      <c r="D38" s="1725"/>
      <c r="E38" s="1725"/>
      <c r="F38" s="1725"/>
      <c r="G38" s="1725"/>
      <c r="H38" s="1725"/>
      <c r="I38" s="1725"/>
      <c r="J38" s="693"/>
      <c r="K38" s="693"/>
      <c r="L38" s="1214" t="s">
        <v>1301</v>
      </c>
      <c r="M38" s="693"/>
      <c r="N38" s="693"/>
      <c r="O38" s="1723">
        <f>O35</f>
        <v>0</v>
      </c>
      <c r="P38" s="1723"/>
      <c r="Q38" s="1723"/>
      <c r="R38" s="1723"/>
      <c r="S38" s="694" t="s">
        <v>1302</v>
      </c>
      <c r="T38" s="693"/>
      <c r="U38" s="693"/>
      <c r="V38" s="693"/>
      <c r="W38" s="693"/>
    </row>
    <row r="39" spans="1:23" ht="23.25">
      <c r="A39" s="693"/>
      <c r="B39" s="693"/>
      <c r="C39" s="693"/>
      <c r="D39" s="693"/>
      <c r="E39" s="693"/>
      <c r="F39" s="693"/>
      <c r="G39" s="693"/>
      <c r="H39" s="693"/>
      <c r="I39" s="693"/>
      <c r="J39" s="693"/>
      <c r="K39" s="693"/>
      <c r="L39" s="693"/>
      <c r="M39" s="693"/>
      <c r="N39" s="693"/>
      <c r="O39" s="693"/>
      <c r="P39" s="693"/>
      <c r="Q39" s="693"/>
      <c r="R39" s="693"/>
      <c r="S39" s="693"/>
      <c r="T39" s="693"/>
      <c r="U39" s="693"/>
      <c r="V39" s="693"/>
      <c r="W39" s="693"/>
    </row>
    <row r="40" spans="1:23" ht="23.25">
      <c r="A40" s="694" t="s">
        <v>1311</v>
      </c>
      <c r="B40" s="693" t="s">
        <v>1312</v>
      </c>
      <c r="C40" s="693"/>
      <c r="D40" s="693"/>
      <c r="E40" s="693"/>
      <c r="F40" s="1722">
        <v>0.15</v>
      </c>
      <c r="G40" s="1722"/>
      <c r="H40" s="693"/>
      <c r="I40" s="693"/>
      <c r="J40" s="693" t="s">
        <v>1313</v>
      </c>
      <c r="K40" s="693"/>
      <c r="L40" s="693"/>
      <c r="M40" s="693"/>
      <c r="N40" s="693"/>
      <c r="O40" s="693"/>
      <c r="P40" s="1215">
        <v>0.05</v>
      </c>
      <c r="Q40" s="693" t="s">
        <v>1314</v>
      </c>
      <c r="R40" s="693"/>
      <c r="S40" s="693"/>
      <c r="T40" s="693"/>
      <c r="U40" s="693"/>
      <c r="V40" s="693"/>
      <c r="W40" s="693"/>
    </row>
    <row r="41" spans="1:23" ht="23.25">
      <c r="A41" s="693"/>
      <c r="B41" s="693" t="s">
        <v>1315</v>
      </c>
      <c r="C41" s="693"/>
      <c r="D41" s="693"/>
      <c r="E41" s="693"/>
      <c r="F41" s="1722">
        <v>0.05</v>
      </c>
      <c r="G41" s="1722"/>
      <c r="H41" s="693"/>
      <c r="I41" s="693"/>
      <c r="J41" s="693" t="s">
        <v>348</v>
      </c>
      <c r="K41" s="693"/>
      <c r="L41" s="693"/>
      <c r="M41" s="693"/>
      <c r="N41" s="693"/>
      <c r="O41" s="693"/>
      <c r="P41" s="1215">
        <v>7.0000000000000007E-2</v>
      </c>
      <c r="Q41" s="693"/>
      <c r="R41" s="693"/>
      <c r="S41" s="693"/>
      <c r="T41" s="693"/>
      <c r="U41" s="693"/>
      <c r="V41" s="693"/>
      <c r="W41" s="693"/>
    </row>
    <row r="42" spans="1:23" ht="23.25">
      <c r="A42" s="693"/>
      <c r="B42" s="693"/>
      <c r="C42" s="693"/>
      <c r="D42" s="693"/>
      <c r="E42" s="693"/>
      <c r="F42" s="693"/>
      <c r="G42" s="693"/>
      <c r="H42" s="693"/>
      <c r="I42" s="693"/>
      <c r="J42" s="693"/>
      <c r="K42" s="693"/>
      <c r="L42" s="693"/>
      <c r="M42" s="693"/>
      <c r="N42" s="693"/>
      <c r="O42" s="693"/>
      <c r="P42" s="693"/>
      <c r="Q42" s="693"/>
      <c r="R42" s="693"/>
      <c r="S42" s="693"/>
      <c r="T42" s="693"/>
      <c r="U42" s="693"/>
      <c r="V42" s="693"/>
      <c r="W42" s="700"/>
    </row>
    <row r="43" spans="1:23" ht="23.25">
      <c r="A43" s="694" t="s">
        <v>1316</v>
      </c>
      <c r="B43" s="693" t="s">
        <v>1300</v>
      </c>
      <c r="C43" s="693"/>
      <c r="D43" s="693"/>
      <c r="E43" s="693"/>
      <c r="F43" s="693"/>
      <c r="G43" s="693"/>
      <c r="H43" s="693"/>
      <c r="I43" s="695" t="s">
        <v>1301</v>
      </c>
      <c r="J43" s="695" t="s">
        <v>424</v>
      </c>
      <c r="K43" s="693"/>
      <c r="L43" s="693"/>
      <c r="M43" s="695" t="s">
        <v>1301</v>
      </c>
      <c r="N43" s="693"/>
      <c r="O43" s="1723">
        <f>O35</f>
        <v>0</v>
      </c>
      <c r="P43" s="1723"/>
      <c r="Q43" s="1723"/>
      <c r="R43" s="1723"/>
      <c r="S43" s="693" t="s">
        <v>1302</v>
      </c>
      <c r="T43" s="693"/>
      <c r="U43" s="693"/>
      <c r="V43" s="693"/>
      <c r="W43" s="693"/>
    </row>
    <row r="44" spans="1:23" ht="23.25">
      <c r="A44" s="693"/>
      <c r="B44" s="693" t="s">
        <v>1317</v>
      </c>
      <c r="C44" s="693"/>
      <c r="D44" s="693"/>
      <c r="E44" s="693"/>
      <c r="F44" s="693"/>
      <c r="G44" s="693"/>
      <c r="H44" s="693"/>
      <c r="I44" s="695" t="s">
        <v>1301</v>
      </c>
      <c r="J44" s="695" t="s">
        <v>429</v>
      </c>
      <c r="K44" s="693"/>
      <c r="L44" s="693"/>
      <c r="M44" s="695" t="s">
        <v>1301</v>
      </c>
      <c r="N44" s="693"/>
      <c r="O44" s="1724">
        <v>300000000</v>
      </c>
      <c r="P44" s="1724"/>
      <c r="Q44" s="1724"/>
      <c r="R44" s="1724"/>
      <c r="S44" s="693" t="s">
        <v>1302</v>
      </c>
      <c r="T44" s="693"/>
      <c r="U44" s="693"/>
      <c r="V44" s="693"/>
      <c r="W44" s="693"/>
    </row>
    <row r="45" spans="1:23" ht="23.25">
      <c r="A45" s="693"/>
      <c r="B45" s="693" t="s">
        <v>1318</v>
      </c>
      <c r="C45" s="693"/>
      <c r="D45" s="693"/>
      <c r="E45" s="693"/>
      <c r="F45" s="693"/>
      <c r="G45" s="693"/>
      <c r="H45" s="693"/>
      <c r="I45" s="695" t="s">
        <v>1301</v>
      </c>
      <c r="J45" s="695" t="s">
        <v>1308</v>
      </c>
      <c r="K45" s="693"/>
      <c r="L45" s="693"/>
      <c r="M45" s="695" t="s">
        <v>1301</v>
      </c>
      <c r="N45" s="693"/>
      <c r="O45" s="1724">
        <v>350000000</v>
      </c>
      <c r="P45" s="1724"/>
      <c r="Q45" s="1724"/>
      <c r="R45" s="1724"/>
      <c r="S45" s="693" t="s">
        <v>1302</v>
      </c>
      <c r="T45" s="693"/>
      <c r="U45" s="693"/>
      <c r="V45" s="693"/>
      <c r="W45" s="693"/>
    </row>
    <row r="46" spans="1:23" ht="23.25">
      <c r="A46" s="693"/>
      <c r="B46" s="693" t="s">
        <v>1319</v>
      </c>
      <c r="C46" s="693"/>
      <c r="D46" s="693"/>
      <c r="E46" s="693"/>
      <c r="F46" s="693"/>
      <c r="G46" s="693"/>
      <c r="H46" s="693"/>
      <c r="I46" s="695" t="s">
        <v>1301</v>
      </c>
      <c r="J46" s="695" t="s">
        <v>1304</v>
      </c>
      <c r="K46" s="693"/>
      <c r="L46" s="693"/>
      <c r="M46" s="695" t="s">
        <v>1301</v>
      </c>
      <c r="N46" s="693"/>
      <c r="O46" s="1714">
        <v>1.1858</v>
      </c>
      <c r="P46" s="1714"/>
      <c r="Q46" s="1714"/>
      <c r="R46" s="1714"/>
      <c r="S46" s="693"/>
      <c r="T46" s="693"/>
      <c r="U46" s="693"/>
      <c r="V46" s="693"/>
      <c r="W46" s="693"/>
    </row>
    <row r="47" spans="1:23" ht="23.25">
      <c r="A47" s="693"/>
      <c r="B47" s="693" t="s">
        <v>1320</v>
      </c>
      <c r="C47" s="693"/>
      <c r="D47" s="693"/>
      <c r="E47" s="693"/>
      <c r="F47" s="693"/>
      <c r="G47" s="693"/>
      <c r="H47" s="693"/>
      <c r="I47" s="695" t="s">
        <v>1301</v>
      </c>
      <c r="J47" s="695" t="s">
        <v>1306</v>
      </c>
      <c r="K47" s="693"/>
      <c r="L47" s="693"/>
      <c r="M47" s="695" t="s">
        <v>1301</v>
      </c>
      <c r="N47" s="693"/>
      <c r="O47" s="1714">
        <v>1.177</v>
      </c>
      <c r="P47" s="1714"/>
      <c r="Q47" s="1714"/>
      <c r="R47" s="1714"/>
      <c r="S47" s="693"/>
      <c r="T47" s="693"/>
      <c r="U47" s="693"/>
      <c r="V47" s="693"/>
      <c r="W47" s="693"/>
    </row>
    <row r="48" spans="1:23" ht="23.25">
      <c r="A48" s="693"/>
      <c r="B48" s="693"/>
      <c r="C48" s="693"/>
      <c r="D48" s="693"/>
      <c r="E48" s="693"/>
      <c r="F48" s="693"/>
      <c r="G48" s="693"/>
      <c r="H48" s="693"/>
      <c r="I48" s="693"/>
      <c r="J48" s="693"/>
      <c r="K48" s="693"/>
      <c r="L48" s="693"/>
      <c r="M48" s="693"/>
      <c r="N48" s="693"/>
      <c r="O48" s="693"/>
      <c r="P48" s="693"/>
      <c r="Q48" s="693"/>
      <c r="R48" s="693"/>
      <c r="S48" s="693"/>
      <c r="T48" s="693"/>
      <c r="U48" s="693"/>
      <c r="V48" s="693"/>
      <c r="W48" s="693"/>
    </row>
    <row r="49" spans="1:23" ht="23.25">
      <c r="A49" s="1715" t="s">
        <v>1321</v>
      </c>
      <c r="B49" s="1715" t="s">
        <v>1303</v>
      </c>
      <c r="C49" s="1716" t="s">
        <v>1301</v>
      </c>
      <c r="D49" s="1717">
        <f>O46</f>
        <v>1.1858</v>
      </c>
      <c r="E49" s="1718" t="s">
        <v>332</v>
      </c>
      <c r="F49" s="693"/>
      <c r="G49" s="1719" t="str">
        <f>"("&amp;O46&amp;"-"&amp;O47&amp;")"</f>
        <v>(1.1858-1.177)</v>
      </c>
      <c r="H49" s="1719"/>
      <c r="I49" s="1719"/>
      <c r="J49" s="1719"/>
      <c r="K49" s="1213" t="s">
        <v>1322</v>
      </c>
      <c r="L49" s="1720" t="str">
        <f>"("&amp;TEXT(O43,"#,##0.00")&amp;"-"&amp;TEXT(O44,"#,##0.00")&amp;")"</f>
        <v>(0.00-300,000,000.00)</v>
      </c>
      <c r="M49" s="1720"/>
      <c r="N49" s="1720"/>
      <c r="O49" s="1720"/>
      <c r="P49" s="1720"/>
      <c r="Q49" s="1720"/>
      <c r="R49" s="1720"/>
      <c r="S49" s="693"/>
      <c r="T49" s="693"/>
      <c r="U49" s="693"/>
      <c r="V49" s="693"/>
      <c r="W49" s="693"/>
    </row>
    <row r="50" spans="1:23" ht="23.25">
      <c r="A50" s="1715"/>
      <c r="B50" s="1715"/>
      <c r="C50" s="1716"/>
      <c r="D50" s="1716"/>
      <c r="E50" s="1717"/>
      <c r="F50" s="693"/>
      <c r="G50" s="694"/>
      <c r="H50" s="694"/>
      <c r="I50" s="1721" t="str">
        <f>"("&amp;TEXT(O45,"#,##0.00")&amp;"-"&amp;TEXT(O44,"#,##0.00")&amp;")"</f>
        <v>(350,000,000.00-300,000,000.00)</v>
      </c>
      <c r="J50" s="1721"/>
      <c r="K50" s="1721"/>
      <c r="L50" s="1721"/>
      <c r="M50" s="1721"/>
      <c r="N50" s="1721"/>
      <c r="O50" s="1721"/>
      <c r="P50" s="694"/>
      <c r="Q50" s="694"/>
      <c r="R50" s="694"/>
      <c r="S50" s="693"/>
      <c r="T50" s="693"/>
      <c r="U50" s="693"/>
      <c r="V50" s="693"/>
      <c r="W50" s="693"/>
    </row>
    <row r="51" spans="1:23" ht="24" thickBot="1">
      <c r="A51" s="693"/>
      <c r="B51" s="693"/>
      <c r="C51" s="701"/>
      <c r="D51" s="693"/>
      <c r="E51" s="693"/>
      <c r="F51" s="693"/>
      <c r="G51" s="693"/>
      <c r="H51" s="693"/>
      <c r="I51" s="693"/>
      <c r="J51" s="693"/>
      <c r="K51" s="693"/>
      <c r="L51" s="693"/>
      <c r="M51" s="693"/>
      <c r="N51" s="693"/>
      <c r="O51" s="693"/>
      <c r="P51" s="693"/>
      <c r="Q51" s="693"/>
      <c r="R51" s="693"/>
      <c r="S51" s="693"/>
      <c r="T51" s="693"/>
      <c r="U51" s="693"/>
      <c r="V51" s="693"/>
      <c r="W51" s="693"/>
    </row>
    <row r="52" spans="1:23" ht="24.75" thickBot="1">
      <c r="A52" s="693"/>
      <c r="B52" s="694" t="s">
        <v>1323</v>
      </c>
      <c r="C52" s="702" t="s">
        <v>1301</v>
      </c>
      <c r="D52" s="703">
        <f>D49</f>
        <v>1.1858</v>
      </c>
      <c r="E52" s="703"/>
      <c r="F52" s="1710">
        <f>(((O46-O47)*(O43-O44))/(O45-O44))</f>
        <v>-5.2799999999999514E-2</v>
      </c>
      <c r="G52" s="1710"/>
      <c r="H52" s="1710"/>
      <c r="I52" s="1710"/>
      <c r="J52" s="704"/>
      <c r="K52" s="704"/>
      <c r="L52" s="704"/>
      <c r="M52" s="693"/>
      <c r="N52" s="693"/>
      <c r="O52" s="1711">
        <f>FLOOR(W52,0.0001)</f>
        <v>1.2386000000000001</v>
      </c>
      <c r="P52" s="1712"/>
      <c r="Q52" s="1712"/>
      <c r="R52" s="1713"/>
      <c r="S52" s="693"/>
      <c r="T52" s="693"/>
      <c r="U52" s="693"/>
      <c r="V52" s="693"/>
      <c r="W52" s="705">
        <f>O46-F52</f>
        <v>1.2385999999999995</v>
      </c>
    </row>
    <row r="53" spans="1:23" ht="23.25">
      <c r="A53" s="693"/>
      <c r="B53" s="693"/>
      <c r="C53" s="693"/>
      <c r="D53" s="693"/>
      <c r="E53" s="693"/>
      <c r="F53" s="693"/>
      <c r="G53" s="693"/>
      <c r="H53" s="693"/>
      <c r="I53" s="693"/>
      <c r="J53" s="693"/>
      <c r="K53" s="693"/>
      <c r="L53" s="693"/>
      <c r="M53" s="693"/>
      <c r="N53" s="693"/>
      <c r="O53" s="693"/>
      <c r="P53" s="693"/>
      <c r="Q53" s="693"/>
      <c r="R53" s="693"/>
      <c r="S53" s="693"/>
      <c r="T53" s="693"/>
      <c r="U53" s="693"/>
      <c r="V53" s="693"/>
      <c r="W53" s="693"/>
    </row>
  </sheetData>
  <sheetProtection algorithmName="SHA-512" hashValue="5dPgxnzOgaeNHNOu2XaQbMsA4HXFABbb56Yt3TCCbJo6JtQLYZnP23ci2Uruo8QXEgtlwaAD6woml+K6D5H5Mg==" saltValue="uDns2cVvJiuegoibLBVMyA==" spinCount="100000" sheet="1" formatCells="0" formatColumns="0" formatRows="0" insertColumns="0" insertRows="0" insertHyperlinks="0" deleteColumns="0" deleteRows="0" sort="0" autoFilter="0" pivotTables="0"/>
  <mergeCells count="52">
    <mergeCell ref="O17:R17"/>
    <mergeCell ref="O18:R18"/>
    <mergeCell ref="O19:R19"/>
    <mergeCell ref="O20:R20"/>
    <mergeCell ref="A1:S1"/>
    <mergeCell ref="B5:B6"/>
    <mergeCell ref="C5:C6"/>
    <mergeCell ref="D5:D6"/>
    <mergeCell ref="E5:E6"/>
    <mergeCell ref="O8:R8"/>
    <mergeCell ref="O9:R9"/>
    <mergeCell ref="B11:I11"/>
    <mergeCell ref="O11:R11"/>
    <mergeCell ref="F13:G13"/>
    <mergeCell ref="F14:G14"/>
    <mergeCell ref="O16:R16"/>
    <mergeCell ref="F25:I25"/>
    <mergeCell ref="O25:R25"/>
    <mergeCell ref="A22:A23"/>
    <mergeCell ref="B22:B23"/>
    <mergeCell ref="C22:C23"/>
    <mergeCell ref="D22:D23"/>
    <mergeCell ref="E22:E23"/>
    <mergeCell ref="G22:J22"/>
    <mergeCell ref="L22:R22"/>
    <mergeCell ref="I23:O23"/>
    <mergeCell ref="A28:S28"/>
    <mergeCell ref="B32:B33"/>
    <mergeCell ref="C32:C33"/>
    <mergeCell ref="D32:D33"/>
    <mergeCell ref="E32:E33"/>
    <mergeCell ref="O35:R35"/>
    <mergeCell ref="O36:R36"/>
    <mergeCell ref="B38:I38"/>
    <mergeCell ref="O38:R38"/>
    <mergeCell ref="F40:G40"/>
    <mergeCell ref="F41:G41"/>
    <mergeCell ref="O43:R43"/>
    <mergeCell ref="O44:R44"/>
    <mergeCell ref="O45:R45"/>
    <mergeCell ref="O46:R46"/>
    <mergeCell ref="F52:I52"/>
    <mergeCell ref="O52:R52"/>
    <mergeCell ref="O47:R47"/>
    <mergeCell ref="A49:A50"/>
    <mergeCell ref="B49:B50"/>
    <mergeCell ref="C49:C50"/>
    <mergeCell ref="D49:D50"/>
    <mergeCell ref="E49:E50"/>
    <mergeCell ref="G49:J49"/>
    <mergeCell ref="L49:R49"/>
    <mergeCell ref="I50:O50"/>
  </mergeCells>
  <pageMargins left="0.70866141732283472" right="0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A540"/>
  <sheetViews>
    <sheetView zoomScale="78" zoomScaleNormal="78" workbookViewId="0">
      <pane xSplit="2" ySplit="10" topLeftCell="C21" activePane="bottomRight" state="frozen"/>
      <selection pane="topRight" activeCell="C1" sqref="C1"/>
      <selection pane="bottomLeft" activeCell="A9" sqref="A9"/>
      <selection pane="bottomRight" activeCell="DU518" sqref="DU518"/>
    </sheetView>
  </sheetViews>
  <sheetFormatPr defaultColWidth="8.85546875" defaultRowHeight="16.5"/>
  <cols>
    <col min="1" max="1" width="4.42578125" style="309" bestFit="1" customWidth="1"/>
    <col min="2" max="2" width="49.42578125" style="309" customWidth="1"/>
    <col min="3" max="4" width="8.42578125" style="309" customWidth="1"/>
    <col min="5" max="5" width="9.85546875" style="309" customWidth="1"/>
    <col min="6" max="7" width="8.42578125" style="309" customWidth="1"/>
    <col min="8" max="8" width="9.85546875" style="309" customWidth="1"/>
    <col min="9" max="13" width="8.42578125" style="309" customWidth="1"/>
    <col min="14" max="14" width="9.85546875" style="309" customWidth="1"/>
    <col min="15" max="18" width="8.42578125" style="309" customWidth="1"/>
    <col min="19" max="20" width="10" style="309" customWidth="1"/>
    <col min="21" max="28" width="10.42578125" style="309" customWidth="1"/>
    <col min="29" max="29" width="8.42578125" style="309" customWidth="1"/>
    <col min="30" max="30" width="9.85546875" style="309" customWidth="1"/>
    <col min="31" max="42" width="10.42578125" style="309" customWidth="1"/>
    <col min="43" max="45" width="9" style="309" customWidth="1"/>
    <col min="46" max="46" width="9.85546875" style="309" customWidth="1"/>
    <col min="47" max="51" width="10.42578125" style="309" customWidth="1"/>
    <col min="52" max="52" width="11" style="309" customWidth="1"/>
    <col min="53" max="54" width="12.7109375" style="309" customWidth="1"/>
    <col min="55" max="55" width="11.28515625" style="309" customWidth="1"/>
    <col min="56" max="109" width="6.42578125" style="309" customWidth="1"/>
    <col min="110" max="110" width="9.140625" style="309" customWidth="1"/>
    <col min="111" max="111" width="9" style="309" customWidth="1"/>
    <col min="112" max="112" width="8.42578125" style="309" customWidth="1"/>
    <col min="113" max="113" width="9.42578125" style="309" customWidth="1"/>
    <col min="114" max="115" width="8.42578125" style="309" customWidth="1"/>
    <col min="116" max="116" width="9.28515625" style="309" customWidth="1"/>
    <col min="117" max="117" width="8.140625" style="309" customWidth="1"/>
    <col min="118" max="118" width="8.42578125" style="309" customWidth="1"/>
    <col min="119" max="120" width="9" style="309"/>
    <col min="121" max="121" width="15.42578125" style="309" customWidth="1"/>
    <col min="122" max="122" width="12.7109375" style="309" customWidth="1"/>
    <col min="123" max="126" width="9" style="309"/>
    <col min="127" max="127" width="25.42578125" style="309" customWidth="1"/>
    <col min="128" max="128" width="11.85546875" style="309" customWidth="1"/>
    <col min="129" max="130" width="9" style="62"/>
    <col min="131" max="131" width="13.42578125" style="62" customWidth="1"/>
    <col min="132" max="287" width="9" style="62"/>
    <col min="288" max="288" width="4.42578125" style="62" bestFit="1" customWidth="1"/>
    <col min="289" max="289" width="22" style="62" customWidth="1"/>
    <col min="290" max="290" width="9.42578125" style="62" customWidth="1"/>
    <col min="291" max="298" width="8" style="62" customWidth="1"/>
    <col min="299" max="302" width="9" style="62"/>
    <col min="303" max="303" width="8.7109375" style="62" customWidth="1"/>
    <col min="304" max="304" width="9" style="62" customWidth="1"/>
    <col min="305" max="306" width="9" style="62"/>
    <col min="307" max="307" width="9.85546875" style="62" bestFit="1" customWidth="1"/>
    <col min="308" max="543" width="9" style="62"/>
    <col min="544" max="544" width="4.42578125" style="62" bestFit="1" customWidth="1"/>
    <col min="545" max="545" width="22" style="62" customWidth="1"/>
    <col min="546" max="546" width="9.42578125" style="62" customWidth="1"/>
    <col min="547" max="554" width="8" style="62" customWidth="1"/>
    <col min="555" max="558" width="9" style="62"/>
    <col min="559" max="559" width="8.7109375" style="62" customWidth="1"/>
    <col min="560" max="560" width="9" style="62" customWidth="1"/>
    <col min="561" max="562" width="9" style="62"/>
    <col min="563" max="563" width="9.85546875" style="62" bestFit="1" customWidth="1"/>
    <col min="564" max="799" width="9" style="62"/>
    <col min="800" max="800" width="4.42578125" style="62" bestFit="1" customWidth="1"/>
    <col min="801" max="801" width="22" style="62" customWidth="1"/>
    <col min="802" max="802" width="9.42578125" style="62" customWidth="1"/>
    <col min="803" max="810" width="8" style="62" customWidth="1"/>
    <col min="811" max="814" width="9" style="62"/>
    <col min="815" max="815" width="8.7109375" style="62" customWidth="1"/>
    <col min="816" max="816" width="9" style="62" customWidth="1"/>
    <col min="817" max="818" width="9" style="62"/>
    <col min="819" max="819" width="9.85546875" style="62" bestFit="1" customWidth="1"/>
    <col min="820" max="1055" width="9" style="62"/>
    <col min="1056" max="1056" width="4.42578125" style="62" bestFit="1" customWidth="1"/>
    <col min="1057" max="1057" width="22" style="62" customWidth="1"/>
    <col min="1058" max="1058" width="9.42578125" style="62" customWidth="1"/>
    <col min="1059" max="1066" width="8" style="62" customWidth="1"/>
    <col min="1067" max="1070" width="9" style="62"/>
    <col min="1071" max="1071" width="8.7109375" style="62" customWidth="1"/>
    <col min="1072" max="1072" width="9" style="62" customWidth="1"/>
    <col min="1073" max="1074" width="9" style="62"/>
    <col min="1075" max="1075" width="9.85546875" style="62" bestFit="1" customWidth="1"/>
    <col min="1076" max="1311" width="9" style="62"/>
    <col min="1312" max="1312" width="4.42578125" style="62" bestFit="1" customWidth="1"/>
    <col min="1313" max="1313" width="22" style="62" customWidth="1"/>
    <col min="1314" max="1314" width="9.42578125" style="62" customWidth="1"/>
    <col min="1315" max="1322" width="8" style="62" customWidth="1"/>
    <col min="1323" max="1326" width="9" style="62"/>
    <col min="1327" max="1327" width="8.7109375" style="62" customWidth="1"/>
    <col min="1328" max="1328" width="9" style="62" customWidth="1"/>
    <col min="1329" max="1330" width="9" style="62"/>
    <col min="1331" max="1331" width="9.85546875" style="62" bestFit="1" customWidth="1"/>
    <col min="1332" max="1567" width="9" style="62"/>
    <col min="1568" max="1568" width="4.42578125" style="62" bestFit="1" customWidth="1"/>
    <col min="1569" max="1569" width="22" style="62" customWidth="1"/>
    <col min="1570" max="1570" width="9.42578125" style="62" customWidth="1"/>
    <col min="1571" max="1578" width="8" style="62" customWidth="1"/>
    <col min="1579" max="1582" width="9" style="62"/>
    <col min="1583" max="1583" width="8.7109375" style="62" customWidth="1"/>
    <col min="1584" max="1584" width="9" style="62" customWidth="1"/>
    <col min="1585" max="1586" width="9" style="62"/>
    <col min="1587" max="1587" width="9.85546875" style="62" bestFit="1" customWidth="1"/>
    <col min="1588" max="1823" width="9" style="62"/>
    <col min="1824" max="1824" width="4.42578125" style="62" bestFit="1" customWidth="1"/>
    <col min="1825" max="1825" width="22" style="62" customWidth="1"/>
    <col min="1826" max="1826" width="9.42578125" style="62" customWidth="1"/>
    <col min="1827" max="1834" width="8" style="62" customWidth="1"/>
    <col min="1835" max="1838" width="9" style="62"/>
    <col min="1839" max="1839" width="8.7109375" style="62" customWidth="1"/>
    <col min="1840" max="1840" width="9" style="62" customWidth="1"/>
    <col min="1841" max="1842" width="9" style="62"/>
    <col min="1843" max="1843" width="9.85546875" style="62" bestFit="1" customWidth="1"/>
    <col min="1844" max="2079" width="9" style="62"/>
    <col min="2080" max="2080" width="4.42578125" style="62" bestFit="1" customWidth="1"/>
    <col min="2081" max="2081" width="22" style="62" customWidth="1"/>
    <col min="2082" max="2082" width="9.42578125" style="62" customWidth="1"/>
    <col min="2083" max="2090" width="8" style="62" customWidth="1"/>
    <col min="2091" max="2094" width="9" style="62"/>
    <col min="2095" max="2095" width="8.7109375" style="62" customWidth="1"/>
    <col min="2096" max="2096" width="9" style="62" customWidth="1"/>
    <col min="2097" max="2098" width="9" style="62"/>
    <col min="2099" max="2099" width="9.85546875" style="62" bestFit="1" customWidth="1"/>
    <col min="2100" max="2335" width="9" style="62"/>
    <col min="2336" max="2336" width="4.42578125" style="62" bestFit="1" customWidth="1"/>
    <col min="2337" max="2337" width="22" style="62" customWidth="1"/>
    <col min="2338" max="2338" width="9.42578125" style="62" customWidth="1"/>
    <col min="2339" max="2346" width="8" style="62" customWidth="1"/>
    <col min="2347" max="2350" width="9" style="62"/>
    <col min="2351" max="2351" width="8.7109375" style="62" customWidth="1"/>
    <col min="2352" max="2352" width="9" style="62" customWidth="1"/>
    <col min="2353" max="2354" width="9" style="62"/>
    <col min="2355" max="2355" width="9.85546875" style="62" bestFit="1" customWidth="1"/>
    <col min="2356" max="2591" width="9" style="62"/>
    <col min="2592" max="2592" width="4.42578125" style="62" bestFit="1" customWidth="1"/>
    <col min="2593" max="2593" width="22" style="62" customWidth="1"/>
    <col min="2594" max="2594" width="9.42578125" style="62" customWidth="1"/>
    <col min="2595" max="2602" width="8" style="62" customWidth="1"/>
    <col min="2603" max="2606" width="9" style="62"/>
    <col min="2607" max="2607" width="8.7109375" style="62" customWidth="1"/>
    <col min="2608" max="2608" width="9" style="62" customWidth="1"/>
    <col min="2609" max="2610" width="9" style="62"/>
    <col min="2611" max="2611" width="9.85546875" style="62" bestFit="1" customWidth="1"/>
    <col min="2612" max="2847" width="9" style="62"/>
    <col min="2848" max="2848" width="4.42578125" style="62" bestFit="1" customWidth="1"/>
    <col min="2849" max="2849" width="22" style="62" customWidth="1"/>
    <col min="2850" max="2850" width="9.42578125" style="62" customWidth="1"/>
    <col min="2851" max="2858" width="8" style="62" customWidth="1"/>
    <col min="2859" max="2862" width="9" style="62"/>
    <col min="2863" max="2863" width="8.7109375" style="62" customWidth="1"/>
    <col min="2864" max="2864" width="9" style="62" customWidth="1"/>
    <col min="2865" max="2866" width="9" style="62"/>
    <col min="2867" max="2867" width="9.85546875" style="62" bestFit="1" customWidth="1"/>
    <col min="2868" max="3103" width="9" style="62"/>
    <col min="3104" max="3104" width="4.42578125" style="62" bestFit="1" customWidth="1"/>
    <col min="3105" max="3105" width="22" style="62" customWidth="1"/>
    <col min="3106" max="3106" width="9.42578125" style="62" customWidth="1"/>
    <col min="3107" max="3114" width="8" style="62" customWidth="1"/>
    <col min="3115" max="3118" width="9" style="62"/>
    <col min="3119" max="3119" width="8.7109375" style="62" customWidth="1"/>
    <col min="3120" max="3120" width="9" style="62" customWidth="1"/>
    <col min="3121" max="3122" width="9" style="62"/>
    <col min="3123" max="3123" width="9.85546875" style="62" bestFit="1" customWidth="1"/>
    <col min="3124" max="3359" width="9" style="62"/>
    <col min="3360" max="3360" width="4.42578125" style="62" bestFit="1" customWidth="1"/>
    <col min="3361" max="3361" width="22" style="62" customWidth="1"/>
    <col min="3362" max="3362" width="9.42578125" style="62" customWidth="1"/>
    <col min="3363" max="3370" width="8" style="62" customWidth="1"/>
    <col min="3371" max="3374" width="9" style="62"/>
    <col min="3375" max="3375" width="8.7109375" style="62" customWidth="1"/>
    <col min="3376" max="3376" width="9" style="62" customWidth="1"/>
    <col min="3377" max="3378" width="9" style="62"/>
    <col min="3379" max="3379" width="9.85546875" style="62" bestFit="1" customWidth="1"/>
    <col min="3380" max="3615" width="9" style="62"/>
    <col min="3616" max="3616" width="4.42578125" style="62" bestFit="1" customWidth="1"/>
    <col min="3617" max="3617" width="22" style="62" customWidth="1"/>
    <col min="3618" max="3618" width="9.42578125" style="62" customWidth="1"/>
    <col min="3619" max="3626" width="8" style="62" customWidth="1"/>
    <col min="3627" max="3630" width="9" style="62"/>
    <col min="3631" max="3631" width="8.7109375" style="62" customWidth="1"/>
    <col min="3632" max="3632" width="9" style="62" customWidth="1"/>
    <col min="3633" max="3634" width="9" style="62"/>
    <col min="3635" max="3635" width="9.85546875" style="62" bestFit="1" customWidth="1"/>
    <col min="3636" max="3871" width="9" style="62"/>
    <col min="3872" max="3872" width="4.42578125" style="62" bestFit="1" customWidth="1"/>
    <col min="3873" max="3873" width="22" style="62" customWidth="1"/>
    <col min="3874" max="3874" width="9.42578125" style="62" customWidth="1"/>
    <col min="3875" max="3882" width="8" style="62" customWidth="1"/>
    <col min="3883" max="3886" width="9" style="62"/>
    <col min="3887" max="3887" width="8.7109375" style="62" customWidth="1"/>
    <col min="3888" max="3888" width="9" style="62" customWidth="1"/>
    <col min="3889" max="3890" width="9" style="62"/>
    <col min="3891" max="3891" width="9.85546875" style="62" bestFit="1" customWidth="1"/>
    <col min="3892" max="4127" width="9" style="62"/>
    <col min="4128" max="4128" width="4.42578125" style="62" bestFit="1" customWidth="1"/>
    <col min="4129" max="4129" width="22" style="62" customWidth="1"/>
    <col min="4130" max="4130" width="9.42578125" style="62" customWidth="1"/>
    <col min="4131" max="4138" width="8" style="62" customWidth="1"/>
    <col min="4139" max="4142" width="9" style="62"/>
    <col min="4143" max="4143" width="8.7109375" style="62" customWidth="1"/>
    <col min="4144" max="4144" width="9" style="62" customWidth="1"/>
    <col min="4145" max="4146" width="9" style="62"/>
    <col min="4147" max="4147" width="9.85546875" style="62" bestFit="1" customWidth="1"/>
    <col min="4148" max="4383" width="9" style="62"/>
    <col min="4384" max="4384" width="4.42578125" style="62" bestFit="1" customWidth="1"/>
    <col min="4385" max="4385" width="22" style="62" customWidth="1"/>
    <col min="4386" max="4386" width="9.42578125" style="62" customWidth="1"/>
    <col min="4387" max="4394" width="8" style="62" customWidth="1"/>
    <col min="4395" max="4398" width="9" style="62"/>
    <col min="4399" max="4399" width="8.7109375" style="62" customWidth="1"/>
    <col min="4400" max="4400" width="9" style="62" customWidth="1"/>
    <col min="4401" max="4402" width="9" style="62"/>
    <col min="4403" max="4403" width="9.85546875" style="62" bestFit="1" customWidth="1"/>
    <col min="4404" max="4639" width="9" style="62"/>
    <col min="4640" max="4640" width="4.42578125" style="62" bestFit="1" customWidth="1"/>
    <col min="4641" max="4641" width="22" style="62" customWidth="1"/>
    <col min="4642" max="4642" width="9.42578125" style="62" customWidth="1"/>
    <col min="4643" max="4650" width="8" style="62" customWidth="1"/>
    <col min="4651" max="4654" width="9" style="62"/>
    <col min="4655" max="4655" width="8.7109375" style="62" customWidth="1"/>
    <col min="4656" max="4656" width="9" style="62" customWidth="1"/>
    <col min="4657" max="4658" width="9" style="62"/>
    <col min="4659" max="4659" width="9.85546875" style="62" bestFit="1" customWidth="1"/>
    <col min="4660" max="4895" width="9" style="62"/>
    <col min="4896" max="4896" width="4.42578125" style="62" bestFit="1" customWidth="1"/>
    <col min="4897" max="4897" width="22" style="62" customWidth="1"/>
    <col min="4898" max="4898" width="9.42578125" style="62" customWidth="1"/>
    <col min="4899" max="4906" width="8" style="62" customWidth="1"/>
    <col min="4907" max="4910" width="9" style="62"/>
    <col min="4911" max="4911" width="8.7109375" style="62" customWidth="1"/>
    <col min="4912" max="4912" width="9" style="62" customWidth="1"/>
    <col min="4913" max="4914" width="9" style="62"/>
    <col min="4915" max="4915" width="9.85546875" style="62" bestFit="1" customWidth="1"/>
    <col min="4916" max="5151" width="9" style="62"/>
    <col min="5152" max="5152" width="4.42578125" style="62" bestFit="1" customWidth="1"/>
    <col min="5153" max="5153" width="22" style="62" customWidth="1"/>
    <col min="5154" max="5154" width="9.42578125" style="62" customWidth="1"/>
    <col min="5155" max="5162" width="8" style="62" customWidth="1"/>
    <col min="5163" max="5166" width="9" style="62"/>
    <col min="5167" max="5167" width="8.7109375" style="62" customWidth="1"/>
    <col min="5168" max="5168" width="9" style="62" customWidth="1"/>
    <col min="5169" max="5170" width="9" style="62"/>
    <col min="5171" max="5171" width="9.85546875" style="62" bestFit="1" customWidth="1"/>
    <col min="5172" max="5407" width="9" style="62"/>
    <col min="5408" max="5408" width="4.42578125" style="62" bestFit="1" customWidth="1"/>
    <col min="5409" max="5409" width="22" style="62" customWidth="1"/>
    <col min="5410" max="5410" width="9.42578125" style="62" customWidth="1"/>
    <col min="5411" max="5418" width="8" style="62" customWidth="1"/>
    <col min="5419" max="5422" width="9" style="62"/>
    <col min="5423" max="5423" width="8.7109375" style="62" customWidth="1"/>
    <col min="5424" max="5424" width="9" style="62" customWidth="1"/>
    <col min="5425" max="5426" width="9" style="62"/>
    <col min="5427" max="5427" width="9.85546875" style="62" bestFit="1" customWidth="1"/>
    <col min="5428" max="5663" width="9" style="62"/>
    <col min="5664" max="5664" width="4.42578125" style="62" bestFit="1" customWidth="1"/>
    <col min="5665" max="5665" width="22" style="62" customWidth="1"/>
    <col min="5666" max="5666" width="9.42578125" style="62" customWidth="1"/>
    <col min="5667" max="5674" width="8" style="62" customWidth="1"/>
    <col min="5675" max="5678" width="9" style="62"/>
    <col min="5679" max="5679" width="8.7109375" style="62" customWidth="1"/>
    <col min="5680" max="5680" width="9" style="62" customWidth="1"/>
    <col min="5681" max="5682" width="9" style="62"/>
    <col min="5683" max="5683" width="9.85546875" style="62" bestFit="1" customWidth="1"/>
    <col min="5684" max="5919" width="9" style="62"/>
    <col min="5920" max="5920" width="4.42578125" style="62" bestFit="1" customWidth="1"/>
    <col min="5921" max="5921" width="22" style="62" customWidth="1"/>
    <col min="5922" max="5922" width="9.42578125" style="62" customWidth="1"/>
    <col min="5923" max="5930" width="8" style="62" customWidth="1"/>
    <col min="5931" max="5934" width="9" style="62"/>
    <col min="5935" max="5935" width="8.7109375" style="62" customWidth="1"/>
    <col min="5936" max="5936" width="9" style="62" customWidth="1"/>
    <col min="5937" max="5938" width="9" style="62"/>
    <col min="5939" max="5939" width="9.85546875" style="62" bestFit="1" customWidth="1"/>
    <col min="5940" max="6175" width="9" style="62"/>
    <col min="6176" max="6176" width="4.42578125" style="62" bestFit="1" customWidth="1"/>
    <col min="6177" max="6177" width="22" style="62" customWidth="1"/>
    <col min="6178" max="6178" width="9.42578125" style="62" customWidth="1"/>
    <col min="6179" max="6186" width="8" style="62" customWidth="1"/>
    <col min="6187" max="6190" width="9" style="62"/>
    <col min="6191" max="6191" width="8.7109375" style="62" customWidth="1"/>
    <col min="6192" max="6192" width="9" style="62" customWidth="1"/>
    <col min="6193" max="6194" width="9" style="62"/>
    <col min="6195" max="6195" width="9.85546875" style="62" bestFit="1" customWidth="1"/>
    <col min="6196" max="6431" width="9" style="62"/>
    <col min="6432" max="6432" width="4.42578125" style="62" bestFit="1" customWidth="1"/>
    <col min="6433" max="6433" width="22" style="62" customWidth="1"/>
    <col min="6434" max="6434" width="9.42578125" style="62" customWidth="1"/>
    <col min="6435" max="6442" width="8" style="62" customWidth="1"/>
    <col min="6443" max="6446" width="9" style="62"/>
    <col min="6447" max="6447" width="8.7109375" style="62" customWidth="1"/>
    <col min="6448" max="6448" width="9" style="62" customWidth="1"/>
    <col min="6449" max="6450" width="9" style="62"/>
    <col min="6451" max="6451" width="9.85546875" style="62" bestFit="1" customWidth="1"/>
    <col min="6452" max="6687" width="9" style="62"/>
    <col min="6688" max="6688" width="4.42578125" style="62" bestFit="1" customWidth="1"/>
    <col min="6689" max="6689" width="22" style="62" customWidth="1"/>
    <col min="6690" max="6690" width="9.42578125" style="62" customWidth="1"/>
    <col min="6691" max="6698" width="8" style="62" customWidth="1"/>
    <col min="6699" max="6702" width="9" style="62"/>
    <col min="6703" max="6703" width="8.7109375" style="62" customWidth="1"/>
    <col min="6704" max="6704" width="9" style="62" customWidth="1"/>
    <col min="6705" max="6706" width="9" style="62"/>
    <col min="6707" max="6707" width="9.85546875" style="62" bestFit="1" customWidth="1"/>
    <col min="6708" max="6943" width="9" style="62"/>
    <col min="6944" max="6944" width="4.42578125" style="62" bestFit="1" customWidth="1"/>
    <col min="6945" max="6945" width="22" style="62" customWidth="1"/>
    <col min="6946" max="6946" width="9.42578125" style="62" customWidth="1"/>
    <col min="6947" max="6954" width="8" style="62" customWidth="1"/>
    <col min="6955" max="6958" width="9" style="62"/>
    <col min="6959" max="6959" width="8.7109375" style="62" customWidth="1"/>
    <col min="6960" max="6960" width="9" style="62" customWidth="1"/>
    <col min="6961" max="6962" width="9" style="62"/>
    <col min="6963" max="6963" width="9.85546875" style="62" bestFit="1" customWidth="1"/>
    <col min="6964" max="7199" width="9" style="62"/>
    <col min="7200" max="7200" width="4.42578125" style="62" bestFit="1" customWidth="1"/>
    <col min="7201" max="7201" width="22" style="62" customWidth="1"/>
    <col min="7202" max="7202" width="9.42578125" style="62" customWidth="1"/>
    <col min="7203" max="7210" width="8" style="62" customWidth="1"/>
    <col min="7211" max="7214" width="9" style="62"/>
    <col min="7215" max="7215" width="8.7109375" style="62" customWidth="1"/>
    <col min="7216" max="7216" width="9" style="62" customWidth="1"/>
    <col min="7217" max="7218" width="9" style="62"/>
    <col min="7219" max="7219" width="9.85546875" style="62" bestFit="1" customWidth="1"/>
    <col min="7220" max="7455" width="9" style="62"/>
    <col min="7456" max="7456" width="4.42578125" style="62" bestFit="1" customWidth="1"/>
    <col min="7457" max="7457" width="22" style="62" customWidth="1"/>
    <col min="7458" max="7458" width="9.42578125" style="62" customWidth="1"/>
    <col min="7459" max="7466" width="8" style="62" customWidth="1"/>
    <col min="7467" max="7470" width="9" style="62"/>
    <col min="7471" max="7471" width="8.7109375" style="62" customWidth="1"/>
    <col min="7472" max="7472" width="9" style="62" customWidth="1"/>
    <col min="7473" max="7474" width="9" style="62"/>
    <col min="7475" max="7475" width="9.85546875" style="62" bestFit="1" customWidth="1"/>
    <col min="7476" max="7711" width="9" style="62"/>
    <col min="7712" max="7712" width="4.42578125" style="62" bestFit="1" customWidth="1"/>
    <col min="7713" max="7713" width="22" style="62" customWidth="1"/>
    <col min="7714" max="7714" width="9.42578125" style="62" customWidth="1"/>
    <col min="7715" max="7722" width="8" style="62" customWidth="1"/>
    <col min="7723" max="7726" width="9" style="62"/>
    <col min="7727" max="7727" width="8.7109375" style="62" customWidth="1"/>
    <col min="7728" max="7728" width="9" style="62" customWidth="1"/>
    <col min="7729" max="7730" width="9" style="62"/>
    <col min="7731" max="7731" width="9.85546875" style="62" bestFit="1" customWidth="1"/>
    <col min="7732" max="7967" width="9" style="62"/>
    <col min="7968" max="7968" width="4.42578125" style="62" bestFit="1" customWidth="1"/>
    <col min="7969" max="7969" width="22" style="62" customWidth="1"/>
    <col min="7970" max="7970" width="9.42578125" style="62" customWidth="1"/>
    <col min="7971" max="7978" width="8" style="62" customWidth="1"/>
    <col min="7979" max="7982" width="9" style="62"/>
    <col min="7983" max="7983" width="8.7109375" style="62" customWidth="1"/>
    <col min="7984" max="7984" width="9" style="62" customWidth="1"/>
    <col min="7985" max="7986" width="9" style="62"/>
    <col min="7987" max="7987" width="9.85546875" style="62" bestFit="1" customWidth="1"/>
    <col min="7988" max="8223" width="9" style="62"/>
    <col min="8224" max="8224" width="4.42578125" style="62" bestFit="1" customWidth="1"/>
    <col min="8225" max="8225" width="22" style="62" customWidth="1"/>
    <col min="8226" max="8226" width="9.42578125" style="62" customWidth="1"/>
    <col min="8227" max="8234" width="8" style="62" customWidth="1"/>
    <col min="8235" max="8238" width="9" style="62"/>
    <col min="8239" max="8239" width="8.7109375" style="62" customWidth="1"/>
    <col min="8240" max="8240" width="9" style="62" customWidth="1"/>
    <col min="8241" max="8242" width="9" style="62"/>
    <col min="8243" max="8243" width="9.85546875" style="62" bestFit="1" customWidth="1"/>
    <col min="8244" max="8479" width="9" style="62"/>
    <col min="8480" max="8480" width="4.42578125" style="62" bestFit="1" customWidth="1"/>
    <col min="8481" max="8481" width="22" style="62" customWidth="1"/>
    <col min="8482" max="8482" width="9.42578125" style="62" customWidth="1"/>
    <col min="8483" max="8490" width="8" style="62" customWidth="1"/>
    <col min="8491" max="8494" width="9" style="62"/>
    <col min="8495" max="8495" width="8.7109375" style="62" customWidth="1"/>
    <col min="8496" max="8496" width="9" style="62" customWidth="1"/>
    <col min="8497" max="8498" width="9" style="62"/>
    <col min="8499" max="8499" width="9.85546875" style="62" bestFit="1" customWidth="1"/>
    <col min="8500" max="8735" width="9" style="62"/>
    <col min="8736" max="8736" width="4.42578125" style="62" bestFit="1" customWidth="1"/>
    <col min="8737" max="8737" width="22" style="62" customWidth="1"/>
    <col min="8738" max="8738" width="9.42578125" style="62" customWidth="1"/>
    <col min="8739" max="8746" width="8" style="62" customWidth="1"/>
    <col min="8747" max="8750" width="9" style="62"/>
    <col min="8751" max="8751" width="8.7109375" style="62" customWidth="1"/>
    <col min="8752" max="8752" width="9" style="62" customWidth="1"/>
    <col min="8753" max="8754" width="9" style="62"/>
    <col min="8755" max="8755" width="9.85546875" style="62" bestFit="1" customWidth="1"/>
    <col min="8756" max="8991" width="9" style="62"/>
    <col min="8992" max="8992" width="4.42578125" style="62" bestFit="1" customWidth="1"/>
    <col min="8993" max="8993" width="22" style="62" customWidth="1"/>
    <col min="8994" max="8994" width="9.42578125" style="62" customWidth="1"/>
    <col min="8995" max="9002" width="8" style="62" customWidth="1"/>
    <col min="9003" max="9006" width="9" style="62"/>
    <col min="9007" max="9007" width="8.7109375" style="62" customWidth="1"/>
    <col min="9008" max="9008" width="9" style="62" customWidth="1"/>
    <col min="9009" max="9010" width="9" style="62"/>
    <col min="9011" max="9011" width="9.85546875" style="62" bestFit="1" customWidth="1"/>
    <col min="9012" max="9247" width="9" style="62"/>
    <col min="9248" max="9248" width="4.42578125" style="62" bestFit="1" customWidth="1"/>
    <col min="9249" max="9249" width="22" style="62" customWidth="1"/>
    <col min="9250" max="9250" width="9.42578125" style="62" customWidth="1"/>
    <col min="9251" max="9258" width="8" style="62" customWidth="1"/>
    <col min="9259" max="9262" width="9" style="62"/>
    <col min="9263" max="9263" width="8.7109375" style="62" customWidth="1"/>
    <col min="9264" max="9264" width="9" style="62" customWidth="1"/>
    <col min="9265" max="9266" width="9" style="62"/>
    <col min="9267" max="9267" width="9.85546875" style="62" bestFit="1" customWidth="1"/>
    <col min="9268" max="9503" width="9" style="62"/>
    <col min="9504" max="9504" width="4.42578125" style="62" bestFit="1" customWidth="1"/>
    <col min="9505" max="9505" width="22" style="62" customWidth="1"/>
    <col min="9506" max="9506" width="9.42578125" style="62" customWidth="1"/>
    <col min="9507" max="9514" width="8" style="62" customWidth="1"/>
    <col min="9515" max="9518" width="9" style="62"/>
    <col min="9519" max="9519" width="8.7109375" style="62" customWidth="1"/>
    <col min="9520" max="9520" width="9" style="62" customWidth="1"/>
    <col min="9521" max="9522" width="9" style="62"/>
    <col min="9523" max="9523" width="9.85546875" style="62" bestFit="1" customWidth="1"/>
    <col min="9524" max="9759" width="9" style="62"/>
    <col min="9760" max="9760" width="4.42578125" style="62" bestFit="1" customWidth="1"/>
    <col min="9761" max="9761" width="22" style="62" customWidth="1"/>
    <col min="9762" max="9762" width="9.42578125" style="62" customWidth="1"/>
    <col min="9763" max="9770" width="8" style="62" customWidth="1"/>
    <col min="9771" max="9774" width="9" style="62"/>
    <col min="9775" max="9775" width="8.7109375" style="62" customWidth="1"/>
    <col min="9776" max="9776" width="9" style="62" customWidth="1"/>
    <col min="9777" max="9778" width="9" style="62"/>
    <col min="9779" max="9779" width="9.85546875" style="62" bestFit="1" customWidth="1"/>
    <col min="9780" max="10015" width="9" style="62"/>
    <col min="10016" max="10016" width="4.42578125" style="62" bestFit="1" customWidth="1"/>
    <col min="10017" max="10017" width="22" style="62" customWidth="1"/>
    <col min="10018" max="10018" width="9.42578125" style="62" customWidth="1"/>
    <col min="10019" max="10026" width="8" style="62" customWidth="1"/>
    <col min="10027" max="10030" width="9" style="62"/>
    <col min="10031" max="10031" width="8.7109375" style="62" customWidth="1"/>
    <col min="10032" max="10032" width="9" style="62" customWidth="1"/>
    <col min="10033" max="10034" width="9" style="62"/>
    <col min="10035" max="10035" width="9.85546875" style="62" bestFit="1" customWidth="1"/>
    <col min="10036" max="10271" width="9" style="62"/>
    <col min="10272" max="10272" width="4.42578125" style="62" bestFit="1" customWidth="1"/>
    <col min="10273" max="10273" width="22" style="62" customWidth="1"/>
    <col min="10274" max="10274" width="9.42578125" style="62" customWidth="1"/>
    <col min="10275" max="10282" width="8" style="62" customWidth="1"/>
    <col min="10283" max="10286" width="9" style="62"/>
    <col min="10287" max="10287" width="8.7109375" style="62" customWidth="1"/>
    <col min="10288" max="10288" width="9" style="62" customWidth="1"/>
    <col min="10289" max="10290" width="9" style="62"/>
    <col min="10291" max="10291" width="9.85546875" style="62" bestFit="1" customWidth="1"/>
    <col min="10292" max="10527" width="9" style="62"/>
    <col min="10528" max="10528" width="4.42578125" style="62" bestFit="1" customWidth="1"/>
    <col min="10529" max="10529" width="22" style="62" customWidth="1"/>
    <col min="10530" max="10530" width="9.42578125" style="62" customWidth="1"/>
    <col min="10531" max="10538" width="8" style="62" customWidth="1"/>
    <col min="10539" max="10542" width="9" style="62"/>
    <col min="10543" max="10543" width="8.7109375" style="62" customWidth="1"/>
    <col min="10544" max="10544" width="9" style="62" customWidth="1"/>
    <col min="10545" max="10546" width="9" style="62"/>
    <col min="10547" max="10547" width="9.85546875" style="62" bestFit="1" customWidth="1"/>
    <col min="10548" max="10783" width="9" style="62"/>
    <col min="10784" max="10784" width="4.42578125" style="62" bestFit="1" customWidth="1"/>
    <col min="10785" max="10785" width="22" style="62" customWidth="1"/>
    <col min="10786" max="10786" width="9.42578125" style="62" customWidth="1"/>
    <col min="10787" max="10794" width="8" style="62" customWidth="1"/>
    <col min="10795" max="10798" width="9" style="62"/>
    <col min="10799" max="10799" width="8.7109375" style="62" customWidth="1"/>
    <col min="10800" max="10800" width="9" style="62" customWidth="1"/>
    <col min="10801" max="10802" width="9" style="62"/>
    <col min="10803" max="10803" width="9.85546875" style="62" bestFit="1" customWidth="1"/>
    <col min="10804" max="11039" width="9" style="62"/>
    <col min="11040" max="11040" width="4.42578125" style="62" bestFit="1" customWidth="1"/>
    <col min="11041" max="11041" width="22" style="62" customWidth="1"/>
    <col min="11042" max="11042" width="9.42578125" style="62" customWidth="1"/>
    <col min="11043" max="11050" width="8" style="62" customWidth="1"/>
    <col min="11051" max="11054" width="9" style="62"/>
    <col min="11055" max="11055" width="8.7109375" style="62" customWidth="1"/>
    <col min="11056" max="11056" width="9" style="62" customWidth="1"/>
    <col min="11057" max="11058" width="9" style="62"/>
    <col min="11059" max="11059" width="9.85546875" style="62" bestFit="1" customWidth="1"/>
    <col min="11060" max="11295" width="9" style="62"/>
    <col min="11296" max="11296" width="4.42578125" style="62" bestFit="1" customWidth="1"/>
    <col min="11297" max="11297" width="22" style="62" customWidth="1"/>
    <col min="11298" max="11298" width="9.42578125" style="62" customWidth="1"/>
    <col min="11299" max="11306" width="8" style="62" customWidth="1"/>
    <col min="11307" max="11310" width="9" style="62"/>
    <col min="11311" max="11311" width="8.7109375" style="62" customWidth="1"/>
    <col min="11312" max="11312" width="9" style="62" customWidth="1"/>
    <col min="11313" max="11314" width="9" style="62"/>
    <col min="11315" max="11315" width="9.85546875" style="62" bestFit="1" customWidth="1"/>
    <col min="11316" max="11551" width="9" style="62"/>
    <col min="11552" max="11552" width="4.42578125" style="62" bestFit="1" customWidth="1"/>
    <col min="11553" max="11553" width="22" style="62" customWidth="1"/>
    <col min="11554" max="11554" width="9.42578125" style="62" customWidth="1"/>
    <col min="11555" max="11562" width="8" style="62" customWidth="1"/>
    <col min="11563" max="11566" width="9" style="62"/>
    <col min="11567" max="11567" width="8.7109375" style="62" customWidth="1"/>
    <col min="11568" max="11568" width="9" style="62" customWidth="1"/>
    <col min="11569" max="11570" width="9" style="62"/>
    <col min="11571" max="11571" width="9.85546875" style="62" bestFit="1" customWidth="1"/>
    <col min="11572" max="11807" width="9" style="62"/>
    <col min="11808" max="11808" width="4.42578125" style="62" bestFit="1" customWidth="1"/>
    <col min="11809" max="11809" width="22" style="62" customWidth="1"/>
    <col min="11810" max="11810" width="9.42578125" style="62" customWidth="1"/>
    <col min="11811" max="11818" width="8" style="62" customWidth="1"/>
    <col min="11819" max="11822" width="9" style="62"/>
    <col min="11823" max="11823" width="8.7109375" style="62" customWidth="1"/>
    <col min="11824" max="11824" width="9" style="62" customWidth="1"/>
    <col min="11825" max="11826" width="9" style="62"/>
    <col min="11827" max="11827" width="9.85546875" style="62" bestFit="1" customWidth="1"/>
    <col min="11828" max="12063" width="9" style="62"/>
    <col min="12064" max="12064" width="4.42578125" style="62" bestFit="1" customWidth="1"/>
    <col min="12065" max="12065" width="22" style="62" customWidth="1"/>
    <col min="12066" max="12066" width="9.42578125" style="62" customWidth="1"/>
    <col min="12067" max="12074" width="8" style="62" customWidth="1"/>
    <col min="12075" max="12078" width="9" style="62"/>
    <col min="12079" max="12079" width="8.7109375" style="62" customWidth="1"/>
    <col min="12080" max="12080" width="9" style="62" customWidth="1"/>
    <col min="12081" max="12082" width="9" style="62"/>
    <col min="12083" max="12083" width="9.85546875" style="62" bestFit="1" customWidth="1"/>
    <col min="12084" max="12319" width="9" style="62"/>
    <col min="12320" max="12320" width="4.42578125" style="62" bestFit="1" customWidth="1"/>
    <col min="12321" max="12321" width="22" style="62" customWidth="1"/>
    <col min="12322" max="12322" width="9.42578125" style="62" customWidth="1"/>
    <col min="12323" max="12330" width="8" style="62" customWidth="1"/>
    <col min="12331" max="12334" width="9" style="62"/>
    <col min="12335" max="12335" width="8.7109375" style="62" customWidth="1"/>
    <col min="12336" max="12336" width="9" style="62" customWidth="1"/>
    <col min="12337" max="12338" width="9" style="62"/>
    <col min="12339" max="12339" width="9.85546875" style="62" bestFit="1" customWidth="1"/>
    <col min="12340" max="12575" width="9" style="62"/>
    <col min="12576" max="12576" width="4.42578125" style="62" bestFit="1" customWidth="1"/>
    <col min="12577" max="12577" width="22" style="62" customWidth="1"/>
    <col min="12578" max="12578" width="9.42578125" style="62" customWidth="1"/>
    <col min="12579" max="12586" width="8" style="62" customWidth="1"/>
    <col min="12587" max="12590" width="9" style="62"/>
    <col min="12591" max="12591" width="8.7109375" style="62" customWidth="1"/>
    <col min="12592" max="12592" width="9" style="62" customWidth="1"/>
    <col min="12593" max="12594" width="9" style="62"/>
    <col min="12595" max="12595" width="9.85546875" style="62" bestFit="1" customWidth="1"/>
    <col min="12596" max="12831" width="9" style="62"/>
    <col min="12832" max="12832" width="4.42578125" style="62" bestFit="1" customWidth="1"/>
    <col min="12833" max="12833" width="22" style="62" customWidth="1"/>
    <col min="12834" max="12834" width="9.42578125" style="62" customWidth="1"/>
    <col min="12835" max="12842" width="8" style="62" customWidth="1"/>
    <col min="12843" max="12846" width="9" style="62"/>
    <col min="12847" max="12847" width="8.7109375" style="62" customWidth="1"/>
    <col min="12848" max="12848" width="9" style="62" customWidth="1"/>
    <col min="12849" max="12850" width="9" style="62"/>
    <col min="12851" max="12851" width="9.85546875" style="62" bestFit="1" customWidth="1"/>
    <col min="12852" max="13087" width="9" style="62"/>
    <col min="13088" max="13088" width="4.42578125" style="62" bestFit="1" customWidth="1"/>
    <col min="13089" max="13089" width="22" style="62" customWidth="1"/>
    <col min="13090" max="13090" width="9.42578125" style="62" customWidth="1"/>
    <col min="13091" max="13098" width="8" style="62" customWidth="1"/>
    <col min="13099" max="13102" width="9" style="62"/>
    <col min="13103" max="13103" width="8.7109375" style="62" customWidth="1"/>
    <col min="13104" max="13104" width="9" style="62" customWidth="1"/>
    <col min="13105" max="13106" width="9" style="62"/>
    <col min="13107" max="13107" width="9.85546875" style="62" bestFit="1" customWidth="1"/>
    <col min="13108" max="13343" width="9" style="62"/>
    <col min="13344" max="13344" width="4.42578125" style="62" bestFit="1" customWidth="1"/>
    <col min="13345" max="13345" width="22" style="62" customWidth="1"/>
    <col min="13346" max="13346" width="9.42578125" style="62" customWidth="1"/>
    <col min="13347" max="13354" width="8" style="62" customWidth="1"/>
    <col min="13355" max="13358" width="9" style="62"/>
    <col min="13359" max="13359" width="8.7109375" style="62" customWidth="1"/>
    <col min="13360" max="13360" width="9" style="62" customWidth="1"/>
    <col min="13361" max="13362" width="9" style="62"/>
    <col min="13363" max="13363" width="9.85546875" style="62" bestFit="1" customWidth="1"/>
    <col min="13364" max="13599" width="9" style="62"/>
    <col min="13600" max="13600" width="4.42578125" style="62" bestFit="1" customWidth="1"/>
    <col min="13601" max="13601" width="22" style="62" customWidth="1"/>
    <col min="13602" max="13602" width="9.42578125" style="62" customWidth="1"/>
    <col min="13603" max="13610" width="8" style="62" customWidth="1"/>
    <col min="13611" max="13614" width="9" style="62"/>
    <col min="13615" max="13615" width="8.7109375" style="62" customWidth="1"/>
    <col min="13616" max="13616" width="9" style="62" customWidth="1"/>
    <col min="13617" max="13618" width="9" style="62"/>
    <col min="13619" max="13619" width="9.85546875" style="62" bestFit="1" customWidth="1"/>
    <col min="13620" max="13855" width="9" style="62"/>
    <col min="13856" max="13856" width="4.42578125" style="62" bestFit="1" customWidth="1"/>
    <col min="13857" max="13857" width="22" style="62" customWidth="1"/>
    <col min="13858" max="13858" width="9.42578125" style="62" customWidth="1"/>
    <col min="13859" max="13866" width="8" style="62" customWidth="1"/>
    <col min="13867" max="13870" width="9" style="62"/>
    <col min="13871" max="13871" width="8.7109375" style="62" customWidth="1"/>
    <col min="13872" max="13872" width="9" style="62" customWidth="1"/>
    <col min="13873" max="13874" width="9" style="62"/>
    <col min="13875" max="13875" width="9.85546875" style="62" bestFit="1" customWidth="1"/>
    <col min="13876" max="14111" width="9" style="62"/>
    <col min="14112" max="14112" width="4.42578125" style="62" bestFit="1" customWidth="1"/>
    <col min="14113" max="14113" width="22" style="62" customWidth="1"/>
    <col min="14114" max="14114" width="9.42578125" style="62" customWidth="1"/>
    <col min="14115" max="14122" width="8" style="62" customWidth="1"/>
    <col min="14123" max="14126" width="9" style="62"/>
    <col min="14127" max="14127" width="8.7109375" style="62" customWidth="1"/>
    <col min="14128" max="14128" width="9" style="62" customWidth="1"/>
    <col min="14129" max="14130" width="9" style="62"/>
    <col min="14131" max="14131" width="9.85546875" style="62" bestFit="1" customWidth="1"/>
    <col min="14132" max="14367" width="9" style="62"/>
    <col min="14368" max="14368" width="4.42578125" style="62" bestFit="1" customWidth="1"/>
    <col min="14369" max="14369" width="22" style="62" customWidth="1"/>
    <col min="14370" max="14370" width="9.42578125" style="62" customWidth="1"/>
    <col min="14371" max="14378" width="8" style="62" customWidth="1"/>
    <col min="14379" max="14382" width="9" style="62"/>
    <col min="14383" max="14383" width="8.7109375" style="62" customWidth="1"/>
    <col min="14384" max="14384" width="9" style="62" customWidth="1"/>
    <col min="14385" max="14386" width="9" style="62"/>
    <col min="14387" max="14387" width="9.85546875" style="62" bestFit="1" customWidth="1"/>
    <col min="14388" max="14623" width="9" style="62"/>
    <col min="14624" max="14624" width="4.42578125" style="62" bestFit="1" customWidth="1"/>
    <col min="14625" max="14625" width="22" style="62" customWidth="1"/>
    <col min="14626" max="14626" width="9.42578125" style="62" customWidth="1"/>
    <col min="14627" max="14634" width="8" style="62" customWidth="1"/>
    <col min="14635" max="14638" width="9" style="62"/>
    <col min="14639" max="14639" width="8.7109375" style="62" customWidth="1"/>
    <col min="14640" max="14640" width="9" style="62" customWidth="1"/>
    <col min="14641" max="14642" width="9" style="62"/>
    <col min="14643" max="14643" width="9.85546875" style="62" bestFit="1" customWidth="1"/>
    <col min="14644" max="14879" width="9" style="62"/>
    <col min="14880" max="14880" width="4.42578125" style="62" bestFit="1" customWidth="1"/>
    <col min="14881" max="14881" width="22" style="62" customWidth="1"/>
    <col min="14882" max="14882" width="9.42578125" style="62" customWidth="1"/>
    <col min="14883" max="14890" width="8" style="62" customWidth="1"/>
    <col min="14891" max="14894" width="9" style="62"/>
    <col min="14895" max="14895" width="8.7109375" style="62" customWidth="1"/>
    <col min="14896" max="14896" width="9" style="62" customWidth="1"/>
    <col min="14897" max="14898" width="9" style="62"/>
    <col min="14899" max="14899" width="9.85546875" style="62" bestFit="1" customWidth="1"/>
    <col min="14900" max="15135" width="9" style="62"/>
    <col min="15136" max="15136" width="4.42578125" style="62" bestFit="1" customWidth="1"/>
    <col min="15137" max="15137" width="22" style="62" customWidth="1"/>
    <col min="15138" max="15138" width="9.42578125" style="62" customWidth="1"/>
    <col min="15139" max="15146" width="8" style="62" customWidth="1"/>
    <col min="15147" max="15150" width="9" style="62"/>
    <col min="15151" max="15151" width="8.7109375" style="62" customWidth="1"/>
    <col min="15152" max="15152" width="9" style="62" customWidth="1"/>
    <col min="15153" max="15154" width="9" style="62"/>
    <col min="15155" max="15155" width="9.85546875" style="62" bestFit="1" customWidth="1"/>
    <col min="15156" max="15391" width="9" style="62"/>
    <col min="15392" max="15392" width="4.42578125" style="62" bestFit="1" customWidth="1"/>
    <col min="15393" max="15393" width="22" style="62" customWidth="1"/>
    <col min="15394" max="15394" width="9.42578125" style="62" customWidth="1"/>
    <col min="15395" max="15402" width="8" style="62" customWidth="1"/>
    <col min="15403" max="15406" width="9" style="62"/>
    <col min="15407" max="15407" width="8.7109375" style="62" customWidth="1"/>
    <col min="15408" max="15408" width="9" style="62" customWidth="1"/>
    <col min="15409" max="15410" width="9" style="62"/>
    <col min="15411" max="15411" width="9.85546875" style="62" bestFit="1" customWidth="1"/>
    <col min="15412" max="15647" width="9" style="62"/>
    <col min="15648" max="15648" width="4.42578125" style="62" bestFit="1" customWidth="1"/>
    <col min="15649" max="15649" width="22" style="62" customWidth="1"/>
    <col min="15650" max="15650" width="9.42578125" style="62" customWidth="1"/>
    <col min="15651" max="15658" width="8" style="62" customWidth="1"/>
    <col min="15659" max="15662" width="9" style="62"/>
    <col min="15663" max="15663" width="8.7109375" style="62" customWidth="1"/>
    <col min="15664" max="15664" width="9" style="62" customWidth="1"/>
    <col min="15665" max="15666" width="9" style="62"/>
    <col min="15667" max="15667" width="9.85546875" style="62" bestFit="1" customWidth="1"/>
    <col min="15668" max="15903" width="9" style="62"/>
    <col min="15904" max="15904" width="4.42578125" style="62" bestFit="1" customWidth="1"/>
    <col min="15905" max="15905" width="22" style="62" customWidth="1"/>
    <col min="15906" max="15906" width="9.42578125" style="62" customWidth="1"/>
    <col min="15907" max="15914" width="8" style="62" customWidth="1"/>
    <col min="15915" max="15918" width="9" style="62"/>
    <col min="15919" max="15919" width="8.7109375" style="62" customWidth="1"/>
    <col min="15920" max="15920" width="9" style="62" customWidth="1"/>
    <col min="15921" max="15922" width="9" style="62"/>
    <col min="15923" max="15923" width="9.85546875" style="62" bestFit="1" customWidth="1"/>
    <col min="15924" max="16159" width="9" style="62"/>
    <col min="16160" max="16160" width="4.42578125" style="62" bestFit="1" customWidth="1"/>
    <col min="16161" max="16161" width="22" style="62" customWidth="1"/>
    <col min="16162" max="16162" width="9.42578125" style="62" customWidth="1"/>
    <col min="16163" max="16170" width="8" style="62" customWidth="1"/>
    <col min="16171" max="16174" width="9" style="62"/>
    <col min="16175" max="16175" width="8.7109375" style="62" customWidth="1"/>
    <col min="16176" max="16176" width="9" style="62" customWidth="1"/>
    <col min="16177" max="16178" width="9" style="62"/>
    <col min="16179" max="16179" width="9.85546875" style="62" bestFit="1" customWidth="1"/>
    <col min="16180" max="16381" width="9" style="62"/>
    <col min="16382" max="16384" width="9" style="62" customWidth="1"/>
  </cols>
  <sheetData>
    <row r="2" spans="1:128">
      <c r="D2" s="309" t="s">
        <v>1191</v>
      </c>
      <c r="E2" s="449">
        <f>C173+D173+E173+F173+H173</f>
        <v>9711</v>
      </c>
      <c r="G2" s="309" t="s">
        <v>1190</v>
      </c>
      <c r="H2" s="451">
        <f>C292+D292+F292+H292</f>
        <v>4041</v>
      </c>
      <c r="J2" s="309" t="s">
        <v>1170</v>
      </c>
      <c r="K2" s="310">
        <f>C534+D534+E534+F534+G534+H534</f>
        <v>912</v>
      </c>
    </row>
    <row r="3" spans="1:128" s="65" customFormat="1" ht="20.25">
      <c r="A3" s="311"/>
      <c r="B3" s="312"/>
      <c r="C3" s="312"/>
      <c r="D3" s="309" t="s">
        <v>1169</v>
      </c>
      <c r="E3" s="450">
        <f>C227+E227</f>
        <v>1501</v>
      </c>
      <c r="F3" s="312"/>
      <c r="G3" s="309" t="s">
        <v>1189</v>
      </c>
      <c r="H3" s="458">
        <f>C492+D492+E492+F492+G492+H492</f>
        <v>13906</v>
      </c>
      <c r="I3" s="312"/>
      <c r="J3" s="312"/>
      <c r="K3" s="312"/>
      <c r="L3" s="312"/>
      <c r="M3" s="312" t="s">
        <v>1296</v>
      </c>
      <c r="N3" s="709">
        <f>E2+E3+H2+H3+K2</f>
        <v>30071</v>
      </c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1"/>
      <c r="BE3" s="311"/>
      <c r="BF3" s="311"/>
      <c r="BG3" s="311"/>
      <c r="BH3" s="311"/>
      <c r="BI3" s="311"/>
      <c r="BJ3" s="311"/>
      <c r="BK3" s="311"/>
      <c r="BL3" s="311"/>
      <c r="BM3" s="311"/>
      <c r="BN3" s="311"/>
      <c r="BO3" s="311"/>
      <c r="BP3" s="311"/>
      <c r="BQ3" s="311"/>
      <c r="BR3" s="311"/>
      <c r="BS3" s="311"/>
      <c r="BT3" s="311"/>
      <c r="BU3" s="311"/>
      <c r="BV3" s="311"/>
      <c r="BW3" s="311"/>
      <c r="BX3" s="311"/>
      <c r="BY3" s="311"/>
      <c r="BZ3" s="311"/>
      <c r="CA3" s="311"/>
      <c r="CB3" s="311"/>
      <c r="CC3" s="311"/>
      <c r="CD3" s="311"/>
      <c r="CE3" s="311"/>
      <c r="CF3" s="311"/>
      <c r="CG3" s="311"/>
      <c r="CH3" s="311"/>
      <c r="CI3" s="311"/>
      <c r="CJ3" s="311"/>
      <c r="CK3" s="311"/>
      <c r="CL3" s="311"/>
      <c r="CM3" s="311"/>
      <c r="CN3" s="311"/>
      <c r="CO3" s="311"/>
      <c r="CP3" s="311"/>
      <c r="CQ3" s="311"/>
      <c r="CR3" s="311"/>
      <c r="CS3" s="311"/>
      <c r="CT3" s="311"/>
      <c r="CU3" s="311"/>
      <c r="CV3" s="311"/>
      <c r="CW3" s="311"/>
      <c r="CX3" s="311"/>
      <c r="CY3" s="311"/>
      <c r="CZ3" s="311"/>
      <c r="DA3" s="311"/>
      <c r="DB3" s="311"/>
      <c r="DC3" s="311"/>
      <c r="DD3" s="311"/>
      <c r="DE3" s="311"/>
      <c r="DF3" s="311"/>
      <c r="DG3" s="311"/>
      <c r="DH3" s="311"/>
      <c r="DI3" s="311"/>
      <c r="DJ3" s="311"/>
      <c r="DK3" s="311"/>
      <c r="DL3" s="311"/>
      <c r="DM3" s="311"/>
      <c r="DN3" s="311"/>
      <c r="DO3" s="311"/>
      <c r="DP3" s="311"/>
      <c r="DQ3" s="311"/>
      <c r="DR3" s="311"/>
      <c r="DS3" s="311"/>
      <c r="DT3" s="311"/>
      <c r="DU3" s="311"/>
      <c r="DV3" s="311"/>
      <c r="DW3" s="311"/>
      <c r="DX3" s="311"/>
    </row>
    <row r="5" spans="1:128">
      <c r="A5" s="313" t="s">
        <v>244</v>
      </c>
      <c r="B5" s="314" t="s">
        <v>4</v>
      </c>
      <c r="C5" s="1737" t="s">
        <v>29</v>
      </c>
      <c r="D5" s="1738"/>
      <c r="E5" s="1738"/>
      <c r="F5" s="1738"/>
      <c r="G5" s="1738"/>
      <c r="H5" s="1738"/>
      <c r="I5" s="1738"/>
      <c r="J5" s="1738"/>
      <c r="K5" s="1738"/>
      <c r="L5" s="1738"/>
      <c r="M5" s="1738"/>
      <c r="N5" s="1738"/>
      <c r="O5" s="1738"/>
      <c r="P5" s="1738"/>
      <c r="Q5" s="1738"/>
      <c r="R5" s="1738"/>
      <c r="S5" s="1738"/>
      <c r="T5" s="1739"/>
      <c r="U5" s="1737" t="s">
        <v>31</v>
      </c>
      <c r="V5" s="1738"/>
      <c r="W5" s="1738"/>
      <c r="X5" s="1738"/>
      <c r="Y5" s="1738"/>
      <c r="Z5" s="1738"/>
      <c r="AA5" s="1738"/>
      <c r="AB5" s="1738"/>
      <c r="AC5" s="1738"/>
      <c r="AD5" s="1738"/>
      <c r="AE5" s="1738"/>
      <c r="AF5" s="1738"/>
      <c r="AG5" s="1738"/>
      <c r="AH5" s="1738"/>
      <c r="AI5" s="1738"/>
      <c r="AJ5" s="1738"/>
      <c r="AK5" s="1738"/>
      <c r="AL5" s="1738"/>
      <c r="AM5" s="1738"/>
      <c r="AN5" s="1738"/>
      <c r="AO5" s="1738"/>
      <c r="AP5" s="1739"/>
      <c r="AQ5" s="1734" t="s">
        <v>243</v>
      </c>
      <c r="AR5" s="1736"/>
      <c r="AS5" s="1735"/>
      <c r="AT5" s="315" t="s">
        <v>242</v>
      </c>
      <c r="AU5" s="1734" t="s">
        <v>36</v>
      </c>
      <c r="AV5" s="1736"/>
      <c r="AW5" s="1736"/>
      <c r="AX5" s="1736"/>
      <c r="AY5" s="1735"/>
      <c r="AZ5" s="1734" t="s">
        <v>241</v>
      </c>
      <c r="BA5" s="1736"/>
      <c r="BB5" s="1736"/>
      <c r="BC5" s="1735"/>
      <c r="BD5" s="1734" t="s">
        <v>240</v>
      </c>
      <c r="BE5" s="1736"/>
      <c r="BF5" s="1736"/>
      <c r="BG5" s="1736"/>
      <c r="BH5" s="1736"/>
      <c r="BI5" s="1736"/>
      <c r="BJ5" s="1736"/>
      <c r="BK5" s="1736"/>
      <c r="BL5" s="1736"/>
      <c r="BM5" s="1736"/>
      <c r="BN5" s="1736"/>
      <c r="BO5" s="1736"/>
      <c r="BP5" s="1736"/>
      <c r="BQ5" s="1736"/>
      <c r="BR5" s="1736"/>
      <c r="BS5" s="1736"/>
      <c r="BT5" s="1736"/>
      <c r="BU5" s="1736"/>
      <c r="BV5" s="1736"/>
      <c r="BW5" s="1736"/>
      <c r="BX5" s="1736"/>
      <c r="BY5" s="1736"/>
      <c r="BZ5" s="1736"/>
      <c r="CA5" s="1736"/>
      <c r="CB5" s="1736"/>
      <c r="CC5" s="1736"/>
      <c r="CD5" s="1736"/>
      <c r="CE5" s="1736"/>
      <c r="CF5" s="1736"/>
      <c r="CG5" s="1736"/>
      <c r="CH5" s="1736"/>
      <c r="CI5" s="1736"/>
      <c r="CJ5" s="1736"/>
      <c r="CK5" s="1736"/>
      <c r="CL5" s="1736"/>
      <c r="CM5" s="1736"/>
      <c r="CN5" s="1736"/>
      <c r="CO5" s="1736"/>
      <c r="CP5" s="1736"/>
      <c r="CQ5" s="1736"/>
      <c r="CR5" s="1736"/>
      <c r="CS5" s="1736"/>
      <c r="CT5" s="1736"/>
      <c r="CU5" s="1736"/>
      <c r="CV5" s="1736"/>
      <c r="CW5" s="1735"/>
      <c r="CX5" s="471"/>
      <c r="CY5" s="471"/>
      <c r="CZ5" s="790"/>
      <c r="DA5" s="790"/>
      <c r="DB5" s="790"/>
      <c r="DC5" s="790"/>
      <c r="DD5" s="790"/>
      <c r="DE5" s="790"/>
      <c r="DF5" s="1731" t="s">
        <v>260</v>
      </c>
      <c r="DG5" s="1732"/>
      <c r="DH5" s="1732"/>
      <c r="DI5" s="1732"/>
      <c r="DJ5" s="1732"/>
      <c r="DK5" s="1732"/>
      <c r="DL5" s="1732"/>
      <c r="DM5" s="1732"/>
      <c r="DN5" s="1732"/>
      <c r="DO5" s="1733"/>
    </row>
    <row r="6" spans="1:128" ht="18">
      <c r="A6" s="316"/>
      <c r="B6" s="317"/>
      <c r="C6" s="318" t="s">
        <v>18</v>
      </c>
      <c r="D6" s="318" t="s">
        <v>239</v>
      </c>
      <c r="E6" s="318" t="s">
        <v>20</v>
      </c>
      <c r="F6" s="318" t="s">
        <v>21</v>
      </c>
      <c r="G6" s="318" t="s">
        <v>22</v>
      </c>
      <c r="H6" s="318" t="s">
        <v>23</v>
      </c>
      <c r="I6" s="318" t="s">
        <v>24</v>
      </c>
      <c r="J6" s="318" t="s">
        <v>238</v>
      </c>
      <c r="K6" s="318" t="s">
        <v>237</v>
      </c>
      <c r="L6" s="318" t="s">
        <v>236</v>
      </c>
      <c r="M6" s="318" t="s">
        <v>235</v>
      </c>
      <c r="N6" s="318" t="s">
        <v>234</v>
      </c>
      <c r="O6" s="318" t="s">
        <v>233</v>
      </c>
      <c r="P6" s="318" t="s">
        <v>254</v>
      </c>
      <c r="Q6" s="318" t="s">
        <v>255</v>
      </c>
      <c r="R6" s="318" t="s">
        <v>256</v>
      </c>
      <c r="S6" s="318" t="s">
        <v>257</v>
      </c>
      <c r="T6" s="313" t="s">
        <v>232</v>
      </c>
      <c r="U6" s="1734" t="s">
        <v>231</v>
      </c>
      <c r="V6" s="1735"/>
      <c r="W6" s="313" t="s">
        <v>230</v>
      </c>
      <c r="X6" s="319" t="s">
        <v>229</v>
      </c>
      <c r="Y6" s="320" t="s">
        <v>228</v>
      </c>
      <c r="Z6" s="747" t="s">
        <v>1374</v>
      </c>
      <c r="AA6" s="747" t="s">
        <v>1417</v>
      </c>
      <c r="AB6" s="747" t="s">
        <v>371</v>
      </c>
      <c r="AC6" s="1734" t="s">
        <v>425</v>
      </c>
      <c r="AD6" s="1735"/>
      <c r="AE6" s="321" t="s">
        <v>225</v>
      </c>
      <c r="AF6" s="321" t="s">
        <v>225</v>
      </c>
      <c r="AG6" s="313" t="s">
        <v>227</v>
      </c>
      <c r="AH6" s="321" t="s">
        <v>224</v>
      </c>
      <c r="AI6" s="321" t="s">
        <v>224</v>
      </c>
      <c r="AJ6" s="321" t="s">
        <v>224</v>
      </c>
      <c r="AK6" s="322" t="s">
        <v>227</v>
      </c>
      <c r="AL6" s="322" t="s">
        <v>226</v>
      </c>
      <c r="AM6" s="321" t="s">
        <v>225</v>
      </c>
      <c r="AN6" s="321" t="s">
        <v>225</v>
      </c>
      <c r="AO6" s="321" t="s">
        <v>224</v>
      </c>
      <c r="AP6" s="321" t="s">
        <v>223</v>
      </c>
      <c r="AQ6" s="323" t="s">
        <v>222</v>
      </c>
      <c r="AR6" s="324" t="s">
        <v>221</v>
      </c>
      <c r="AS6" s="324" t="s">
        <v>220</v>
      </c>
      <c r="AT6" s="325"/>
      <c r="AU6" s="326" t="s">
        <v>122</v>
      </c>
      <c r="AV6" s="326" t="s">
        <v>219</v>
      </c>
      <c r="AW6" s="326" t="s">
        <v>121</v>
      </c>
      <c r="AX6" s="326" t="s">
        <v>119</v>
      </c>
      <c r="AY6" s="326" t="s">
        <v>117</v>
      </c>
      <c r="AZ6" s="314" t="s">
        <v>218</v>
      </c>
      <c r="BA6" s="313" t="s">
        <v>217</v>
      </c>
      <c r="BB6" s="313" t="s">
        <v>1834</v>
      </c>
      <c r="BC6" s="313" t="s">
        <v>216</v>
      </c>
      <c r="BD6" s="327" t="s">
        <v>215</v>
      </c>
      <c r="BE6" s="327" t="s">
        <v>214</v>
      </c>
      <c r="BF6" s="327" t="s">
        <v>213</v>
      </c>
      <c r="BG6" s="327" t="s">
        <v>212</v>
      </c>
      <c r="BH6" s="327" t="s">
        <v>352</v>
      </c>
      <c r="BI6" s="327" t="s">
        <v>353</v>
      </c>
      <c r="BJ6" s="327" t="s">
        <v>1276</v>
      </c>
      <c r="BK6" s="327" t="s">
        <v>354</v>
      </c>
      <c r="BL6" s="327" t="s">
        <v>355</v>
      </c>
      <c r="BM6" s="327" t="s">
        <v>356</v>
      </c>
      <c r="BN6" s="327" t="s">
        <v>1328</v>
      </c>
      <c r="BO6" s="327" t="s">
        <v>357</v>
      </c>
      <c r="BP6" s="327" t="s">
        <v>358</v>
      </c>
      <c r="BQ6" s="327" t="s">
        <v>359</v>
      </c>
      <c r="BR6" s="327" t="s">
        <v>360</v>
      </c>
      <c r="BS6" s="327" t="s">
        <v>361</v>
      </c>
      <c r="BT6" s="327" t="s">
        <v>377</v>
      </c>
      <c r="BU6" s="327"/>
      <c r="BV6" s="327" t="s">
        <v>378</v>
      </c>
      <c r="BW6" s="327" t="s">
        <v>379</v>
      </c>
      <c r="BX6" s="328"/>
      <c r="BY6" s="328"/>
      <c r="BZ6" s="328"/>
      <c r="CA6" s="328"/>
      <c r="CB6" s="315" t="s">
        <v>211</v>
      </c>
      <c r="CC6" s="315" t="s">
        <v>1278</v>
      </c>
      <c r="CD6" s="315" t="s">
        <v>210</v>
      </c>
      <c r="CE6" s="315" t="s">
        <v>209</v>
      </c>
      <c r="CF6" s="315" t="s">
        <v>208</v>
      </c>
      <c r="CG6" s="315" t="s">
        <v>1331</v>
      </c>
      <c r="CH6" s="315" t="s">
        <v>207</v>
      </c>
      <c r="CI6" s="315" t="s">
        <v>1279</v>
      </c>
      <c r="CJ6" s="315" t="s">
        <v>206</v>
      </c>
      <c r="CK6" s="315" t="s">
        <v>1280</v>
      </c>
      <c r="CL6" s="315" t="s">
        <v>205</v>
      </c>
      <c r="CM6" s="315" t="s">
        <v>1281</v>
      </c>
      <c r="CN6" s="315" t="s">
        <v>204</v>
      </c>
      <c r="CO6" s="315" t="s">
        <v>203</v>
      </c>
      <c r="CP6" s="315" t="s">
        <v>202</v>
      </c>
      <c r="CQ6" s="315" t="s">
        <v>1282</v>
      </c>
      <c r="CR6" s="315" t="s">
        <v>1283</v>
      </c>
      <c r="CS6" s="315" t="s">
        <v>201</v>
      </c>
      <c r="CT6" s="315" t="s">
        <v>200</v>
      </c>
      <c r="CU6" s="315" t="s">
        <v>199</v>
      </c>
      <c r="CV6" s="315" t="s">
        <v>198</v>
      </c>
      <c r="CW6" s="321" t="s">
        <v>197</v>
      </c>
      <c r="CX6" s="321" t="s">
        <v>1274</v>
      </c>
      <c r="CY6" s="321" t="s">
        <v>1275</v>
      </c>
      <c r="CZ6" s="794"/>
      <c r="DA6" s="794"/>
      <c r="DB6" s="794"/>
      <c r="DC6" s="794"/>
      <c r="DD6" s="794"/>
      <c r="DE6" s="794"/>
      <c r="DF6" s="329" t="s">
        <v>383</v>
      </c>
      <c r="DG6" s="329" t="s">
        <v>384</v>
      </c>
      <c r="DH6" s="329" t="s">
        <v>384</v>
      </c>
      <c r="DI6" s="329" t="s">
        <v>481</v>
      </c>
      <c r="DJ6" s="329" t="s">
        <v>384</v>
      </c>
      <c r="DK6" s="329" t="s">
        <v>384</v>
      </c>
      <c r="DL6" s="329" t="s">
        <v>386</v>
      </c>
      <c r="DM6" s="329" t="s">
        <v>385</v>
      </c>
      <c r="DN6" s="329" t="s">
        <v>387</v>
      </c>
      <c r="DO6" s="330" t="s">
        <v>649</v>
      </c>
    </row>
    <row r="7" spans="1:128" ht="19.5" customHeight="1">
      <c r="A7" s="316"/>
      <c r="B7" s="317"/>
      <c r="C7" s="331" t="s">
        <v>189</v>
      </c>
      <c r="D7" s="331" t="s">
        <v>189</v>
      </c>
      <c r="E7" s="331" t="s">
        <v>374</v>
      </c>
      <c r="F7" s="331" t="s">
        <v>371</v>
      </c>
      <c r="G7" s="332" t="s">
        <v>373</v>
      </c>
      <c r="H7" s="331" t="s">
        <v>189</v>
      </c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1" t="s">
        <v>1584</v>
      </c>
      <c r="T7" s="325" t="s">
        <v>196</v>
      </c>
      <c r="U7" s="333" t="s">
        <v>422</v>
      </c>
      <c r="V7" s="333" t="s">
        <v>423</v>
      </c>
      <c r="W7" s="325"/>
      <c r="X7" s="334"/>
      <c r="Y7" s="335"/>
      <c r="Z7" s="335"/>
      <c r="AA7" s="335" t="s">
        <v>1418</v>
      </c>
      <c r="AB7" s="335"/>
      <c r="AC7" s="315">
        <v>1</v>
      </c>
      <c r="AD7" s="315">
        <v>2</v>
      </c>
      <c r="AE7" s="322" t="s">
        <v>189</v>
      </c>
      <c r="AF7" s="321" t="s">
        <v>426</v>
      </c>
      <c r="AG7" s="315" t="s">
        <v>1361</v>
      </c>
      <c r="AH7" s="321" t="s">
        <v>1829</v>
      </c>
      <c r="AI7" s="321" t="s">
        <v>1828</v>
      </c>
      <c r="AJ7" s="321"/>
      <c r="AK7" s="321"/>
      <c r="AL7" s="321"/>
      <c r="AM7" s="321"/>
      <c r="AN7" s="321"/>
      <c r="AO7" s="321"/>
      <c r="AP7" s="321"/>
      <c r="AQ7" s="316"/>
      <c r="AR7" s="317"/>
      <c r="AS7" s="317"/>
      <c r="AT7" s="316"/>
      <c r="AU7" s="325" t="s">
        <v>195</v>
      </c>
      <c r="AV7" s="325" t="s">
        <v>194</v>
      </c>
      <c r="AW7" s="325" t="s">
        <v>193</v>
      </c>
      <c r="AX7" s="325"/>
      <c r="AY7" s="325"/>
      <c r="AZ7" s="333" t="s">
        <v>427</v>
      </c>
      <c r="BA7" s="325" t="s">
        <v>428</v>
      </c>
      <c r="BB7" s="325" t="s">
        <v>1827</v>
      </c>
      <c r="BC7" s="325"/>
      <c r="BD7" s="323">
        <f>4.15*2.85</f>
        <v>11.827500000000001</v>
      </c>
      <c r="BE7" s="313">
        <f>5.4*2.85</f>
        <v>15.390000000000002</v>
      </c>
      <c r="BF7" s="313">
        <f>5.4*2.85</f>
        <v>15.390000000000002</v>
      </c>
      <c r="BG7" s="313">
        <f>2.1*2.85</f>
        <v>5.9850000000000003</v>
      </c>
      <c r="BH7" s="313">
        <f>0.8*2.05</f>
        <v>1.64</v>
      </c>
      <c r="BI7" s="313">
        <f>2.1*2.85</f>
        <v>5.9850000000000003</v>
      </c>
      <c r="BJ7" s="313">
        <f>2.1*2.5</f>
        <v>5.25</v>
      </c>
      <c r="BK7" s="313">
        <f>1.9*2.05</f>
        <v>3.8949999999999996</v>
      </c>
      <c r="BL7" s="313">
        <f>7.4*2.85</f>
        <v>21.090000000000003</v>
      </c>
      <c r="BM7" s="313">
        <f>2.1*2.85</f>
        <v>5.9850000000000003</v>
      </c>
      <c r="BN7" s="313">
        <f>2.1*2.5</f>
        <v>5.25</v>
      </c>
      <c r="BO7" s="313">
        <f>1.1*2.05</f>
        <v>2.2549999999999999</v>
      </c>
      <c r="BP7" s="313">
        <f>1.1*2.5</f>
        <v>2.75</v>
      </c>
      <c r="BQ7" s="313">
        <f>1*2.5</f>
        <v>2.5</v>
      </c>
      <c r="BR7" s="313">
        <f>1.1*2.05</f>
        <v>2.2549999999999999</v>
      </c>
      <c r="BS7" s="313">
        <f>1.1*2.5</f>
        <v>2.75</v>
      </c>
      <c r="BT7" s="313">
        <f>(2*2.85)</f>
        <v>5.7</v>
      </c>
      <c r="BU7" s="313"/>
      <c r="BV7" s="313">
        <f>7*2.5</f>
        <v>17.5</v>
      </c>
      <c r="BW7" s="313">
        <f>41.4*2.85</f>
        <v>117.99</v>
      </c>
      <c r="BX7" s="313"/>
      <c r="BY7" s="313"/>
      <c r="BZ7" s="313"/>
      <c r="CA7" s="313"/>
      <c r="CB7" s="323">
        <f>1.65*5.1</f>
        <v>8.4149999999999991</v>
      </c>
      <c r="CC7" s="323">
        <f>5.1*3.75</f>
        <v>19.125</v>
      </c>
      <c r="CD7" s="313">
        <f>5.4*2.35</f>
        <v>12.690000000000001</v>
      </c>
      <c r="CE7" s="323">
        <f>2.6*2.35</f>
        <v>6.11</v>
      </c>
      <c r="CF7" s="323">
        <f>5.1*0.5</f>
        <v>2.5499999999999998</v>
      </c>
      <c r="CG7" s="323">
        <f>5.1*1.65</f>
        <v>8.4149999999999991</v>
      </c>
      <c r="CH7" s="313">
        <f>1.75*1.65</f>
        <v>2.8874999999999997</v>
      </c>
      <c r="CI7" s="313">
        <f>1.75*3.75</f>
        <v>6.5625</v>
      </c>
      <c r="CJ7" s="313">
        <f>0.65*2.3</f>
        <v>1.4949999999999999</v>
      </c>
      <c r="CK7" s="313">
        <f>0.85*2.3</f>
        <v>1.9549999999999998</v>
      </c>
      <c r="CL7" s="323">
        <f>1.7*0.65</f>
        <v>1.105</v>
      </c>
      <c r="CM7" s="323">
        <f>1.7*0.85</f>
        <v>1.4449999999999998</v>
      </c>
      <c r="CN7" s="323">
        <f>3.42*1.65</f>
        <v>5.6429999999999998</v>
      </c>
      <c r="CO7" s="313">
        <f>3.8*0.5</f>
        <v>1.9</v>
      </c>
      <c r="CP7" s="313">
        <f>1.9*3.75</f>
        <v>7.125</v>
      </c>
      <c r="CQ7" s="313">
        <f>1.9*1.65</f>
        <v>3.1349999999999998</v>
      </c>
      <c r="CR7" s="313">
        <f>1.9*1.05</f>
        <v>1.9949999999999999</v>
      </c>
      <c r="CS7" s="323">
        <f>5.4*0.5</f>
        <v>2.7</v>
      </c>
      <c r="CT7" s="323">
        <f>7.5*2.85</f>
        <v>21.375</v>
      </c>
      <c r="CU7" s="323">
        <f>4.26*1.65</f>
        <v>7.028999999999999</v>
      </c>
      <c r="CV7" s="323">
        <f>2*1.65</f>
        <v>3.3</v>
      </c>
      <c r="CW7" s="323">
        <f>7.4*2.1</f>
        <v>15.540000000000001</v>
      </c>
      <c r="CX7" s="323">
        <f>7.2*2.35</f>
        <v>16.920000000000002</v>
      </c>
      <c r="CY7" s="323">
        <f>0.89*1.65</f>
        <v>1.4684999999999999</v>
      </c>
      <c r="CZ7" s="323"/>
      <c r="DA7" s="323"/>
      <c r="DB7" s="323"/>
      <c r="DC7" s="323"/>
      <c r="DD7" s="323"/>
      <c r="DE7" s="323"/>
      <c r="DF7" s="336"/>
      <c r="DG7" s="313" t="s">
        <v>479</v>
      </c>
      <c r="DH7" s="313" t="s">
        <v>474</v>
      </c>
      <c r="DI7" s="336"/>
      <c r="DJ7" s="313" t="s">
        <v>482</v>
      </c>
      <c r="DK7" s="313" t="s">
        <v>484</v>
      </c>
      <c r="DL7" s="313" t="s">
        <v>1362</v>
      </c>
      <c r="DM7" s="336"/>
      <c r="DN7" s="336"/>
      <c r="DO7" s="336"/>
    </row>
    <row r="8" spans="1:128">
      <c r="A8" s="316"/>
      <c r="B8" s="317"/>
      <c r="C8" s="325" t="s">
        <v>375</v>
      </c>
      <c r="D8" s="325" t="s">
        <v>376</v>
      </c>
      <c r="E8" s="325" t="s">
        <v>1324</v>
      </c>
      <c r="F8" s="325"/>
      <c r="G8" s="337" t="s">
        <v>372</v>
      </c>
      <c r="H8" s="325" t="s">
        <v>405</v>
      </c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16"/>
      <c r="U8" s="333" t="s">
        <v>424</v>
      </c>
      <c r="V8" s="333" t="s">
        <v>429</v>
      </c>
      <c r="W8" s="325"/>
      <c r="X8" s="338"/>
      <c r="Y8" s="325"/>
      <c r="Z8" s="325"/>
      <c r="AA8" s="325" t="s">
        <v>1304</v>
      </c>
      <c r="AB8" s="325"/>
      <c r="AC8" s="325" t="s">
        <v>191</v>
      </c>
      <c r="AD8" s="325" t="s">
        <v>192</v>
      </c>
      <c r="AE8" s="313"/>
      <c r="AF8" s="313"/>
      <c r="AG8" s="313"/>
      <c r="AH8" s="313">
        <v>5</v>
      </c>
      <c r="AI8" s="313">
        <v>6</v>
      </c>
      <c r="AJ8" s="313"/>
      <c r="AK8" s="325"/>
      <c r="AL8" s="325"/>
      <c r="AM8" s="313"/>
      <c r="AN8" s="313"/>
      <c r="AO8" s="313"/>
      <c r="AP8" s="313"/>
      <c r="AQ8" s="316"/>
      <c r="AR8" s="317"/>
      <c r="AS8" s="317"/>
      <c r="AT8" s="316"/>
      <c r="AU8" s="325"/>
      <c r="AV8" s="325" t="s">
        <v>190</v>
      </c>
      <c r="AW8" s="325" t="s">
        <v>189</v>
      </c>
      <c r="AX8" s="325"/>
      <c r="AY8" s="325"/>
      <c r="AZ8" s="333"/>
      <c r="BA8" s="325"/>
      <c r="BB8" s="325"/>
      <c r="BC8" s="325"/>
      <c r="BD8" s="325">
        <v>4.1500000000000004</v>
      </c>
      <c r="BE8" s="325">
        <v>5.4</v>
      </c>
      <c r="BF8" s="325">
        <v>6.4</v>
      </c>
      <c r="BG8" s="325">
        <v>2.1</v>
      </c>
      <c r="BH8" s="325">
        <v>0.8</v>
      </c>
      <c r="BI8" s="325">
        <v>2.1</v>
      </c>
      <c r="BJ8" s="325">
        <v>2.1</v>
      </c>
      <c r="BK8" s="325">
        <v>1.9</v>
      </c>
      <c r="BL8" s="325">
        <v>7.4</v>
      </c>
      <c r="BM8" s="325">
        <v>2.1</v>
      </c>
      <c r="BN8" s="325">
        <v>2.1</v>
      </c>
      <c r="BO8" s="325">
        <v>1.1000000000000001</v>
      </c>
      <c r="BP8" s="325">
        <v>2.1</v>
      </c>
      <c r="BQ8" s="325">
        <v>1</v>
      </c>
      <c r="BR8" s="325">
        <v>1.1000000000000001</v>
      </c>
      <c r="BS8" s="325">
        <v>1.1000000000000001</v>
      </c>
      <c r="BT8" s="325">
        <v>2</v>
      </c>
      <c r="BU8" s="325"/>
      <c r="BV8" s="325">
        <v>7</v>
      </c>
      <c r="BW8" s="325">
        <v>41.4</v>
      </c>
      <c r="BX8" s="325"/>
      <c r="BY8" s="325"/>
      <c r="BZ8" s="325"/>
      <c r="CA8" s="325"/>
      <c r="CB8" s="339">
        <f>5.1*2</f>
        <v>10.199999999999999</v>
      </c>
      <c r="CC8" s="339">
        <f>5.1*2</f>
        <v>10.199999999999999</v>
      </c>
      <c r="CD8" s="325">
        <f>5.4*2</f>
        <v>10.8</v>
      </c>
      <c r="CE8" s="339">
        <f>2.6*2</f>
        <v>5.2</v>
      </c>
      <c r="CF8" s="339">
        <f>5.1*2</f>
        <v>10.199999999999999</v>
      </c>
      <c r="CG8" s="339">
        <f>5.1*2</f>
        <v>10.199999999999999</v>
      </c>
      <c r="CH8" s="325">
        <f>1.75*2</f>
        <v>3.5</v>
      </c>
      <c r="CI8" s="325">
        <f>1.75*2</f>
        <v>3.5</v>
      </c>
      <c r="CJ8" s="325">
        <f>2.3*2</f>
        <v>4.5999999999999996</v>
      </c>
      <c r="CK8" s="325">
        <f>2.3*2</f>
        <v>4.5999999999999996</v>
      </c>
      <c r="CL8" s="339">
        <f>1.7*2</f>
        <v>3.4</v>
      </c>
      <c r="CM8" s="339">
        <f>1.7*2</f>
        <v>3.4</v>
      </c>
      <c r="CN8" s="339">
        <f>3.42*2</f>
        <v>6.84</v>
      </c>
      <c r="CO8" s="325">
        <f>3.8*2</f>
        <v>7.6</v>
      </c>
      <c r="CP8" s="325">
        <f>1.9*2</f>
        <v>3.8</v>
      </c>
      <c r="CQ8" s="325">
        <f>1.9*2</f>
        <v>3.8</v>
      </c>
      <c r="CR8" s="325">
        <f>1.9*2</f>
        <v>3.8</v>
      </c>
      <c r="CS8" s="339">
        <f>5.4*2</f>
        <v>10.8</v>
      </c>
      <c r="CT8" s="339">
        <f>7.5*2</f>
        <v>15</v>
      </c>
      <c r="CU8" s="339">
        <f>4.26*2</f>
        <v>8.52</v>
      </c>
      <c r="CV8" s="325">
        <f>2*2</f>
        <v>4</v>
      </c>
      <c r="CW8" s="325">
        <f>7.4*2</f>
        <v>14.8</v>
      </c>
      <c r="CX8" s="325">
        <f>7.2*2</f>
        <v>14.4</v>
      </c>
      <c r="CY8" s="325">
        <f>0.89*2</f>
        <v>1.78</v>
      </c>
      <c r="CZ8" s="325"/>
      <c r="DA8" s="325"/>
      <c r="DB8" s="325"/>
      <c r="DC8" s="325"/>
      <c r="DD8" s="325"/>
      <c r="DE8" s="325"/>
      <c r="DF8" s="316"/>
      <c r="DG8" s="316"/>
      <c r="DH8" s="335" t="s">
        <v>1642</v>
      </c>
      <c r="DI8" s="316"/>
      <c r="DJ8" s="316"/>
      <c r="DK8" s="316"/>
      <c r="DL8" s="316"/>
      <c r="DM8" s="316"/>
      <c r="DN8" s="316"/>
      <c r="DO8" s="316"/>
    </row>
    <row r="9" spans="1:128">
      <c r="A9" s="316"/>
      <c r="B9" s="317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16"/>
      <c r="U9" s="333"/>
      <c r="V9" s="333"/>
      <c r="W9" s="325"/>
      <c r="X9" s="338"/>
      <c r="Y9" s="325"/>
      <c r="Z9" s="325"/>
      <c r="AA9" s="325"/>
      <c r="AB9" s="325"/>
      <c r="AC9" s="325"/>
      <c r="AD9" s="325"/>
      <c r="AE9" s="325"/>
      <c r="AF9" s="325"/>
      <c r="AG9" s="325"/>
      <c r="AH9" s="325"/>
      <c r="AI9" s="325"/>
      <c r="AJ9" s="325"/>
      <c r="AK9" s="325"/>
      <c r="AL9" s="325"/>
      <c r="AM9" s="325"/>
      <c r="AN9" s="325"/>
      <c r="AO9" s="325"/>
      <c r="AP9" s="325"/>
      <c r="AQ9" s="316"/>
      <c r="AR9" s="317"/>
      <c r="AS9" s="317"/>
      <c r="AT9" s="316"/>
      <c r="AU9" s="325"/>
      <c r="AV9" s="325"/>
      <c r="AW9" s="325"/>
      <c r="AX9" s="325"/>
      <c r="AY9" s="325"/>
      <c r="AZ9" s="333"/>
      <c r="BA9" s="325"/>
      <c r="BB9" s="325"/>
      <c r="BC9" s="325"/>
      <c r="BD9" s="325">
        <f>2.85*2</f>
        <v>5.7</v>
      </c>
      <c r="BE9" s="325">
        <f>2.85*2</f>
        <v>5.7</v>
      </c>
      <c r="BF9" s="325">
        <f>2.85*2</f>
        <v>5.7</v>
      </c>
      <c r="BG9" s="325">
        <f>2.85*2</f>
        <v>5.7</v>
      </c>
      <c r="BH9" s="325">
        <f>2.05*2</f>
        <v>4.0999999999999996</v>
      </c>
      <c r="BI9" s="325">
        <f>2.85*2</f>
        <v>5.7</v>
      </c>
      <c r="BJ9" s="325">
        <f>2.5*2</f>
        <v>5</v>
      </c>
      <c r="BK9" s="325">
        <f>2.05*2</f>
        <v>4.0999999999999996</v>
      </c>
      <c r="BL9" s="325">
        <f>2.85*2</f>
        <v>5.7</v>
      </c>
      <c r="BM9" s="325">
        <f>2.85*2</f>
        <v>5.7</v>
      </c>
      <c r="BN9" s="325">
        <f>2.5*2</f>
        <v>5</v>
      </c>
      <c r="BO9" s="325">
        <f>2.05*2</f>
        <v>4.0999999999999996</v>
      </c>
      <c r="BP9" s="325">
        <f>2.5*2</f>
        <v>5</v>
      </c>
      <c r="BQ9" s="325">
        <f>2.5*2</f>
        <v>5</v>
      </c>
      <c r="BR9" s="325">
        <f>2.05*2</f>
        <v>4.0999999999999996</v>
      </c>
      <c r="BS9" s="325">
        <f>2.5*2</f>
        <v>5</v>
      </c>
      <c r="BT9" s="325">
        <f>2.85*2</f>
        <v>5.7</v>
      </c>
      <c r="BU9" s="325"/>
      <c r="BV9" s="325">
        <f>2.5*2</f>
        <v>5</v>
      </c>
      <c r="BW9" s="325">
        <f>2.85*2</f>
        <v>5.7</v>
      </c>
      <c r="BX9" s="325"/>
      <c r="BY9" s="325"/>
      <c r="BZ9" s="325"/>
      <c r="CA9" s="325"/>
      <c r="CB9" s="339">
        <f>1.65*2</f>
        <v>3.3</v>
      </c>
      <c r="CC9" s="339">
        <f>3.75*2</f>
        <v>7.5</v>
      </c>
      <c r="CD9" s="339">
        <f>2.35*2</f>
        <v>4.7</v>
      </c>
      <c r="CE9" s="339">
        <f>2.35*2</f>
        <v>4.7</v>
      </c>
      <c r="CF9" s="339">
        <f>0.5*2</f>
        <v>1</v>
      </c>
      <c r="CG9" s="339">
        <f>0.4*2</f>
        <v>0.8</v>
      </c>
      <c r="CH9" s="325">
        <f>1.65*2</f>
        <v>3.3</v>
      </c>
      <c r="CI9" s="325">
        <f>3.75*2</f>
        <v>7.5</v>
      </c>
      <c r="CJ9" s="325">
        <f>0.65*2</f>
        <v>1.3</v>
      </c>
      <c r="CK9" s="325">
        <f>0.85*2</f>
        <v>1.7</v>
      </c>
      <c r="CL9" s="339">
        <f>0.65*2</f>
        <v>1.3</v>
      </c>
      <c r="CM9" s="339">
        <f>0.85*2</f>
        <v>1.7</v>
      </c>
      <c r="CN9" s="339">
        <f>1.65*2</f>
        <v>3.3</v>
      </c>
      <c r="CO9" s="325">
        <f>0.5*2</f>
        <v>1</v>
      </c>
      <c r="CP9" s="339">
        <f>3.75*2</f>
        <v>7.5</v>
      </c>
      <c r="CQ9" s="339">
        <f>1.65*2</f>
        <v>3.3</v>
      </c>
      <c r="CR9" s="339">
        <f>1.05*2</f>
        <v>2.1</v>
      </c>
      <c r="CS9" s="339">
        <f>0.5*2</f>
        <v>1</v>
      </c>
      <c r="CT9" s="339">
        <f>2.85*2</f>
        <v>5.7</v>
      </c>
      <c r="CU9" s="339">
        <f>1.65*2</f>
        <v>3.3</v>
      </c>
      <c r="CV9" s="339">
        <f>1.65*2</f>
        <v>3.3</v>
      </c>
      <c r="CW9" s="339">
        <f>2.1*2</f>
        <v>4.2</v>
      </c>
      <c r="CX9" s="339">
        <f>2.35*2</f>
        <v>4.7</v>
      </c>
      <c r="CY9" s="339">
        <f>1.65*2</f>
        <v>3.3</v>
      </c>
      <c r="CZ9" s="339"/>
      <c r="DA9" s="339"/>
      <c r="DB9" s="339"/>
      <c r="DC9" s="339"/>
      <c r="DD9" s="339"/>
      <c r="DE9" s="339"/>
      <c r="DF9" s="316"/>
      <c r="DG9" s="316"/>
      <c r="DH9" s="316"/>
      <c r="DI9" s="316"/>
      <c r="DJ9" s="316"/>
      <c r="DK9" s="316"/>
      <c r="DL9" s="316"/>
      <c r="DM9" s="316"/>
      <c r="DN9" s="316"/>
      <c r="DO9" s="316"/>
    </row>
    <row r="10" spans="1:128">
      <c r="A10" s="340"/>
      <c r="B10" s="317" t="s">
        <v>644</v>
      </c>
      <c r="C10" s="329" t="s">
        <v>187</v>
      </c>
      <c r="D10" s="329" t="s">
        <v>187</v>
      </c>
      <c r="E10" s="329" t="s">
        <v>187</v>
      </c>
      <c r="F10" s="329" t="s">
        <v>187</v>
      </c>
      <c r="G10" s="329" t="s">
        <v>187</v>
      </c>
      <c r="H10" s="329" t="s">
        <v>187</v>
      </c>
      <c r="I10" s="329" t="s">
        <v>187</v>
      </c>
      <c r="J10" s="329" t="s">
        <v>187</v>
      </c>
      <c r="K10" s="329" t="s">
        <v>187</v>
      </c>
      <c r="L10" s="329" t="s">
        <v>187</v>
      </c>
      <c r="M10" s="329" t="s">
        <v>187</v>
      </c>
      <c r="N10" s="329" t="s">
        <v>187</v>
      </c>
      <c r="O10" s="329" t="s">
        <v>187</v>
      </c>
      <c r="P10" s="329" t="s">
        <v>187</v>
      </c>
      <c r="Q10" s="329" t="s">
        <v>187</v>
      </c>
      <c r="R10" s="329" t="s">
        <v>187</v>
      </c>
      <c r="S10" s="329" t="s">
        <v>187</v>
      </c>
      <c r="T10" s="329" t="s">
        <v>187</v>
      </c>
      <c r="U10" s="341" t="s">
        <v>187</v>
      </c>
      <c r="V10" s="341" t="s">
        <v>187</v>
      </c>
      <c r="W10" s="341" t="s">
        <v>187</v>
      </c>
      <c r="X10" s="342" t="s">
        <v>187</v>
      </c>
      <c r="Y10" s="329" t="s">
        <v>187</v>
      </c>
      <c r="Z10" s="329" t="s">
        <v>187</v>
      </c>
      <c r="AA10" s="329" t="s">
        <v>187</v>
      </c>
      <c r="AB10" s="329" t="s">
        <v>187</v>
      </c>
      <c r="AC10" s="329" t="s">
        <v>187</v>
      </c>
      <c r="AD10" s="329" t="s">
        <v>187</v>
      </c>
      <c r="AE10" s="329" t="s">
        <v>187</v>
      </c>
      <c r="AF10" s="329" t="s">
        <v>187</v>
      </c>
      <c r="AG10" s="329" t="s">
        <v>187</v>
      </c>
      <c r="AH10" s="329" t="s">
        <v>187</v>
      </c>
      <c r="AI10" s="329" t="s">
        <v>187</v>
      </c>
      <c r="AJ10" s="329" t="s">
        <v>187</v>
      </c>
      <c r="AK10" s="329" t="s">
        <v>187</v>
      </c>
      <c r="AL10" s="329" t="s">
        <v>187</v>
      </c>
      <c r="AM10" s="329" t="s">
        <v>187</v>
      </c>
      <c r="AN10" s="329" t="s">
        <v>187</v>
      </c>
      <c r="AO10" s="329" t="s">
        <v>187</v>
      </c>
      <c r="AP10" s="329" t="s">
        <v>187</v>
      </c>
      <c r="AQ10" s="329" t="s">
        <v>188</v>
      </c>
      <c r="AR10" s="341" t="s">
        <v>188</v>
      </c>
      <c r="AS10" s="341" t="s">
        <v>188</v>
      </c>
      <c r="AT10" s="329" t="s">
        <v>188</v>
      </c>
      <c r="AU10" s="329" t="s">
        <v>187</v>
      </c>
      <c r="AV10" s="329" t="s">
        <v>187</v>
      </c>
      <c r="AW10" s="329" t="s">
        <v>187</v>
      </c>
      <c r="AX10" s="329" t="s">
        <v>187</v>
      </c>
      <c r="AY10" s="329" t="s">
        <v>187</v>
      </c>
      <c r="AZ10" s="341" t="s">
        <v>187</v>
      </c>
      <c r="BA10" s="329" t="s">
        <v>187</v>
      </c>
      <c r="BB10" s="329"/>
      <c r="BC10" s="329" t="s">
        <v>187</v>
      </c>
      <c r="BD10" s="329" t="s">
        <v>186</v>
      </c>
      <c r="BE10" s="329" t="s">
        <v>186</v>
      </c>
      <c r="BF10" s="329" t="s">
        <v>186</v>
      </c>
      <c r="BG10" s="329" t="s">
        <v>186</v>
      </c>
      <c r="BH10" s="329" t="s">
        <v>186</v>
      </c>
      <c r="BI10" s="329" t="s">
        <v>186</v>
      </c>
      <c r="BJ10" s="329" t="s">
        <v>186</v>
      </c>
      <c r="BK10" s="329" t="s">
        <v>186</v>
      </c>
      <c r="BL10" s="329" t="s">
        <v>186</v>
      </c>
      <c r="BM10" s="329" t="s">
        <v>186</v>
      </c>
      <c r="BN10" s="329" t="s">
        <v>186</v>
      </c>
      <c r="BO10" s="329" t="s">
        <v>186</v>
      </c>
      <c r="BP10" s="329" t="s">
        <v>186</v>
      </c>
      <c r="BQ10" s="329" t="s">
        <v>186</v>
      </c>
      <c r="BR10" s="329" t="s">
        <v>186</v>
      </c>
      <c r="BS10" s="329" t="s">
        <v>186</v>
      </c>
      <c r="BT10" s="329" t="s">
        <v>186</v>
      </c>
      <c r="BU10" s="329" t="s">
        <v>186</v>
      </c>
      <c r="BV10" s="329" t="s">
        <v>186</v>
      </c>
      <c r="BW10" s="329" t="s">
        <v>186</v>
      </c>
      <c r="BX10" s="329"/>
      <c r="BY10" s="329"/>
      <c r="BZ10" s="329"/>
      <c r="CA10" s="329"/>
      <c r="CB10" s="329" t="s">
        <v>186</v>
      </c>
      <c r="CC10" s="329" t="s">
        <v>186</v>
      </c>
      <c r="CD10" s="329" t="s">
        <v>186</v>
      </c>
      <c r="CE10" s="329" t="s">
        <v>186</v>
      </c>
      <c r="CF10" s="329" t="s">
        <v>186</v>
      </c>
      <c r="CG10" s="329" t="s">
        <v>186</v>
      </c>
      <c r="CH10" s="329" t="s">
        <v>186</v>
      </c>
      <c r="CI10" s="329" t="s">
        <v>186</v>
      </c>
      <c r="CJ10" s="329" t="s">
        <v>186</v>
      </c>
      <c r="CK10" s="329" t="s">
        <v>186</v>
      </c>
      <c r="CL10" s="329" t="s">
        <v>186</v>
      </c>
      <c r="CM10" s="329" t="s">
        <v>186</v>
      </c>
      <c r="CN10" s="329" t="s">
        <v>186</v>
      </c>
      <c r="CO10" s="329" t="s">
        <v>186</v>
      </c>
      <c r="CP10" s="329" t="s">
        <v>186</v>
      </c>
      <c r="CQ10" s="329" t="s">
        <v>186</v>
      </c>
      <c r="CR10" s="329" t="s">
        <v>186</v>
      </c>
      <c r="CS10" s="329" t="s">
        <v>186</v>
      </c>
      <c r="CT10" s="329" t="s">
        <v>186</v>
      </c>
      <c r="CU10" s="329" t="s">
        <v>186</v>
      </c>
      <c r="CV10" s="329" t="s">
        <v>186</v>
      </c>
      <c r="CW10" s="329" t="s">
        <v>186</v>
      </c>
      <c r="CX10" s="329" t="s">
        <v>186</v>
      </c>
      <c r="CY10" s="329" t="s">
        <v>186</v>
      </c>
      <c r="CZ10" s="329"/>
      <c r="DA10" s="329"/>
      <c r="DB10" s="329"/>
      <c r="DC10" s="329"/>
      <c r="DD10" s="329"/>
      <c r="DE10" s="329"/>
      <c r="DF10" s="329" t="s">
        <v>187</v>
      </c>
      <c r="DG10" s="329" t="s">
        <v>188</v>
      </c>
      <c r="DH10" s="329" t="s">
        <v>188</v>
      </c>
      <c r="DI10" s="329" t="s">
        <v>187</v>
      </c>
      <c r="DJ10" s="329" t="s">
        <v>188</v>
      </c>
      <c r="DK10" s="329"/>
      <c r="DL10" s="329" t="s">
        <v>188</v>
      </c>
      <c r="DM10" s="329" t="s">
        <v>188</v>
      </c>
      <c r="DN10" s="329" t="s">
        <v>187</v>
      </c>
      <c r="DO10" s="329" t="s">
        <v>187</v>
      </c>
    </row>
    <row r="11" spans="1:128" s="65" customFormat="1" ht="20.25">
      <c r="A11" s="343"/>
      <c r="B11" s="344"/>
      <c r="C11" s="345"/>
      <c r="D11" s="346"/>
      <c r="E11" s="346"/>
      <c r="F11" s="346"/>
      <c r="G11" s="346"/>
      <c r="H11" s="346"/>
      <c r="I11" s="346"/>
      <c r="J11" s="346"/>
      <c r="K11" s="346"/>
      <c r="L11" s="346"/>
      <c r="M11" s="346"/>
      <c r="N11" s="346"/>
      <c r="O11" s="346"/>
      <c r="P11" s="347"/>
      <c r="Q11" s="347"/>
      <c r="R11" s="347"/>
      <c r="S11" s="347"/>
      <c r="T11" s="348"/>
      <c r="U11" s="349"/>
      <c r="V11" s="349"/>
      <c r="W11" s="349"/>
      <c r="X11" s="345"/>
      <c r="Y11" s="345"/>
      <c r="Z11" s="345"/>
      <c r="AA11" s="345"/>
      <c r="AB11" s="345"/>
      <c r="AC11" s="345"/>
      <c r="AD11" s="345"/>
      <c r="AE11" s="345"/>
      <c r="AF11" s="345"/>
      <c r="AG11" s="345"/>
      <c r="AH11" s="345"/>
      <c r="AI11" s="345"/>
      <c r="AJ11" s="345"/>
      <c r="AK11" s="345"/>
      <c r="AL11" s="345"/>
      <c r="AM11" s="345"/>
      <c r="AN11" s="345"/>
      <c r="AO11" s="345"/>
      <c r="AP11" s="345"/>
      <c r="AQ11" s="345"/>
      <c r="AR11" s="345"/>
      <c r="AS11" s="350"/>
      <c r="AT11" s="351"/>
      <c r="AU11" s="349"/>
      <c r="AV11" s="345"/>
      <c r="AW11" s="345"/>
      <c r="AX11" s="345"/>
      <c r="AY11" s="351"/>
      <c r="AZ11" s="349"/>
      <c r="BA11" s="345"/>
      <c r="BB11" s="350"/>
      <c r="BC11" s="351"/>
      <c r="BD11" s="352"/>
      <c r="BE11" s="353"/>
      <c r="BF11" s="353"/>
      <c r="BG11" s="353"/>
      <c r="BH11" s="353"/>
      <c r="BI11" s="353"/>
      <c r="BJ11" s="353"/>
      <c r="BK11" s="353"/>
      <c r="BL11" s="353"/>
      <c r="BM11" s="353"/>
      <c r="BN11" s="353"/>
      <c r="BO11" s="353"/>
      <c r="BP11" s="353"/>
      <c r="BQ11" s="353"/>
      <c r="BR11" s="353"/>
      <c r="BS11" s="353"/>
      <c r="BT11" s="353"/>
      <c r="BU11" s="353"/>
      <c r="BV11" s="353"/>
      <c r="BW11" s="353"/>
      <c r="BX11" s="353"/>
      <c r="BY11" s="353"/>
      <c r="BZ11" s="353"/>
      <c r="CA11" s="353"/>
      <c r="CB11" s="353"/>
      <c r="CC11" s="353"/>
      <c r="CD11" s="353"/>
      <c r="CE11" s="353"/>
      <c r="CF11" s="353"/>
      <c r="CG11" s="353"/>
      <c r="CH11" s="353"/>
      <c r="CI11" s="354"/>
      <c r="CJ11" s="354"/>
      <c r="CK11" s="354"/>
      <c r="CL11" s="354"/>
      <c r="CM11" s="354"/>
      <c r="CN11" s="354"/>
      <c r="CO11" s="354"/>
      <c r="CP11" s="354"/>
      <c r="CQ11" s="354"/>
      <c r="CR11" s="354"/>
      <c r="CS11" s="354"/>
      <c r="CT11" s="354"/>
      <c r="CU11" s="354"/>
      <c r="CV11" s="354"/>
      <c r="CW11" s="354"/>
      <c r="CX11" s="354"/>
      <c r="CY11" s="354"/>
      <c r="CZ11" s="354"/>
      <c r="DA11" s="354"/>
      <c r="DB11" s="354"/>
      <c r="DC11" s="354"/>
      <c r="DD11" s="354"/>
      <c r="DE11" s="354"/>
      <c r="DF11" s="354"/>
      <c r="DG11" s="354"/>
      <c r="DH11" s="354"/>
      <c r="DI11" s="354"/>
      <c r="DJ11" s="354"/>
      <c r="DK11" s="354"/>
      <c r="DL11" s="354"/>
      <c r="DM11" s="354"/>
      <c r="DN11" s="354"/>
      <c r="DO11" s="348"/>
      <c r="DP11" s="311"/>
      <c r="DQ11" s="311"/>
      <c r="DR11" s="311"/>
      <c r="DS11" s="311"/>
      <c r="DT11" s="311"/>
      <c r="DU11" s="311"/>
      <c r="DV11" s="311"/>
      <c r="DW11" s="311"/>
      <c r="DX11" s="311"/>
    </row>
    <row r="12" spans="1:128">
      <c r="A12" s="355"/>
      <c r="B12" s="356" t="s">
        <v>185</v>
      </c>
      <c r="C12" s="357"/>
      <c r="D12" s="358"/>
      <c r="E12" s="358"/>
      <c r="F12" s="358"/>
      <c r="G12" s="358"/>
      <c r="H12" s="358"/>
      <c r="I12" s="358"/>
      <c r="J12" s="358"/>
      <c r="K12" s="358"/>
      <c r="L12" s="358"/>
      <c r="M12" s="358"/>
      <c r="N12" s="358"/>
      <c r="O12" s="358"/>
      <c r="P12" s="359"/>
      <c r="Q12" s="359"/>
      <c r="R12" s="359"/>
      <c r="S12" s="359"/>
      <c r="T12" s="360"/>
      <c r="U12" s="361"/>
      <c r="V12" s="361"/>
      <c r="W12" s="361"/>
      <c r="X12" s="357"/>
      <c r="Y12" s="357"/>
      <c r="Z12" s="357"/>
      <c r="AA12" s="357"/>
      <c r="AB12" s="357"/>
      <c r="AC12" s="357"/>
      <c r="AD12" s="357"/>
      <c r="AE12" s="357"/>
      <c r="AF12" s="357"/>
      <c r="AG12" s="357"/>
      <c r="AH12" s="357"/>
      <c r="AI12" s="357"/>
      <c r="AJ12" s="357"/>
      <c r="AK12" s="357"/>
      <c r="AL12" s="357"/>
      <c r="AM12" s="357"/>
      <c r="AN12" s="357"/>
      <c r="AO12" s="357"/>
      <c r="AP12" s="357"/>
      <c r="AQ12" s="357"/>
      <c r="AR12" s="357"/>
      <c r="AS12" s="362"/>
      <c r="AT12" s="360"/>
      <c r="AU12" s="363"/>
      <c r="AV12" s="364"/>
      <c r="AW12" s="364"/>
      <c r="AX12" s="364"/>
      <c r="AY12" s="365"/>
      <c r="AZ12" s="363"/>
      <c r="BA12" s="364"/>
      <c r="BB12" s="395"/>
      <c r="BC12" s="365"/>
      <c r="BD12" s="366"/>
      <c r="BE12" s="358"/>
      <c r="BF12" s="358"/>
      <c r="BG12" s="358"/>
      <c r="BH12" s="358"/>
      <c r="BI12" s="358"/>
      <c r="BJ12" s="358"/>
      <c r="BK12" s="358"/>
      <c r="BL12" s="358"/>
      <c r="BM12" s="358"/>
      <c r="BN12" s="358"/>
      <c r="BO12" s="358"/>
      <c r="BP12" s="358"/>
      <c r="BQ12" s="358"/>
      <c r="BR12" s="358"/>
      <c r="BS12" s="358"/>
      <c r="BT12" s="358"/>
      <c r="BU12" s="358"/>
      <c r="BV12" s="358"/>
      <c r="BW12" s="358"/>
      <c r="BX12" s="358"/>
      <c r="BY12" s="358"/>
      <c r="BZ12" s="358"/>
      <c r="CA12" s="358"/>
      <c r="CB12" s="358"/>
      <c r="CC12" s="358"/>
      <c r="CD12" s="358"/>
      <c r="CE12" s="358"/>
      <c r="CF12" s="358"/>
      <c r="CG12" s="358"/>
      <c r="CH12" s="358"/>
      <c r="CI12" s="359"/>
      <c r="CJ12" s="359"/>
      <c r="CK12" s="359"/>
      <c r="CL12" s="359"/>
      <c r="CM12" s="359"/>
      <c r="CN12" s="359"/>
      <c r="CO12" s="359"/>
      <c r="CP12" s="359"/>
      <c r="CQ12" s="359"/>
      <c r="CR12" s="359"/>
      <c r="CS12" s="359"/>
      <c r="CT12" s="359"/>
      <c r="CU12" s="359"/>
      <c r="CV12" s="359"/>
      <c r="CW12" s="359"/>
      <c r="CX12" s="359"/>
      <c r="CY12" s="359"/>
      <c r="CZ12" s="359"/>
      <c r="DA12" s="359"/>
      <c r="DB12" s="359"/>
      <c r="DC12" s="359"/>
      <c r="DD12" s="359"/>
      <c r="DE12" s="359"/>
      <c r="DF12" s="359"/>
      <c r="DG12" s="359"/>
      <c r="DH12" s="359"/>
      <c r="DI12" s="359"/>
      <c r="DJ12" s="359"/>
      <c r="DK12" s="359"/>
      <c r="DL12" s="359"/>
      <c r="DM12" s="359"/>
      <c r="DN12" s="359"/>
      <c r="DO12" s="367"/>
    </row>
    <row r="13" spans="1:128">
      <c r="A13" s="355"/>
      <c r="B13" s="366" t="s">
        <v>1333</v>
      </c>
      <c r="C13" s="357">
        <v>200</v>
      </c>
      <c r="D13" s="358"/>
      <c r="E13" s="358"/>
      <c r="F13" s="358"/>
      <c r="G13" s="358"/>
      <c r="H13" s="358">
        <f>20+200+76</f>
        <v>296</v>
      </c>
      <c r="I13" s="358"/>
      <c r="J13" s="358"/>
      <c r="K13" s="358"/>
      <c r="L13" s="358"/>
      <c r="M13" s="358"/>
      <c r="N13" s="358"/>
      <c r="O13" s="358"/>
      <c r="P13" s="359"/>
      <c r="Q13" s="359"/>
      <c r="R13" s="359"/>
      <c r="S13" s="359"/>
      <c r="T13" s="360"/>
      <c r="U13" s="361"/>
      <c r="V13" s="361"/>
      <c r="W13" s="361"/>
      <c r="X13" s="357"/>
      <c r="Y13" s="357"/>
      <c r="Z13" s="357"/>
      <c r="AA13" s="357"/>
      <c r="AB13" s="357"/>
      <c r="AC13" s="357"/>
      <c r="AD13" s="357"/>
      <c r="AE13" s="357"/>
      <c r="AF13" s="357"/>
      <c r="AG13" s="357"/>
      <c r="AH13" s="357"/>
      <c r="AI13" s="357"/>
      <c r="AJ13" s="357"/>
      <c r="AK13" s="357"/>
      <c r="AL13" s="357"/>
      <c r="AM13" s="357"/>
      <c r="AN13" s="357"/>
      <c r="AO13" s="357"/>
      <c r="AP13" s="357"/>
      <c r="AQ13" s="357"/>
      <c r="AR13" s="357"/>
      <c r="AS13" s="362"/>
      <c r="AT13" s="360"/>
      <c r="AU13" s="363"/>
      <c r="AV13" s="364"/>
      <c r="AW13" s="364">
        <f>C13+H13</f>
        <v>496</v>
      </c>
      <c r="AX13" s="364"/>
      <c r="AY13" s="365"/>
      <c r="AZ13" s="363"/>
      <c r="BA13" s="364"/>
      <c r="BB13" s="395"/>
      <c r="BC13" s="365">
        <f t="shared" ref="BC13:BC53" si="0">SUM(AU13:AW13)</f>
        <v>496</v>
      </c>
      <c r="BD13" s="366"/>
      <c r="BE13" s="358"/>
      <c r="BF13" s="358"/>
      <c r="BG13" s="358"/>
      <c r="BH13" s="358"/>
      <c r="BI13" s="358"/>
      <c r="BJ13" s="358"/>
      <c r="BK13" s="358"/>
      <c r="BL13" s="358"/>
      <c r="BM13" s="358"/>
      <c r="BN13" s="358"/>
      <c r="BO13" s="358"/>
      <c r="BP13" s="358"/>
      <c r="BQ13" s="358"/>
      <c r="BR13" s="358"/>
      <c r="BS13" s="358"/>
      <c r="BT13" s="358"/>
      <c r="BU13" s="358"/>
      <c r="BV13" s="358"/>
      <c r="BW13" s="358"/>
      <c r="BX13" s="358"/>
      <c r="BY13" s="358"/>
      <c r="BZ13" s="358"/>
      <c r="CA13" s="358"/>
      <c r="CB13" s="358"/>
      <c r="CC13" s="358"/>
      <c r="CD13" s="358"/>
      <c r="CE13" s="358"/>
      <c r="CF13" s="358"/>
      <c r="CG13" s="358"/>
      <c r="CH13" s="358"/>
      <c r="CI13" s="359"/>
      <c r="CJ13" s="359"/>
      <c r="CK13" s="359"/>
      <c r="CL13" s="359"/>
      <c r="CM13" s="359"/>
      <c r="CN13" s="359"/>
      <c r="CO13" s="359"/>
      <c r="CP13" s="359"/>
      <c r="CQ13" s="359"/>
      <c r="CR13" s="359"/>
      <c r="CS13" s="359"/>
      <c r="CT13" s="359"/>
      <c r="CU13" s="359"/>
      <c r="CV13" s="359"/>
      <c r="CW13" s="359"/>
      <c r="CX13" s="359"/>
      <c r="CY13" s="359"/>
      <c r="CZ13" s="359"/>
      <c r="DA13" s="359"/>
      <c r="DB13" s="359"/>
      <c r="DC13" s="359"/>
      <c r="DD13" s="359"/>
      <c r="DE13" s="359"/>
      <c r="DF13" s="359"/>
      <c r="DG13" s="359"/>
      <c r="DH13" s="359"/>
      <c r="DI13" s="359"/>
      <c r="DJ13" s="359"/>
      <c r="DK13" s="359"/>
      <c r="DL13" s="359"/>
      <c r="DM13" s="359"/>
      <c r="DN13" s="359"/>
      <c r="DO13" s="367"/>
      <c r="DP13" s="338" t="s">
        <v>1285</v>
      </c>
      <c r="DQ13" s="338" t="s">
        <v>1286</v>
      </c>
      <c r="DR13" s="338" t="s">
        <v>1287</v>
      </c>
      <c r="DS13" s="338" t="s">
        <v>1332</v>
      </c>
      <c r="DT13" s="338"/>
    </row>
    <row r="14" spans="1:128">
      <c r="A14" s="355"/>
      <c r="B14" s="368" t="s">
        <v>350</v>
      </c>
      <c r="C14" s="357"/>
      <c r="D14" s="358"/>
      <c r="E14" s="369"/>
      <c r="F14" s="369">
        <f>ROUNDUP(26+19,0)</f>
        <v>45</v>
      </c>
      <c r="G14" s="358"/>
      <c r="H14" s="358">
        <v>9</v>
      </c>
      <c r="I14" s="358"/>
      <c r="J14" s="369"/>
      <c r="K14" s="358"/>
      <c r="L14" s="358"/>
      <c r="M14" s="358"/>
      <c r="N14" s="358"/>
      <c r="O14" s="358"/>
      <c r="P14" s="359"/>
      <c r="Q14" s="359"/>
      <c r="R14" s="359"/>
      <c r="S14" s="359"/>
      <c r="T14" s="360"/>
      <c r="U14" s="361"/>
      <c r="V14" s="361"/>
      <c r="W14" s="361"/>
      <c r="X14" s="357"/>
      <c r="Y14" s="357"/>
      <c r="Z14" s="357"/>
      <c r="AA14" s="357"/>
      <c r="AB14" s="357"/>
      <c r="AC14" s="357"/>
      <c r="AD14" s="357"/>
      <c r="AE14" s="357"/>
      <c r="AF14" s="357"/>
      <c r="AG14" s="357"/>
      <c r="AH14" s="357"/>
      <c r="AI14" s="357"/>
      <c r="AJ14" s="357"/>
      <c r="AK14" s="357"/>
      <c r="AL14" s="357"/>
      <c r="AM14" s="357"/>
      <c r="AN14" s="357"/>
      <c r="AO14" s="357"/>
      <c r="AP14" s="357"/>
      <c r="AQ14" s="357"/>
      <c r="AR14" s="357"/>
      <c r="AS14" s="362"/>
      <c r="AT14" s="360"/>
      <c r="AU14" s="363"/>
      <c r="AV14" s="364"/>
      <c r="AW14" s="370">
        <f>F14</f>
        <v>45</v>
      </c>
      <c r="AX14" s="364"/>
      <c r="AY14" s="365"/>
      <c r="AZ14" s="363"/>
      <c r="BA14" s="364"/>
      <c r="BB14" s="395"/>
      <c r="BC14" s="365">
        <f t="shared" si="0"/>
        <v>45</v>
      </c>
      <c r="BD14" s="371">
        <v>1</v>
      </c>
      <c r="BE14" s="358"/>
      <c r="BF14" s="358"/>
      <c r="BG14" s="358"/>
      <c r="BH14" s="358"/>
      <c r="BI14" s="358"/>
      <c r="BJ14" s="358"/>
      <c r="BK14" s="358"/>
      <c r="BL14" s="381">
        <v>1</v>
      </c>
      <c r="BM14" s="358">
        <v>1</v>
      </c>
      <c r="BN14" s="358"/>
      <c r="BO14" s="358"/>
      <c r="BP14" s="358"/>
      <c r="BQ14" s="358"/>
      <c r="BR14" s="358"/>
      <c r="BS14" s="358"/>
      <c r="BT14" s="358"/>
      <c r="BU14" s="358"/>
      <c r="BV14" s="358"/>
      <c r="BW14" s="358">
        <v>1</v>
      </c>
      <c r="BX14" s="358"/>
      <c r="BY14" s="358"/>
      <c r="BZ14" s="358"/>
      <c r="CA14" s="358"/>
      <c r="CB14" s="358"/>
      <c r="CC14" s="358"/>
      <c r="CD14" s="358"/>
      <c r="CE14" s="358"/>
      <c r="CF14" s="358"/>
      <c r="CG14" s="358"/>
      <c r="CH14" s="358"/>
      <c r="CI14" s="359"/>
      <c r="CJ14" s="359"/>
      <c r="CK14" s="359"/>
      <c r="CL14" s="359"/>
      <c r="CM14" s="359"/>
      <c r="CN14" s="359"/>
      <c r="CO14" s="359"/>
      <c r="CP14" s="359"/>
      <c r="CQ14" s="359"/>
      <c r="CR14" s="359"/>
      <c r="CS14" s="359"/>
      <c r="CT14" s="359"/>
      <c r="CU14" s="359"/>
      <c r="CV14" s="359"/>
      <c r="CW14" s="359"/>
      <c r="CX14" s="359"/>
      <c r="CY14" s="359"/>
      <c r="CZ14" s="359"/>
      <c r="DA14" s="359"/>
      <c r="DB14" s="359"/>
      <c r="DC14" s="359"/>
      <c r="DD14" s="359"/>
      <c r="DE14" s="359"/>
      <c r="DF14" s="359"/>
      <c r="DG14" s="359"/>
      <c r="DH14" s="359"/>
      <c r="DI14" s="359"/>
      <c r="DJ14" s="359"/>
      <c r="DK14" s="359"/>
      <c r="DL14" s="359"/>
      <c r="DM14" s="359"/>
      <c r="DN14" s="359"/>
      <c r="DO14" s="367"/>
      <c r="DP14" s="310">
        <f>BD66</f>
        <v>1</v>
      </c>
      <c r="DQ14" s="310">
        <f>BD99</f>
        <v>0</v>
      </c>
      <c r="DR14" s="310">
        <f>BD153</f>
        <v>0</v>
      </c>
      <c r="DS14" s="310">
        <f>BD165</f>
        <v>0</v>
      </c>
      <c r="DU14" s="708">
        <f>SUM(DP14:DT14)</f>
        <v>1</v>
      </c>
      <c r="DV14" s="309" t="s">
        <v>1861</v>
      </c>
      <c r="DX14" s="372">
        <f>ROUNDUP(BD7*4000,0)</f>
        <v>47310</v>
      </c>
    </row>
    <row r="15" spans="1:128" s="63" customFormat="1">
      <c r="A15" s="373"/>
      <c r="B15" s="374" t="s">
        <v>351</v>
      </c>
      <c r="C15" s="357"/>
      <c r="D15" s="375">
        <f>ROUNDUP(10.4*54.4,0)</f>
        <v>566</v>
      </c>
      <c r="E15" s="357"/>
      <c r="F15" s="357"/>
      <c r="G15" s="357"/>
      <c r="H15" s="375">
        <f>ROUNDUP(5*42.4,0)</f>
        <v>212</v>
      </c>
      <c r="I15" s="357"/>
      <c r="J15" s="357"/>
      <c r="K15" s="375"/>
      <c r="L15" s="357"/>
      <c r="M15" s="357"/>
      <c r="N15" s="357"/>
      <c r="O15" s="357"/>
      <c r="P15" s="362"/>
      <c r="Q15" s="362"/>
      <c r="R15" s="362"/>
      <c r="S15" s="362"/>
      <c r="T15" s="360"/>
      <c r="U15" s="361"/>
      <c r="V15" s="361"/>
      <c r="W15" s="361"/>
      <c r="X15" s="357"/>
      <c r="Y15" s="357"/>
      <c r="Z15" s="357"/>
      <c r="AA15" s="357"/>
      <c r="AB15" s="357"/>
      <c r="AC15" s="357"/>
      <c r="AD15" s="357"/>
      <c r="AE15" s="357"/>
      <c r="AF15" s="357"/>
      <c r="AG15" s="357"/>
      <c r="AH15" s="357"/>
      <c r="AI15" s="357"/>
      <c r="AJ15" s="357"/>
      <c r="AK15" s="357"/>
      <c r="AL15" s="357"/>
      <c r="AM15" s="357"/>
      <c r="AN15" s="357"/>
      <c r="AO15" s="357"/>
      <c r="AP15" s="357"/>
      <c r="AQ15" s="357"/>
      <c r="AR15" s="357"/>
      <c r="AS15" s="362"/>
      <c r="AT15" s="360"/>
      <c r="AU15" s="361"/>
      <c r="AV15" s="357"/>
      <c r="AW15" s="375">
        <f>H15</f>
        <v>212</v>
      </c>
      <c r="AX15" s="357"/>
      <c r="AY15" s="360"/>
      <c r="AZ15" s="361"/>
      <c r="BA15" s="357"/>
      <c r="BB15" s="362"/>
      <c r="BC15" s="365">
        <f t="shared" si="0"/>
        <v>212</v>
      </c>
      <c r="BD15" s="361"/>
      <c r="BE15" s="357"/>
      <c r="BF15" s="357"/>
      <c r="BG15" s="357"/>
      <c r="BH15" s="357"/>
      <c r="BI15" s="357"/>
      <c r="BJ15" s="357"/>
      <c r="BK15" s="357"/>
      <c r="BL15" s="357"/>
      <c r="BM15" s="357"/>
      <c r="BN15" s="357"/>
      <c r="BO15" s="357"/>
      <c r="BP15" s="357"/>
      <c r="BQ15" s="357"/>
      <c r="BR15" s="357"/>
      <c r="BS15" s="357"/>
      <c r="BT15" s="357"/>
      <c r="BU15" s="357"/>
      <c r="BV15" s="357"/>
      <c r="BW15" s="357"/>
      <c r="BX15" s="357"/>
      <c r="BY15" s="357"/>
      <c r="BZ15" s="357"/>
      <c r="CA15" s="357"/>
      <c r="CB15" s="357"/>
      <c r="CC15" s="357"/>
      <c r="CD15" s="357"/>
      <c r="CE15" s="357"/>
      <c r="CF15" s="357"/>
      <c r="CG15" s="357"/>
      <c r="CH15" s="357"/>
      <c r="CI15" s="362"/>
      <c r="CJ15" s="362"/>
      <c r="CK15" s="362"/>
      <c r="CL15" s="362"/>
      <c r="CM15" s="362"/>
      <c r="CN15" s="362"/>
      <c r="CO15" s="362"/>
      <c r="CP15" s="362"/>
      <c r="CQ15" s="362"/>
      <c r="CR15" s="362"/>
      <c r="CS15" s="362"/>
      <c r="CT15" s="362">
        <v>1</v>
      </c>
      <c r="CU15" s="362"/>
      <c r="CV15" s="362"/>
      <c r="CW15" s="362">
        <v>1</v>
      </c>
      <c r="CX15" s="362"/>
      <c r="CY15" s="362"/>
      <c r="CZ15" s="362"/>
      <c r="DA15" s="362"/>
      <c r="DB15" s="362"/>
      <c r="DC15" s="362"/>
      <c r="DD15" s="362"/>
      <c r="DE15" s="362"/>
      <c r="DF15" s="362"/>
      <c r="DG15" s="362"/>
      <c r="DH15" s="362"/>
      <c r="DI15" s="362"/>
      <c r="DJ15" s="362"/>
      <c r="DK15" s="362"/>
      <c r="DL15" s="362"/>
      <c r="DM15" s="362"/>
      <c r="DN15" s="362"/>
      <c r="DO15" s="360"/>
      <c r="DP15" s="310">
        <f>BE66</f>
        <v>3</v>
      </c>
      <c r="DQ15" s="310">
        <f>BE99</f>
        <v>3</v>
      </c>
      <c r="DR15" s="310">
        <f>BE153</f>
        <v>1</v>
      </c>
      <c r="DS15" s="310">
        <f>BE165</f>
        <v>0</v>
      </c>
      <c r="DT15" s="310"/>
      <c r="DU15" s="310">
        <f>SUM(DP15:DT15)</f>
        <v>7</v>
      </c>
      <c r="DV15" s="309" t="s">
        <v>1862</v>
      </c>
      <c r="DW15" s="310"/>
      <c r="DX15" s="372">
        <f>ROUNDUP(BE7*4000,0)</f>
        <v>61560</v>
      </c>
    </row>
    <row r="16" spans="1:128" s="63" customFormat="1">
      <c r="A16" s="376"/>
      <c r="B16" s="368" t="s">
        <v>1344</v>
      </c>
      <c r="C16" s="375">
        <f>ROUNDUP(25.78,0)</f>
        <v>26</v>
      </c>
      <c r="D16" s="375"/>
      <c r="E16" s="357"/>
      <c r="F16" s="357"/>
      <c r="G16" s="357"/>
      <c r="H16" s="375"/>
      <c r="I16" s="357"/>
      <c r="J16" s="357"/>
      <c r="K16" s="375"/>
      <c r="L16" s="357"/>
      <c r="M16" s="357"/>
      <c r="N16" s="357"/>
      <c r="O16" s="357"/>
      <c r="P16" s="362"/>
      <c r="Q16" s="362"/>
      <c r="R16" s="362"/>
      <c r="S16" s="362"/>
      <c r="T16" s="360"/>
      <c r="U16" s="361">
        <f>ROUNDUP((3.1*6.9),0)</f>
        <v>22</v>
      </c>
      <c r="V16" s="361">
        <f>ROUNDUP((23*6.9)-BO7,0)</f>
        <v>157</v>
      </c>
      <c r="W16" s="361"/>
      <c r="X16" s="357"/>
      <c r="Y16" s="357"/>
      <c r="Z16" s="357"/>
      <c r="AA16" s="357"/>
      <c r="AB16" s="357"/>
      <c r="AC16" s="375">
        <f>ROUNDUP((11.3*4.7)-(BO7+CH7),0)</f>
        <v>48</v>
      </c>
      <c r="AD16" s="357">
        <f>ROUNDUP((U16/2)+(V16*2),0)</f>
        <v>325</v>
      </c>
      <c r="AE16" s="357"/>
      <c r="AF16" s="357"/>
      <c r="AG16" s="357"/>
      <c r="AH16" s="357"/>
      <c r="AI16" s="357"/>
      <c r="AJ16" s="357"/>
      <c r="AK16" s="357"/>
      <c r="AL16" s="357"/>
      <c r="AM16" s="357"/>
      <c r="AN16" s="357"/>
      <c r="AO16" s="357"/>
      <c r="AP16" s="357"/>
      <c r="AQ16" s="357">
        <f>ROUNDUP((3*6.9)+BO9,0)</f>
        <v>25</v>
      </c>
      <c r="AR16" s="357">
        <f>6.9*2</f>
        <v>13.8</v>
      </c>
      <c r="AS16" s="362"/>
      <c r="AT16" s="360">
        <f>BO8</f>
        <v>1.1000000000000001</v>
      </c>
      <c r="AU16" s="361"/>
      <c r="AV16" s="357"/>
      <c r="AW16" s="375">
        <f>C16</f>
        <v>26</v>
      </c>
      <c r="AX16" s="357"/>
      <c r="AY16" s="360"/>
      <c r="AZ16" s="361">
        <f t="shared" ref="AZ16:AZ26" si="1">AD16</f>
        <v>325</v>
      </c>
      <c r="BA16" s="357">
        <f t="shared" ref="BA16:BA22" si="2">AC16</f>
        <v>48</v>
      </c>
      <c r="BB16" s="362"/>
      <c r="BC16" s="365">
        <f t="shared" si="0"/>
        <v>26</v>
      </c>
      <c r="BD16" s="361"/>
      <c r="BE16" s="357"/>
      <c r="BF16" s="357"/>
      <c r="BG16" s="357"/>
      <c r="BH16" s="357"/>
      <c r="BI16" s="357"/>
      <c r="BJ16" s="357"/>
      <c r="BK16" s="357"/>
      <c r="BL16" s="357"/>
      <c r="BM16" s="357"/>
      <c r="BN16" s="357"/>
      <c r="BO16" s="375">
        <v>1</v>
      </c>
      <c r="BP16" s="357"/>
      <c r="BQ16" s="357"/>
      <c r="BR16" s="357"/>
      <c r="BS16" s="357"/>
      <c r="BT16" s="357"/>
      <c r="BU16" s="357"/>
      <c r="BV16" s="357"/>
      <c r="BW16" s="357"/>
      <c r="BX16" s="357"/>
      <c r="BY16" s="357"/>
      <c r="BZ16" s="357"/>
      <c r="CA16" s="357"/>
      <c r="CB16" s="357"/>
      <c r="CC16" s="357"/>
      <c r="CD16" s="357"/>
      <c r="CE16" s="357"/>
      <c r="CF16" s="357"/>
      <c r="CG16" s="357"/>
      <c r="CH16" s="357"/>
      <c r="CI16" s="362"/>
      <c r="CJ16" s="362"/>
      <c r="CK16" s="362"/>
      <c r="CL16" s="362"/>
      <c r="CM16" s="362"/>
      <c r="CN16" s="362"/>
      <c r="CO16" s="362"/>
      <c r="CP16" s="362"/>
      <c r="CQ16" s="362"/>
      <c r="CR16" s="362"/>
      <c r="CS16" s="362"/>
      <c r="CT16" s="362"/>
      <c r="CU16" s="362"/>
      <c r="CV16" s="362"/>
      <c r="CW16" s="362"/>
      <c r="CX16" s="362"/>
      <c r="CY16" s="362"/>
      <c r="CZ16" s="362"/>
      <c r="DA16" s="362"/>
      <c r="DB16" s="362"/>
      <c r="DC16" s="362"/>
      <c r="DD16" s="362"/>
      <c r="DE16" s="362"/>
      <c r="DF16" s="362"/>
      <c r="DG16" s="362"/>
      <c r="DH16" s="362"/>
      <c r="DI16" s="362"/>
      <c r="DJ16" s="362"/>
      <c r="DK16" s="362"/>
      <c r="DL16" s="362"/>
      <c r="DM16" s="362"/>
      <c r="DN16" s="362"/>
      <c r="DO16" s="360"/>
      <c r="DP16" s="310">
        <f>BF66</f>
        <v>1</v>
      </c>
      <c r="DQ16" s="310">
        <f>BF99</f>
        <v>1</v>
      </c>
      <c r="DR16" s="310">
        <f>BF153</f>
        <v>1</v>
      </c>
      <c r="DS16" s="310">
        <f>BF165</f>
        <v>0</v>
      </c>
      <c r="DT16" s="310"/>
      <c r="DU16" s="310">
        <f t="shared" ref="DU16:DU24" si="3">SUM(DP16:DT16)</f>
        <v>3</v>
      </c>
      <c r="DV16" s="309" t="s">
        <v>1863</v>
      </c>
      <c r="DW16" s="310"/>
      <c r="DX16" s="372">
        <f>ROUNDUP(BF7*4000,0)</f>
        <v>61560</v>
      </c>
    </row>
    <row r="17" spans="1:128" s="63" customFormat="1">
      <c r="A17" s="373"/>
      <c r="B17" s="374" t="s">
        <v>251</v>
      </c>
      <c r="C17" s="357"/>
      <c r="D17" s="375">
        <f>ROUNDUP(1335.83+73.44,0)-566</f>
        <v>844</v>
      </c>
      <c r="E17" s="357"/>
      <c r="F17" s="357"/>
      <c r="G17" s="357"/>
      <c r="H17" s="357"/>
      <c r="I17" s="357"/>
      <c r="J17" s="357"/>
      <c r="K17" s="357"/>
      <c r="L17" s="357"/>
      <c r="M17" s="357"/>
      <c r="N17" s="357"/>
      <c r="O17" s="357"/>
      <c r="P17" s="362"/>
      <c r="Q17" s="362"/>
      <c r="R17" s="362"/>
      <c r="S17" s="362"/>
      <c r="T17" s="360"/>
      <c r="U17" s="361"/>
      <c r="V17" s="361"/>
      <c r="W17" s="361"/>
      <c r="X17" s="357"/>
      <c r="Y17" s="357"/>
      <c r="Z17" s="357"/>
      <c r="AA17" s="357"/>
      <c r="AB17" s="357"/>
      <c r="AC17" s="375"/>
      <c r="AD17" s="357">
        <f>ROUNDUP(((257*4.7)+((2.4*4.8)*8))-(BD7+(BE7*3)+BF7+BG7+BI7+BL7+(BM7*2)+(BP7*4)+BQ7+BR7+BW7+(CC7*2)+(CD7*5)+CE7+(CF7*2)+CI7+CT7),0)</f>
        <v>908</v>
      </c>
      <c r="AE17" s="357"/>
      <c r="AF17" s="357"/>
      <c r="AG17" s="357"/>
      <c r="AH17" s="357"/>
      <c r="AI17" s="357"/>
      <c r="AJ17" s="357"/>
      <c r="AK17" s="357"/>
      <c r="AL17" s="357"/>
      <c r="AM17" s="357"/>
      <c r="AN17" s="357"/>
      <c r="AO17" s="357"/>
      <c r="AP17" s="357"/>
      <c r="AQ17" s="357"/>
      <c r="AR17" s="357"/>
      <c r="AS17" s="362"/>
      <c r="AT17" s="360"/>
      <c r="AU17" s="374"/>
      <c r="AV17" s="357"/>
      <c r="AW17" s="357">
        <f>D17</f>
        <v>844</v>
      </c>
      <c r="AX17" s="357"/>
      <c r="AY17" s="360"/>
      <c r="AZ17" s="361">
        <f>AD17</f>
        <v>908</v>
      </c>
      <c r="BA17" s="357">
        <f t="shared" si="2"/>
        <v>0</v>
      </c>
      <c r="BB17" s="362"/>
      <c r="BC17" s="365">
        <f t="shared" si="0"/>
        <v>844</v>
      </c>
      <c r="BD17" s="361"/>
      <c r="BE17" s="357"/>
      <c r="BF17" s="357"/>
      <c r="BG17" s="357"/>
      <c r="BH17" s="357"/>
      <c r="BI17" s="375"/>
      <c r="BJ17" s="375"/>
      <c r="BK17" s="375"/>
      <c r="BL17" s="357"/>
      <c r="BM17" s="357"/>
      <c r="BN17" s="357"/>
      <c r="BO17" s="357"/>
      <c r="BP17" s="357"/>
      <c r="BQ17" s="357"/>
      <c r="BR17" s="357"/>
      <c r="BS17" s="357"/>
      <c r="BT17" s="375"/>
      <c r="BU17" s="375"/>
      <c r="BV17" s="357"/>
      <c r="BW17" s="357"/>
      <c r="BX17" s="357"/>
      <c r="BY17" s="357"/>
      <c r="BZ17" s="357"/>
      <c r="CA17" s="357"/>
      <c r="CB17" s="357"/>
      <c r="CC17" s="357">
        <v>2</v>
      </c>
      <c r="CD17" s="357"/>
      <c r="CE17" s="357"/>
      <c r="CF17" s="357"/>
      <c r="CG17" s="357"/>
      <c r="CH17" s="357"/>
      <c r="CI17" s="362">
        <v>1</v>
      </c>
      <c r="CJ17" s="362"/>
      <c r="CK17" s="362"/>
      <c r="CL17" s="362"/>
      <c r="CM17" s="362"/>
      <c r="CN17" s="362"/>
      <c r="CO17" s="362"/>
      <c r="CP17" s="362"/>
      <c r="CQ17" s="362"/>
      <c r="CR17" s="362"/>
      <c r="CS17" s="362"/>
      <c r="CT17" s="362"/>
      <c r="CU17" s="362"/>
      <c r="CV17" s="362"/>
      <c r="CW17" s="362"/>
      <c r="CX17" s="362"/>
      <c r="CY17" s="362"/>
      <c r="CZ17" s="362"/>
      <c r="DA17" s="362"/>
      <c r="DB17" s="362"/>
      <c r="DC17" s="362"/>
      <c r="DD17" s="362"/>
      <c r="DE17" s="362"/>
      <c r="DF17" s="362"/>
      <c r="DG17" s="362"/>
      <c r="DH17" s="362"/>
      <c r="DI17" s="362"/>
      <c r="DJ17" s="362"/>
      <c r="DK17" s="362"/>
      <c r="DL17" s="362"/>
      <c r="DM17" s="362"/>
      <c r="DN17" s="362"/>
      <c r="DO17" s="360"/>
      <c r="DP17" s="310">
        <f>BG66</f>
        <v>1</v>
      </c>
      <c r="DQ17" s="310">
        <f>BG99</f>
        <v>1</v>
      </c>
      <c r="DR17" s="310">
        <f>BG153</f>
        <v>0</v>
      </c>
      <c r="DS17" s="310">
        <f>BG165</f>
        <v>0</v>
      </c>
      <c r="DT17" s="310"/>
      <c r="DU17" s="310">
        <f t="shared" si="3"/>
        <v>2</v>
      </c>
      <c r="DV17" s="309" t="s">
        <v>1864</v>
      </c>
      <c r="DW17" s="310"/>
      <c r="DX17" s="372">
        <f>ROUNDUP(BG7*4000,0)</f>
        <v>23940</v>
      </c>
    </row>
    <row r="18" spans="1:128" s="63" customFormat="1">
      <c r="A18" s="373"/>
      <c r="B18" s="374" t="s">
        <v>1337</v>
      </c>
      <c r="C18" s="357"/>
      <c r="D18" s="375">
        <f>ROUNDUP(8.6*24.05,0)</f>
        <v>207</v>
      </c>
      <c r="E18" s="375"/>
      <c r="F18" s="357"/>
      <c r="G18" s="357"/>
      <c r="H18" s="357"/>
      <c r="I18" s="357"/>
      <c r="J18" s="357"/>
      <c r="K18" s="357"/>
      <c r="L18" s="357"/>
      <c r="M18" s="357"/>
      <c r="N18" s="357"/>
      <c r="O18" s="357"/>
      <c r="P18" s="362"/>
      <c r="Q18" s="362"/>
      <c r="R18" s="362"/>
      <c r="S18" s="362"/>
      <c r="T18" s="360"/>
      <c r="U18" s="361">
        <f>ROUNDUP((74*4.7)-((BE7*2)+BG7+(CB7*6)+(CD7*2)),0)</f>
        <v>236</v>
      </c>
      <c r="V18" s="361"/>
      <c r="W18" s="361"/>
      <c r="X18" s="357"/>
      <c r="Y18" s="357"/>
      <c r="Z18" s="357">
        <f>ROUNDUP((15*6)+((0.4*14)*6),0)</f>
        <v>124</v>
      </c>
      <c r="AA18" s="357"/>
      <c r="AB18" s="357"/>
      <c r="AC18" s="375">
        <f>ROUNDUP(((6+8.8+36.4+8.7)*4.7)-((BE7*2)+BG7+(CB7*6)+(CD7*2)),0)</f>
        <v>169</v>
      </c>
      <c r="AD18" s="357">
        <f>ROUNDUP((74*4.7)-((BE7*2)+(CC7*4)+(CD7*2)+CX7),0)</f>
        <v>199</v>
      </c>
      <c r="AE18" s="357"/>
      <c r="AF18" s="357"/>
      <c r="AG18" s="357"/>
      <c r="AH18" s="357"/>
      <c r="AI18" s="357"/>
      <c r="AJ18" s="357"/>
      <c r="AK18" s="357"/>
      <c r="AL18" s="357"/>
      <c r="AM18" s="357"/>
      <c r="AN18" s="357"/>
      <c r="AO18" s="357"/>
      <c r="AP18" s="357"/>
      <c r="AQ18" s="357">
        <f>ROUNDUP((BE9*2)+BG9+(CB8*6)+(CD8*2),0)</f>
        <v>100</v>
      </c>
      <c r="AR18" s="357"/>
      <c r="AS18" s="362"/>
      <c r="AT18" s="360">
        <f>ROUNDUP((BE8*2)+BG8+(CB8*6)+(CD8*2),0)</f>
        <v>96</v>
      </c>
      <c r="AU18" s="374"/>
      <c r="AV18" s="357"/>
      <c r="AW18" s="357">
        <f>D18</f>
        <v>207</v>
      </c>
      <c r="AX18" s="357"/>
      <c r="AY18" s="360"/>
      <c r="AZ18" s="361">
        <f>AD18+Z18</f>
        <v>323</v>
      </c>
      <c r="BA18" s="357">
        <f t="shared" si="2"/>
        <v>169</v>
      </c>
      <c r="BB18" s="362"/>
      <c r="BC18" s="365">
        <f t="shared" si="0"/>
        <v>207</v>
      </c>
      <c r="BD18" s="361"/>
      <c r="BE18" s="375">
        <v>2</v>
      </c>
      <c r="BF18" s="375"/>
      <c r="BG18" s="375"/>
      <c r="BH18" s="357"/>
      <c r="BI18" s="357"/>
      <c r="BJ18" s="357"/>
      <c r="BK18" s="357"/>
      <c r="BL18" s="357"/>
      <c r="BM18" s="357"/>
      <c r="BN18" s="357"/>
      <c r="BO18" s="357"/>
      <c r="BP18" s="357"/>
      <c r="BQ18" s="357"/>
      <c r="BR18" s="357"/>
      <c r="BS18" s="357"/>
      <c r="BT18" s="357"/>
      <c r="BU18" s="357"/>
      <c r="BV18" s="357"/>
      <c r="BW18" s="357"/>
      <c r="BX18" s="357"/>
      <c r="BY18" s="357"/>
      <c r="BZ18" s="357"/>
      <c r="CA18" s="357"/>
      <c r="CB18" s="375"/>
      <c r="CC18" s="375">
        <v>4</v>
      </c>
      <c r="CD18" s="375">
        <v>2</v>
      </c>
      <c r="CE18" s="357"/>
      <c r="CF18" s="357"/>
      <c r="CG18" s="357"/>
      <c r="CH18" s="357"/>
      <c r="CI18" s="362"/>
      <c r="CJ18" s="362"/>
      <c r="CK18" s="362"/>
      <c r="CL18" s="362"/>
      <c r="CM18" s="362"/>
      <c r="CN18" s="362"/>
      <c r="CO18" s="362"/>
      <c r="CP18" s="362"/>
      <c r="CQ18" s="362"/>
      <c r="CR18" s="362"/>
      <c r="CS18" s="362"/>
      <c r="CT18" s="362"/>
      <c r="CU18" s="362"/>
      <c r="CV18" s="362"/>
      <c r="CW18" s="362"/>
      <c r="CX18" s="362"/>
      <c r="CY18" s="362"/>
      <c r="CZ18" s="362"/>
      <c r="DA18" s="362"/>
      <c r="DB18" s="362"/>
      <c r="DC18" s="362"/>
      <c r="DD18" s="362"/>
      <c r="DE18" s="362"/>
      <c r="DF18" s="362"/>
      <c r="DG18" s="362"/>
      <c r="DH18" s="362"/>
      <c r="DI18" s="362"/>
      <c r="DJ18" s="362"/>
      <c r="DK18" s="362"/>
      <c r="DL18" s="362"/>
      <c r="DM18" s="362"/>
      <c r="DN18" s="362"/>
      <c r="DO18" s="360"/>
      <c r="DP18" s="310">
        <f>BH66</f>
        <v>1</v>
      </c>
      <c r="DQ18" s="310">
        <f>BH99</f>
        <v>1</v>
      </c>
      <c r="DR18" s="310">
        <f>BH153</f>
        <v>1</v>
      </c>
      <c r="DS18" s="310">
        <f>BH165</f>
        <v>0</v>
      </c>
      <c r="DT18" s="310"/>
      <c r="DU18" s="310">
        <f t="shared" si="3"/>
        <v>3</v>
      </c>
      <c r="DV18" s="309" t="s">
        <v>1865</v>
      </c>
      <c r="DW18" s="310"/>
      <c r="DX18" s="372">
        <f>ROUNDUP(BH7*5000,0)</f>
        <v>8200</v>
      </c>
    </row>
    <row r="19" spans="1:128" s="63" customFormat="1">
      <c r="A19" s="373"/>
      <c r="B19" s="374" t="s">
        <v>1338</v>
      </c>
      <c r="C19" s="357"/>
      <c r="D19" s="375">
        <f>ROUNDUP(8.6*12.05,0)</f>
        <v>104</v>
      </c>
      <c r="E19" s="375"/>
      <c r="F19" s="357"/>
      <c r="G19" s="357"/>
      <c r="H19" s="357"/>
      <c r="I19" s="357"/>
      <c r="J19" s="357"/>
      <c r="K19" s="357"/>
      <c r="L19" s="357"/>
      <c r="M19" s="357"/>
      <c r="N19" s="357"/>
      <c r="O19" s="357"/>
      <c r="P19" s="362"/>
      <c r="Q19" s="362"/>
      <c r="R19" s="362"/>
      <c r="S19" s="362"/>
      <c r="T19" s="360"/>
      <c r="U19" s="361">
        <f>ROUNDUP((42*4.7)-(BF7+(CB7*2)+CD7),0)</f>
        <v>153</v>
      </c>
      <c r="V19" s="361"/>
      <c r="W19" s="361"/>
      <c r="X19" s="357"/>
      <c r="Y19" s="357"/>
      <c r="Z19" s="357"/>
      <c r="AA19" s="357"/>
      <c r="AB19" s="357"/>
      <c r="AC19" s="375">
        <f>ROUNDUP(((5.82+12.25)*4.8)-(CB7*2),0)</f>
        <v>70</v>
      </c>
      <c r="AD19" s="357">
        <f>ROUNDUP((42*4.7)-(BG7+(CC7*2)+CX7),0)</f>
        <v>137</v>
      </c>
      <c r="AE19" s="357"/>
      <c r="AF19" s="357"/>
      <c r="AG19" s="357"/>
      <c r="AH19" s="357"/>
      <c r="AI19" s="357"/>
      <c r="AJ19" s="357"/>
      <c r="AK19" s="357"/>
      <c r="AL19" s="357"/>
      <c r="AM19" s="357"/>
      <c r="AN19" s="357"/>
      <c r="AO19" s="357"/>
      <c r="AP19" s="357"/>
      <c r="AQ19" s="357">
        <f>ROUNDUP((BF9+(CB9*2)+CD9),0)</f>
        <v>17</v>
      </c>
      <c r="AR19" s="357"/>
      <c r="AS19" s="362"/>
      <c r="AT19" s="360">
        <f>ROUNDUP((BF8+(CB8*2)+CD8),0)</f>
        <v>38</v>
      </c>
      <c r="AU19" s="374"/>
      <c r="AV19" s="357"/>
      <c r="AW19" s="357">
        <f>D19</f>
        <v>104</v>
      </c>
      <c r="AX19" s="357"/>
      <c r="AY19" s="360"/>
      <c r="AZ19" s="361">
        <f t="shared" si="1"/>
        <v>137</v>
      </c>
      <c r="BA19" s="357">
        <f t="shared" si="2"/>
        <v>70</v>
      </c>
      <c r="BB19" s="362"/>
      <c r="BC19" s="365">
        <f t="shared" si="0"/>
        <v>104</v>
      </c>
      <c r="BD19" s="361"/>
      <c r="BE19" s="357"/>
      <c r="BF19" s="375"/>
      <c r="BG19" s="357">
        <v>1</v>
      </c>
      <c r="BH19" s="357"/>
      <c r="BI19" s="357"/>
      <c r="BJ19" s="357"/>
      <c r="BK19" s="357"/>
      <c r="BL19" s="357"/>
      <c r="BM19" s="357"/>
      <c r="BN19" s="357"/>
      <c r="BO19" s="357"/>
      <c r="BP19" s="357"/>
      <c r="BQ19" s="357"/>
      <c r="BR19" s="357"/>
      <c r="BS19" s="357"/>
      <c r="BT19" s="357"/>
      <c r="BU19" s="357"/>
      <c r="BV19" s="357"/>
      <c r="BW19" s="357"/>
      <c r="BX19" s="357"/>
      <c r="BY19" s="357"/>
      <c r="BZ19" s="357"/>
      <c r="CA19" s="357"/>
      <c r="CB19" s="375"/>
      <c r="CC19" s="375">
        <v>2</v>
      </c>
      <c r="CD19" s="375"/>
      <c r="CE19" s="357"/>
      <c r="CF19" s="357"/>
      <c r="CG19" s="357"/>
      <c r="CH19" s="357"/>
      <c r="CI19" s="362"/>
      <c r="CJ19" s="362"/>
      <c r="CK19" s="362"/>
      <c r="CL19" s="362"/>
      <c r="CM19" s="362"/>
      <c r="CN19" s="362"/>
      <c r="CO19" s="362"/>
      <c r="CP19" s="362"/>
      <c r="CQ19" s="362"/>
      <c r="CR19" s="362"/>
      <c r="CS19" s="362"/>
      <c r="CT19" s="362"/>
      <c r="CU19" s="362"/>
      <c r="CV19" s="362"/>
      <c r="CW19" s="362"/>
      <c r="CX19" s="362">
        <v>1</v>
      </c>
      <c r="CY19" s="362"/>
      <c r="CZ19" s="362"/>
      <c r="DA19" s="362"/>
      <c r="DB19" s="362"/>
      <c r="DC19" s="362"/>
      <c r="DD19" s="362"/>
      <c r="DE19" s="362"/>
      <c r="DF19" s="362"/>
      <c r="DG19" s="362"/>
      <c r="DH19" s="362"/>
      <c r="DI19" s="362"/>
      <c r="DJ19" s="362"/>
      <c r="DK19" s="362"/>
      <c r="DL19" s="362"/>
      <c r="DM19" s="362"/>
      <c r="DN19" s="362"/>
      <c r="DO19" s="360"/>
      <c r="DP19" s="310">
        <f>BI66</f>
        <v>2</v>
      </c>
      <c r="DQ19" s="310">
        <f>BI99</f>
        <v>0</v>
      </c>
      <c r="DR19" s="310">
        <f>BI153</f>
        <v>0</v>
      </c>
      <c r="DS19" s="310">
        <f>BI165</f>
        <v>0</v>
      </c>
      <c r="DT19" s="310"/>
      <c r="DU19" s="310">
        <f t="shared" si="3"/>
        <v>2</v>
      </c>
      <c r="DV19" s="309" t="s">
        <v>1866</v>
      </c>
      <c r="DW19" s="310"/>
      <c r="DX19" s="372">
        <f>ROUNDUP(BI7*3000,0)</f>
        <v>17955</v>
      </c>
    </row>
    <row r="20" spans="1:128" s="63" customFormat="1">
      <c r="A20" s="657"/>
      <c r="B20" s="658" t="s">
        <v>1339</v>
      </c>
      <c r="C20" s="357"/>
      <c r="D20" s="375">
        <f>ROUNDUP(8.6*12.05,0)</f>
        <v>104</v>
      </c>
      <c r="E20" s="375"/>
      <c r="F20" s="357"/>
      <c r="G20" s="357"/>
      <c r="H20" s="357"/>
      <c r="I20" s="357"/>
      <c r="J20" s="357"/>
      <c r="K20" s="357"/>
      <c r="L20" s="357"/>
      <c r="M20" s="357"/>
      <c r="N20" s="357"/>
      <c r="O20" s="357"/>
      <c r="P20" s="362"/>
      <c r="Q20" s="362"/>
      <c r="R20" s="362"/>
      <c r="S20" s="362"/>
      <c r="T20" s="360"/>
      <c r="U20" s="659">
        <f>ROUNDUP((37*4.7)-(BF7+(CC7*2)+CD7),0)</f>
        <v>108</v>
      </c>
      <c r="V20" s="659"/>
      <c r="W20" s="659"/>
      <c r="X20" s="357"/>
      <c r="Y20" s="357"/>
      <c r="Z20" s="357"/>
      <c r="AA20" s="357"/>
      <c r="AB20" s="357"/>
      <c r="AC20" s="375"/>
      <c r="AD20" s="357">
        <f>ROUNDUP((37*4.7)-(BF7+(CC7*2)+CD7),0)</f>
        <v>108</v>
      </c>
      <c r="AE20" s="357"/>
      <c r="AF20" s="357"/>
      <c r="AG20" s="357"/>
      <c r="AH20" s="357"/>
      <c r="AI20" s="357"/>
      <c r="AJ20" s="357"/>
      <c r="AK20" s="357"/>
      <c r="AL20" s="357"/>
      <c r="AM20" s="357"/>
      <c r="AN20" s="357"/>
      <c r="AO20" s="357"/>
      <c r="AP20" s="357"/>
      <c r="AQ20" s="357">
        <f>ROUND(10*4.7,0)</f>
        <v>47</v>
      </c>
      <c r="AR20" s="357"/>
      <c r="AS20" s="362"/>
      <c r="AT20" s="360">
        <f>BE8+(CC8*3)+(CD8*2)+CE8</f>
        <v>62.800000000000004</v>
      </c>
      <c r="AU20" s="658"/>
      <c r="AV20" s="357"/>
      <c r="AW20" s="357">
        <f>D20</f>
        <v>104</v>
      </c>
      <c r="AX20" s="357"/>
      <c r="AY20" s="360"/>
      <c r="AZ20" s="361">
        <f t="shared" si="1"/>
        <v>108</v>
      </c>
      <c r="BA20" s="357"/>
      <c r="BB20" s="362"/>
      <c r="BC20" s="365">
        <f t="shared" si="0"/>
        <v>104</v>
      </c>
      <c r="BD20" s="659"/>
      <c r="BE20" s="357"/>
      <c r="BF20" s="375">
        <v>1</v>
      </c>
      <c r="BG20" s="357"/>
      <c r="BH20" s="357"/>
      <c r="BI20" s="357"/>
      <c r="BJ20" s="357"/>
      <c r="BK20" s="357"/>
      <c r="BL20" s="357"/>
      <c r="BM20" s="357"/>
      <c r="BN20" s="357"/>
      <c r="BO20" s="357"/>
      <c r="BP20" s="357"/>
      <c r="BQ20" s="357"/>
      <c r="BR20" s="357"/>
      <c r="BS20" s="357"/>
      <c r="BT20" s="357"/>
      <c r="BU20" s="357"/>
      <c r="BV20" s="357"/>
      <c r="BW20" s="357"/>
      <c r="BX20" s="357"/>
      <c r="BY20" s="357"/>
      <c r="BZ20" s="357"/>
      <c r="CA20" s="357"/>
      <c r="CB20" s="375"/>
      <c r="CC20" s="375">
        <v>2</v>
      </c>
      <c r="CD20" s="375">
        <v>1</v>
      </c>
      <c r="CE20" s="357"/>
      <c r="CF20" s="357"/>
      <c r="CG20" s="357"/>
      <c r="CH20" s="357"/>
      <c r="CI20" s="362"/>
      <c r="CJ20" s="362"/>
      <c r="CK20" s="362"/>
      <c r="CL20" s="362"/>
      <c r="CM20" s="362"/>
      <c r="CN20" s="362"/>
      <c r="CO20" s="362"/>
      <c r="CP20" s="362"/>
      <c r="CQ20" s="362"/>
      <c r="CR20" s="362"/>
      <c r="CS20" s="362"/>
      <c r="CT20" s="362"/>
      <c r="CU20" s="362"/>
      <c r="CV20" s="362"/>
      <c r="CW20" s="362"/>
      <c r="CX20" s="362"/>
      <c r="CY20" s="362"/>
      <c r="CZ20" s="362"/>
      <c r="DA20" s="362"/>
      <c r="DB20" s="362"/>
      <c r="DC20" s="362"/>
      <c r="DD20" s="362"/>
      <c r="DE20" s="362"/>
      <c r="DF20" s="362"/>
      <c r="DG20" s="362"/>
      <c r="DH20" s="362"/>
      <c r="DI20" s="362"/>
      <c r="DJ20" s="362"/>
      <c r="DK20" s="362"/>
      <c r="DL20" s="362"/>
      <c r="DM20" s="362"/>
      <c r="DN20" s="362"/>
      <c r="DO20" s="360"/>
      <c r="DP20" s="310">
        <f>BJ66</f>
        <v>0</v>
      </c>
      <c r="DQ20" s="310">
        <f>BJ99</f>
        <v>1</v>
      </c>
      <c r="DR20" s="310">
        <f>BJ153</f>
        <v>1</v>
      </c>
      <c r="DS20" s="310">
        <f>BJ165</f>
        <v>0</v>
      </c>
      <c r="DT20" s="310"/>
      <c r="DU20" s="310">
        <f t="shared" si="3"/>
        <v>2</v>
      </c>
      <c r="DV20" s="309" t="s">
        <v>1867</v>
      </c>
      <c r="DW20" s="310"/>
      <c r="DX20" s="372">
        <f>BJ7*3000</f>
        <v>15750</v>
      </c>
    </row>
    <row r="21" spans="1:128" s="63" customFormat="1">
      <c r="A21" s="373"/>
      <c r="B21" s="374" t="s">
        <v>1340</v>
      </c>
      <c r="C21" s="357"/>
      <c r="D21" s="375">
        <f>ROUNDUP(114.99,0)</f>
        <v>115</v>
      </c>
      <c r="E21" s="375"/>
      <c r="F21" s="357"/>
      <c r="G21" s="357"/>
      <c r="H21" s="357"/>
      <c r="I21" s="357"/>
      <c r="J21" s="357"/>
      <c r="K21" s="357"/>
      <c r="L21" s="357"/>
      <c r="M21" s="357"/>
      <c r="N21" s="357"/>
      <c r="O21" s="357"/>
      <c r="P21" s="362"/>
      <c r="Q21" s="362"/>
      <c r="R21" s="362"/>
      <c r="S21" s="362"/>
      <c r="T21" s="360"/>
      <c r="U21" s="361">
        <f>ROUNDUP((52*4.7)-(BE7+(CC7*3)+(CD7*2)+CE7),0)</f>
        <v>141</v>
      </c>
      <c r="V21" s="361"/>
      <c r="W21" s="361"/>
      <c r="X21" s="357"/>
      <c r="Y21" s="357"/>
      <c r="Z21" s="357"/>
      <c r="AA21" s="357"/>
      <c r="AB21" s="357"/>
      <c r="AC21" s="375">
        <f>ROUNDUP(((6.01+19.25)*4.8)-(CB7*3),0)</f>
        <v>97</v>
      </c>
      <c r="AD21" s="357">
        <f>U21</f>
        <v>141</v>
      </c>
      <c r="AE21" s="357"/>
      <c r="AF21" s="357"/>
      <c r="AG21" s="357"/>
      <c r="AH21" s="357"/>
      <c r="AI21" s="357"/>
      <c r="AJ21" s="357"/>
      <c r="AK21" s="357"/>
      <c r="AL21" s="357"/>
      <c r="AM21" s="357"/>
      <c r="AN21" s="357"/>
      <c r="AO21" s="357"/>
      <c r="AP21" s="357"/>
      <c r="AQ21" s="357">
        <f>ROUNDUP(BE9+(CC9*3)+(CD9*2)+CE9,0)</f>
        <v>43</v>
      </c>
      <c r="AR21" s="357"/>
      <c r="AS21" s="362"/>
      <c r="AT21" s="360">
        <f>ROUNDUP(BE8+(CC8*3)+(CD8*2)+CE8,0)</f>
        <v>63</v>
      </c>
      <c r="AU21" s="374"/>
      <c r="AV21" s="357"/>
      <c r="AW21" s="357">
        <f>D21</f>
        <v>115</v>
      </c>
      <c r="AX21" s="357"/>
      <c r="AY21" s="360"/>
      <c r="AZ21" s="361">
        <f t="shared" si="1"/>
        <v>141</v>
      </c>
      <c r="BA21" s="357">
        <f t="shared" si="2"/>
        <v>97</v>
      </c>
      <c r="BB21" s="362"/>
      <c r="BC21" s="365">
        <f t="shared" si="0"/>
        <v>115</v>
      </c>
      <c r="BD21" s="361"/>
      <c r="BE21" s="375">
        <v>1</v>
      </c>
      <c r="BF21" s="357"/>
      <c r="BG21" s="357"/>
      <c r="BH21" s="357"/>
      <c r="BI21" s="357"/>
      <c r="BJ21" s="357"/>
      <c r="BK21" s="357"/>
      <c r="BL21" s="357"/>
      <c r="BM21" s="357"/>
      <c r="BN21" s="357"/>
      <c r="BO21" s="357"/>
      <c r="BP21" s="357"/>
      <c r="BQ21" s="357"/>
      <c r="BR21" s="357"/>
      <c r="BS21" s="357"/>
      <c r="BT21" s="357"/>
      <c r="BU21" s="357"/>
      <c r="BV21" s="357"/>
      <c r="BW21" s="357"/>
      <c r="BX21" s="357"/>
      <c r="BY21" s="357"/>
      <c r="BZ21" s="357"/>
      <c r="CA21" s="357"/>
      <c r="CB21" s="375"/>
      <c r="CC21" s="375">
        <v>3</v>
      </c>
      <c r="CD21" s="375">
        <v>2</v>
      </c>
      <c r="CE21" s="375">
        <v>1</v>
      </c>
      <c r="CF21" s="357"/>
      <c r="CG21" s="357"/>
      <c r="CH21" s="357"/>
      <c r="CI21" s="362"/>
      <c r="CJ21" s="362"/>
      <c r="CK21" s="362"/>
      <c r="CL21" s="362"/>
      <c r="CM21" s="362"/>
      <c r="CN21" s="362"/>
      <c r="CO21" s="362"/>
      <c r="CP21" s="362"/>
      <c r="CQ21" s="362"/>
      <c r="CR21" s="362"/>
      <c r="CS21" s="362"/>
      <c r="CT21" s="362"/>
      <c r="CU21" s="362"/>
      <c r="CV21" s="362"/>
      <c r="CW21" s="362"/>
      <c r="CX21" s="362"/>
      <c r="CY21" s="362"/>
      <c r="CZ21" s="362"/>
      <c r="DA21" s="362"/>
      <c r="DB21" s="362"/>
      <c r="DC21" s="362"/>
      <c r="DD21" s="362"/>
      <c r="DE21" s="362"/>
      <c r="DF21" s="362"/>
      <c r="DG21" s="362"/>
      <c r="DH21" s="362"/>
      <c r="DI21" s="362"/>
      <c r="DJ21" s="362"/>
      <c r="DK21" s="362"/>
      <c r="DL21" s="362"/>
      <c r="DM21" s="362"/>
      <c r="DN21" s="362"/>
      <c r="DO21" s="360"/>
      <c r="DP21" s="310">
        <f>BK66</f>
        <v>2</v>
      </c>
      <c r="DQ21" s="310">
        <f>BK99</f>
        <v>0</v>
      </c>
      <c r="DR21" s="310">
        <f>BK153</f>
        <v>0</v>
      </c>
      <c r="DS21" s="310">
        <f>BK165</f>
        <v>1</v>
      </c>
      <c r="DT21" s="310"/>
      <c r="DU21" s="310">
        <f t="shared" si="3"/>
        <v>3</v>
      </c>
      <c r="DV21" s="309" t="s">
        <v>1327</v>
      </c>
      <c r="DW21" s="310"/>
      <c r="DX21" s="372">
        <f>ROUNDUP(BK7*5000,0)</f>
        <v>19475</v>
      </c>
    </row>
    <row r="22" spans="1:128" s="63" customFormat="1">
      <c r="A22" s="376"/>
      <c r="B22" s="374" t="s">
        <v>362</v>
      </c>
      <c r="C22" s="375">
        <v>11</v>
      </c>
      <c r="D22" s="375"/>
      <c r="E22" s="375"/>
      <c r="F22" s="357"/>
      <c r="G22" s="357"/>
      <c r="H22" s="357"/>
      <c r="I22" s="357"/>
      <c r="J22" s="357"/>
      <c r="K22" s="357"/>
      <c r="L22" s="357"/>
      <c r="M22" s="357"/>
      <c r="N22" s="357"/>
      <c r="O22" s="357"/>
      <c r="P22" s="362"/>
      <c r="Q22" s="362"/>
      <c r="R22" s="362"/>
      <c r="S22" s="362"/>
      <c r="T22" s="360"/>
      <c r="U22" s="361">
        <f>ROUNDUP((14*4.7)-BR7,0)</f>
        <v>64</v>
      </c>
      <c r="V22" s="361"/>
      <c r="W22" s="361"/>
      <c r="X22" s="357"/>
      <c r="Y22" s="357"/>
      <c r="Z22" s="357"/>
      <c r="AA22" s="357"/>
      <c r="AB22" s="357"/>
      <c r="AC22" s="375">
        <f>ROUNDUP(((6+3.3)*4.7)-CB7,0)</f>
        <v>36</v>
      </c>
      <c r="AD22" s="357">
        <f>U22</f>
        <v>64</v>
      </c>
      <c r="AE22" s="357"/>
      <c r="AF22" s="357"/>
      <c r="AG22" s="357"/>
      <c r="AH22" s="357"/>
      <c r="AI22" s="357"/>
      <c r="AJ22" s="357"/>
      <c r="AK22" s="357"/>
      <c r="AL22" s="357"/>
      <c r="AM22" s="357"/>
      <c r="AN22" s="357"/>
      <c r="AO22" s="357"/>
      <c r="AP22" s="357"/>
      <c r="AQ22" s="357">
        <f>ROUNDUP(BK9+CB9,0)</f>
        <v>8</v>
      </c>
      <c r="AR22" s="357"/>
      <c r="AS22" s="362"/>
      <c r="AT22" s="360">
        <f>ROUNDUP(BK8+CB8,0)</f>
        <v>13</v>
      </c>
      <c r="AU22" s="374"/>
      <c r="AV22" s="357"/>
      <c r="AW22" s="357">
        <f>C22</f>
        <v>11</v>
      </c>
      <c r="AX22" s="357"/>
      <c r="AY22" s="360"/>
      <c r="AZ22" s="361">
        <f t="shared" si="1"/>
        <v>64</v>
      </c>
      <c r="BA22" s="357">
        <f t="shared" si="2"/>
        <v>36</v>
      </c>
      <c r="BB22" s="362"/>
      <c r="BC22" s="365">
        <f t="shared" si="0"/>
        <v>11</v>
      </c>
      <c r="BD22" s="361"/>
      <c r="BE22" s="357"/>
      <c r="BF22" s="357"/>
      <c r="BG22" s="357"/>
      <c r="BH22" s="357"/>
      <c r="BI22" s="357"/>
      <c r="BJ22" s="357"/>
      <c r="BK22" s="375"/>
      <c r="BL22" s="357"/>
      <c r="BM22" s="357"/>
      <c r="BN22" s="357"/>
      <c r="BO22" s="357"/>
      <c r="BP22" s="357"/>
      <c r="BQ22" s="357"/>
      <c r="BR22" s="357">
        <v>1</v>
      </c>
      <c r="BS22" s="357"/>
      <c r="BT22" s="357"/>
      <c r="BU22" s="357"/>
      <c r="BV22" s="357"/>
      <c r="BW22" s="357"/>
      <c r="BX22" s="357"/>
      <c r="BY22" s="357"/>
      <c r="BZ22" s="357"/>
      <c r="CA22" s="357"/>
      <c r="CB22" s="375"/>
      <c r="CC22" s="375"/>
      <c r="CD22" s="357"/>
      <c r="CE22" s="357"/>
      <c r="CF22" s="357"/>
      <c r="CG22" s="357"/>
      <c r="CH22" s="357"/>
      <c r="CI22" s="362"/>
      <c r="CJ22" s="362"/>
      <c r="CK22" s="362"/>
      <c r="CL22" s="362"/>
      <c r="CM22" s="362"/>
      <c r="CN22" s="362"/>
      <c r="CO22" s="362"/>
      <c r="CP22" s="362"/>
      <c r="CQ22" s="362"/>
      <c r="CR22" s="362"/>
      <c r="CS22" s="362"/>
      <c r="CT22" s="362"/>
      <c r="CU22" s="362"/>
      <c r="CV22" s="362"/>
      <c r="CW22" s="362"/>
      <c r="CX22" s="362"/>
      <c r="CY22" s="362"/>
      <c r="CZ22" s="362"/>
      <c r="DA22" s="362"/>
      <c r="DB22" s="362"/>
      <c r="DC22" s="362"/>
      <c r="DD22" s="362"/>
      <c r="DE22" s="362"/>
      <c r="DF22" s="362"/>
      <c r="DG22" s="362"/>
      <c r="DH22" s="362"/>
      <c r="DI22" s="362"/>
      <c r="DJ22" s="362"/>
      <c r="DK22" s="362"/>
      <c r="DL22" s="362"/>
      <c r="DM22" s="362"/>
      <c r="DN22" s="362"/>
      <c r="DO22" s="360"/>
      <c r="DP22" s="310">
        <f>BL66</f>
        <v>1</v>
      </c>
      <c r="DQ22" s="310">
        <f>BL99</f>
        <v>0</v>
      </c>
      <c r="DR22" s="310">
        <f>BL153</f>
        <v>0</v>
      </c>
      <c r="DS22" s="310">
        <f>BL165</f>
        <v>0</v>
      </c>
      <c r="DT22" s="310"/>
      <c r="DU22" s="310">
        <f t="shared" si="3"/>
        <v>1</v>
      </c>
      <c r="DV22" s="309" t="s">
        <v>1868</v>
      </c>
      <c r="DW22" s="310"/>
      <c r="DX22" s="372">
        <f>ROUNDUP(BL7*4000,0)</f>
        <v>84360</v>
      </c>
    </row>
    <row r="23" spans="1:128" s="63" customFormat="1">
      <c r="A23" s="373"/>
      <c r="B23" s="374" t="s">
        <v>363</v>
      </c>
      <c r="C23" s="375">
        <f>ROUNDUP(35.76,0)</f>
        <v>36</v>
      </c>
      <c r="D23" s="375"/>
      <c r="E23" s="375"/>
      <c r="F23" s="357"/>
      <c r="G23" s="357"/>
      <c r="H23" s="357"/>
      <c r="I23" s="357"/>
      <c r="J23" s="357"/>
      <c r="K23" s="357"/>
      <c r="L23" s="357"/>
      <c r="M23" s="357"/>
      <c r="N23" s="357"/>
      <c r="O23" s="357"/>
      <c r="P23" s="362"/>
      <c r="Q23" s="362"/>
      <c r="R23" s="362"/>
      <c r="S23" s="362"/>
      <c r="T23" s="360"/>
      <c r="U23" s="361">
        <f>ROUNDUP((21.05*4.7)-(BK7+CF7),0)</f>
        <v>93</v>
      </c>
      <c r="V23" s="361">
        <f>ROUNDUP((4.25*4.7),0)</f>
        <v>20</v>
      </c>
      <c r="W23" s="361"/>
      <c r="X23" s="357"/>
      <c r="Y23" s="357"/>
      <c r="Z23" s="357"/>
      <c r="AA23" s="357"/>
      <c r="AB23" s="357"/>
      <c r="AC23" s="375"/>
      <c r="AD23" s="357">
        <f>ROUNDUP((25.3*4.7)-(BI7+CF7),0)</f>
        <v>111</v>
      </c>
      <c r="AE23" s="357"/>
      <c r="AF23" s="357"/>
      <c r="AG23" s="357"/>
      <c r="AH23" s="357"/>
      <c r="AI23" s="357"/>
      <c r="AJ23" s="357"/>
      <c r="AK23" s="357"/>
      <c r="AL23" s="357"/>
      <c r="AM23" s="357"/>
      <c r="AN23" s="357"/>
      <c r="AO23" s="357"/>
      <c r="AP23" s="357"/>
      <c r="AQ23" s="357">
        <f>ROUNDUP(BI9+CF9,0)</f>
        <v>7</v>
      </c>
      <c r="AR23" s="357">
        <f>4.7*2</f>
        <v>9.4</v>
      </c>
      <c r="AS23" s="362"/>
      <c r="AT23" s="360">
        <f>ROUNDUP(BI8+CF8,0)</f>
        <v>13</v>
      </c>
      <c r="AU23" s="374"/>
      <c r="AV23" s="357"/>
      <c r="AW23" s="357">
        <f>C23</f>
        <v>36</v>
      </c>
      <c r="AX23" s="357"/>
      <c r="AY23" s="360"/>
      <c r="AZ23" s="361">
        <f t="shared" si="1"/>
        <v>111</v>
      </c>
      <c r="BA23" s="357"/>
      <c r="BB23" s="362"/>
      <c r="BC23" s="365">
        <f t="shared" si="0"/>
        <v>36</v>
      </c>
      <c r="BD23" s="361"/>
      <c r="BE23" s="357"/>
      <c r="BF23" s="357"/>
      <c r="BG23" s="357"/>
      <c r="BH23" s="357"/>
      <c r="BI23" s="357">
        <v>1</v>
      </c>
      <c r="BJ23" s="357"/>
      <c r="BK23" s="375"/>
      <c r="BL23" s="357"/>
      <c r="BM23" s="357"/>
      <c r="BN23" s="357"/>
      <c r="BO23" s="357"/>
      <c r="BP23" s="357"/>
      <c r="BQ23" s="357"/>
      <c r="BR23" s="357"/>
      <c r="BS23" s="357"/>
      <c r="BT23" s="357"/>
      <c r="BU23" s="357"/>
      <c r="BV23" s="357"/>
      <c r="BW23" s="357"/>
      <c r="BX23" s="357"/>
      <c r="BY23" s="357"/>
      <c r="BZ23" s="357"/>
      <c r="CA23" s="357"/>
      <c r="CB23" s="357"/>
      <c r="CC23" s="357"/>
      <c r="CD23" s="357"/>
      <c r="CE23" s="357"/>
      <c r="CF23" s="357">
        <v>1</v>
      </c>
      <c r="CG23" s="357"/>
      <c r="CH23" s="357"/>
      <c r="CI23" s="362"/>
      <c r="CJ23" s="362"/>
      <c r="CK23" s="362"/>
      <c r="CL23" s="362"/>
      <c r="CM23" s="362"/>
      <c r="CN23" s="362"/>
      <c r="CO23" s="362"/>
      <c r="CP23" s="362"/>
      <c r="CQ23" s="362"/>
      <c r="CR23" s="362"/>
      <c r="CS23" s="362"/>
      <c r="CT23" s="362"/>
      <c r="CU23" s="362"/>
      <c r="CV23" s="362"/>
      <c r="CW23" s="362"/>
      <c r="CX23" s="362"/>
      <c r="CY23" s="362"/>
      <c r="CZ23" s="362"/>
      <c r="DA23" s="362"/>
      <c r="DB23" s="362"/>
      <c r="DC23" s="362"/>
      <c r="DD23" s="362"/>
      <c r="DE23" s="362"/>
      <c r="DF23" s="362"/>
      <c r="DG23" s="362"/>
      <c r="DH23" s="362"/>
      <c r="DI23" s="362"/>
      <c r="DJ23" s="362"/>
      <c r="DK23" s="362"/>
      <c r="DL23" s="362"/>
      <c r="DM23" s="362"/>
      <c r="DN23" s="362"/>
      <c r="DO23" s="360"/>
      <c r="DP23" s="310">
        <f>BM66</f>
        <v>2</v>
      </c>
      <c r="DQ23" s="310">
        <f>BM99</f>
        <v>0</v>
      </c>
      <c r="DR23" s="310">
        <f>BM153</f>
        <v>0</v>
      </c>
      <c r="DS23" s="310">
        <f>BM165</f>
        <v>0</v>
      </c>
      <c r="DT23" s="310"/>
      <c r="DU23" s="310">
        <f t="shared" si="3"/>
        <v>2</v>
      </c>
      <c r="DV23" s="309" t="s">
        <v>1869</v>
      </c>
      <c r="DW23" s="310"/>
      <c r="DX23" s="372">
        <f>ROUNDUP(BM7*4000,0)</f>
        <v>23940</v>
      </c>
    </row>
    <row r="24" spans="1:128" s="63" customFormat="1">
      <c r="A24" s="706"/>
      <c r="B24" s="374" t="s">
        <v>403</v>
      </c>
      <c r="C24" s="375">
        <v>30</v>
      </c>
      <c r="D24" s="375"/>
      <c r="E24" s="375"/>
      <c r="F24" s="357"/>
      <c r="G24" s="357"/>
      <c r="H24" s="357"/>
      <c r="I24" s="357"/>
      <c r="J24" s="357"/>
      <c r="K24" s="357"/>
      <c r="L24" s="357"/>
      <c r="M24" s="357"/>
      <c r="N24" s="357"/>
      <c r="O24" s="357"/>
      <c r="P24" s="362"/>
      <c r="Q24" s="362"/>
      <c r="R24" s="362"/>
      <c r="S24" s="362"/>
      <c r="T24" s="360"/>
      <c r="U24" s="659">
        <f>ROUNDUP((21.8*4.7)-(BI7+CC7),0)</f>
        <v>78</v>
      </c>
      <c r="V24" s="659"/>
      <c r="W24" s="659"/>
      <c r="X24" s="357"/>
      <c r="Y24" s="357"/>
      <c r="Z24" s="357"/>
      <c r="AA24" s="357"/>
      <c r="AB24" s="357"/>
      <c r="AC24" s="375"/>
      <c r="AD24" s="357">
        <f>U24</f>
        <v>78</v>
      </c>
      <c r="AE24" s="357"/>
      <c r="AF24" s="357"/>
      <c r="AG24" s="357"/>
      <c r="AH24" s="357"/>
      <c r="AI24" s="357"/>
      <c r="AJ24" s="357"/>
      <c r="AK24" s="357"/>
      <c r="AL24" s="357"/>
      <c r="AM24" s="357"/>
      <c r="AN24" s="357"/>
      <c r="AO24" s="357"/>
      <c r="AP24" s="357"/>
      <c r="AQ24" s="357">
        <f>ROUND((BI9+CC9)+4.7,0)</f>
        <v>18</v>
      </c>
      <c r="AR24" s="357"/>
      <c r="AS24" s="362"/>
      <c r="AT24" s="360">
        <f>BI8+CC8</f>
        <v>12.299999999999999</v>
      </c>
      <c r="AU24" s="658"/>
      <c r="AV24" s="357"/>
      <c r="AW24" s="357">
        <f>C24</f>
        <v>30</v>
      </c>
      <c r="AX24" s="357"/>
      <c r="AY24" s="360"/>
      <c r="AZ24" s="361">
        <f t="shared" si="1"/>
        <v>78</v>
      </c>
      <c r="BA24" s="357"/>
      <c r="BB24" s="362"/>
      <c r="BC24" s="365">
        <f t="shared" si="0"/>
        <v>30</v>
      </c>
      <c r="BD24" s="659"/>
      <c r="BE24" s="357"/>
      <c r="BF24" s="357"/>
      <c r="BG24" s="357"/>
      <c r="BH24" s="357"/>
      <c r="BI24" s="357">
        <v>1</v>
      </c>
      <c r="BJ24" s="357"/>
      <c r="BK24" s="375"/>
      <c r="BL24" s="357"/>
      <c r="BM24" s="357"/>
      <c r="BN24" s="357"/>
      <c r="BO24" s="357"/>
      <c r="BP24" s="357"/>
      <c r="BQ24" s="357"/>
      <c r="BR24" s="357"/>
      <c r="BS24" s="357"/>
      <c r="BT24" s="357"/>
      <c r="BU24" s="357"/>
      <c r="BV24" s="357"/>
      <c r="BW24" s="357"/>
      <c r="BX24" s="357"/>
      <c r="BY24" s="357"/>
      <c r="BZ24" s="357"/>
      <c r="CA24" s="357"/>
      <c r="CB24" s="357"/>
      <c r="CC24" s="357">
        <v>1</v>
      </c>
      <c r="CD24" s="357"/>
      <c r="CE24" s="357"/>
      <c r="CF24" s="357"/>
      <c r="CG24" s="357"/>
      <c r="CH24" s="357"/>
      <c r="CI24" s="362"/>
      <c r="CJ24" s="362"/>
      <c r="CK24" s="362"/>
      <c r="CL24" s="362"/>
      <c r="CM24" s="362"/>
      <c r="CN24" s="362"/>
      <c r="CO24" s="362"/>
      <c r="CP24" s="362"/>
      <c r="CQ24" s="362"/>
      <c r="CR24" s="362"/>
      <c r="CS24" s="362"/>
      <c r="CT24" s="362"/>
      <c r="CU24" s="362"/>
      <c r="CV24" s="362"/>
      <c r="CW24" s="362"/>
      <c r="CX24" s="362"/>
      <c r="CY24" s="362"/>
      <c r="CZ24" s="362"/>
      <c r="DA24" s="362"/>
      <c r="DB24" s="362"/>
      <c r="DC24" s="362"/>
      <c r="DD24" s="362"/>
      <c r="DE24" s="362"/>
      <c r="DF24" s="362"/>
      <c r="DG24" s="362"/>
      <c r="DH24" s="362"/>
      <c r="DI24" s="362"/>
      <c r="DJ24" s="362"/>
      <c r="DK24" s="362"/>
      <c r="DL24" s="362"/>
      <c r="DM24" s="362"/>
      <c r="DN24" s="362"/>
      <c r="DO24" s="360"/>
      <c r="DP24" s="310">
        <f>BN66</f>
        <v>0</v>
      </c>
      <c r="DQ24" s="310">
        <f>BN99</f>
        <v>1</v>
      </c>
      <c r="DR24" s="310">
        <f>BN153</f>
        <v>1</v>
      </c>
      <c r="DS24" s="310">
        <f>BN165</f>
        <v>0</v>
      </c>
      <c r="DT24" s="310"/>
      <c r="DU24" s="310">
        <f t="shared" si="3"/>
        <v>2</v>
      </c>
      <c r="DV24" s="309" t="s">
        <v>1870</v>
      </c>
      <c r="DW24" s="310"/>
      <c r="DX24" s="372">
        <f>ROUNDUP(BN7*4000,0)</f>
        <v>21000</v>
      </c>
    </row>
    <row r="25" spans="1:128" s="63" customFormat="1">
      <c r="A25" s="373"/>
      <c r="B25" s="374" t="s">
        <v>364</v>
      </c>
      <c r="C25" s="375">
        <v>37</v>
      </c>
      <c r="D25" s="375"/>
      <c r="E25" s="375"/>
      <c r="F25" s="357"/>
      <c r="G25" s="357"/>
      <c r="H25" s="357"/>
      <c r="I25" s="357"/>
      <c r="J25" s="357"/>
      <c r="K25" s="357"/>
      <c r="L25" s="357"/>
      <c r="M25" s="357"/>
      <c r="N25" s="357"/>
      <c r="O25" s="357"/>
      <c r="P25" s="362"/>
      <c r="Q25" s="362"/>
      <c r="R25" s="362"/>
      <c r="S25" s="362"/>
      <c r="T25" s="360"/>
      <c r="U25" s="361">
        <f>ROUNDUP((21.98*4.7)-BK7,0)</f>
        <v>100</v>
      </c>
      <c r="V25" s="361">
        <f>ROUNDUP((3.55*4.7),0)</f>
        <v>17</v>
      </c>
      <c r="W25" s="361"/>
      <c r="X25" s="357"/>
      <c r="Y25" s="357"/>
      <c r="Z25" s="357"/>
      <c r="AA25" s="357"/>
      <c r="AB25" s="357"/>
      <c r="AC25" s="375">
        <f>ROUNDUP((6*4.7)-BK7,0)</f>
        <v>25</v>
      </c>
      <c r="AD25" s="357">
        <f>ROUNDUP((25.53*4.7)-BK7,0)</f>
        <v>117</v>
      </c>
      <c r="AE25" s="357"/>
      <c r="AF25" s="357"/>
      <c r="AG25" s="357"/>
      <c r="AH25" s="357"/>
      <c r="AI25" s="357"/>
      <c r="AJ25" s="357"/>
      <c r="AK25" s="357"/>
      <c r="AL25" s="357"/>
      <c r="AM25" s="357"/>
      <c r="AN25" s="357"/>
      <c r="AO25" s="357"/>
      <c r="AP25" s="357"/>
      <c r="AQ25" s="357">
        <f>BK9</f>
        <v>4.0999999999999996</v>
      </c>
      <c r="AR25" s="357">
        <v>4.7</v>
      </c>
      <c r="AS25" s="362"/>
      <c r="AT25" s="360">
        <f>BK8</f>
        <v>1.9</v>
      </c>
      <c r="AU25" s="374"/>
      <c r="AV25" s="357"/>
      <c r="AW25" s="357">
        <f>C25</f>
        <v>37</v>
      </c>
      <c r="AX25" s="357"/>
      <c r="AY25" s="360"/>
      <c r="AZ25" s="361">
        <f t="shared" si="1"/>
        <v>117</v>
      </c>
      <c r="BA25" s="357">
        <f>AC25</f>
        <v>25</v>
      </c>
      <c r="BB25" s="362"/>
      <c r="BC25" s="365">
        <f t="shared" si="0"/>
        <v>37</v>
      </c>
      <c r="BD25" s="361"/>
      <c r="BE25" s="357"/>
      <c r="BF25" s="357"/>
      <c r="BG25" s="357"/>
      <c r="BH25" s="357"/>
      <c r="BI25" s="357"/>
      <c r="BJ25" s="357"/>
      <c r="BK25" s="375">
        <v>1</v>
      </c>
      <c r="BL25" s="357"/>
      <c r="BM25" s="357"/>
      <c r="BN25" s="357"/>
      <c r="BO25" s="357"/>
      <c r="BP25" s="357"/>
      <c r="BQ25" s="357"/>
      <c r="BR25" s="357"/>
      <c r="BS25" s="357"/>
      <c r="BT25" s="357"/>
      <c r="BU25" s="357"/>
      <c r="BV25" s="357"/>
      <c r="BW25" s="357"/>
      <c r="BX25" s="357"/>
      <c r="BY25" s="357"/>
      <c r="BZ25" s="357"/>
      <c r="CA25" s="357"/>
      <c r="CB25" s="357"/>
      <c r="CC25" s="357"/>
      <c r="CD25" s="357"/>
      <c r="CE25" s="357"/>
      <c r="CF25" s="357"/>
      <c r="CG25" s="357"/>
      <c r="CH25" s="357"/>
      <c r="CI25" s="362"/>
      <c r="CJ25" s="362"/>
      <c r="CK25" s="362"/>
      <c r="CL25" s="362"/>
      <c r="CM25" s="362"/>
      <c r="CN25" s="362"/>
      <c r="CO25" s="362"/>
      <c r="CP25" s="362"/>
      <c r="CQ25" s="362"/>
      <c r="CR25" s="362"/>
      <c r="CS25" s="362"/>
      <c r="CT25" s="362"/>
      <c r="CU25" s="362"/>
      <c r="CV25" s="362"/>
      <c r="CW25" s="362"/>
      <c r="CX25" s="362"/>
      <c r="CY25" s="362"/>
      <c r="CZ25" s="362"/>
      <c r="DA25" s="362"/>
      <c r="DB25" s="362"/>
      <c r="DC25" s="362"/>
      <c r="DD25" s="362"/>
      <c r="DE25" s="362"/>
      <c r="DF25" s="362"/>
      <c r="DG25" s="362"/>
      <c r="DH25" s="362"/>
      <c r="DI25" s="362"/>
      <c r="DJ25" s="362"/>
      <c r="DK25" s="362"/>
      <c r="DL25" s="362"/>
      <c r="DM25" s="362"/>
      <c r="DN25" s="362"/>
      <c r="DO25" s="360"/>
      <c r="DP25" s="310">
        <f>BO66</f>
        <v>1</v>
      </c>
      <c r="DQ25" s="310">
        <f>BO99</f>
        <v>1</v>
      </c>
      <c r="DR25" s="310">
        <f>BO153</f>
        <v>1</v>
      </c>
      <c r="DS25" s="310">
        <f>BO165</f>
        <v>1</v>
      </c>
      <c r="DT25" s="310"/>
      <c r="DU25" s="310">
        <v>3</v>
      </c>
      <c r="DV25" s="309" t="s">
        <v>1329</v>
      </c>
      <c r="DW25" s="310"/>
      <c r="DX25" s="372">
        <f>ROUNDUP(BO7*9000,0)</f>
        <v>20295</v>
      </c>
    </row>
    <row r="26" spans="1:128" s="63" customFormat="1">
      <c r="A26" s="373"/>
      <c r="B26" s="374" t="s">
        <v>365</v>
      </c>
      <c r="C26" s="375">
        <f>ROUNDUP(30.45,0)</f>
        <v>31</v>
      </c>
      <c r="D26" s="375"/>
      <c r="E26" s="375"/>
      <c r="F26" s="357"/>
      <c r="G26" s="357"/>
      <c r="H26" s="357"/>
      <c r="I26" s="357"/>
      <c r="J26" s="357"/>
      <c r="K26" s="357"/>
      <c r="L26" s="357"/>
      <c r="M26" s="357"/>
      <c r="N26" s="357"/>
      <c r="O26" s="357"/>
      <c r="P26" s="362"/>
      <c r="Q26" s="362"/>
      <c r="R26" s="362"/>
      <c r="S26" s="362"/>
      <c r="T26" s="360"/>
      <c r="U26" s="361">
        <f>ROUNDUP((22.2*4.7)-(BK7+CF7),0)</f>
        <v>98</v>
      </c>
      <c r="V26" s="361"/>
      <c r="W26" s="361"/>
      <c r="X26" s="357"/>
      <c r="Y26" s="357"/>
      <c r="Z26" s="357"/>
      <c r="AA26" s="357"/>
      <c r="AB26" s="357"/>
      <c r="AC26" s="375">
        <f>ROUNDUP((7.2*4.7)+(BK7*2),0)</f>
        <v>42</v>
      </c>
      <c r="AD26" s="357">
        <f>U26</f>
        <v>98</v>
      </c>
      <c r="AE26" s="357"/>
      <c r="AF26" s="357"/>
      <c r="AG26" s="357"/>
      <c r="AH26" s="357"/>
      <c r="AI26" s="357"/>
      <c r="AJ26" s="357"/>
      <c r="AK26" s="357"/>
      <c r="AL26" s="357"/>
      <c r="AM26" s="357"/>
      <c r="AN26" s="357"/>
      <c r="AO26" s="357"/>
      <c r="AP26" s="357"/>
      <c r="AQ26" s="357">
        <f>ROUNDUP((BK9+CF9)+(4.7*2),0)</f>
        <v>15</v>
      </c>
      <c r="AR26" s="357"/>
      <c r="AS26" s="362"/>
      <c r="AT26" s="360">
        <f>ROUNDUP(BK8+CF8,0)</f>
        <v>13</v>
      </c>
      <c r="AU26" s="374"/>
      <c r="AV26" s="357"/>
      <c r="AW26" s="357">
        <f>C26</f>
        <v>31</v>
      </c>
      <c r="AX26" s="357"/>
      <c r="AY26" s="360"/>
      <c r="AZ26" s="361">
        <f t="shared" si="1"/>
        <v>98</v>
      </c>
      <c r="BA26" s="357">
        <f>AC26</f>
        <v>42</v>
      </c>
      <c r="BB26" s="362"/>
      <c r="BC26" s="365">
        <f t="shared" si="0"/>
        <v>31</v>
      </c>
      <c r="BD26" s="361"/>
      <c r="BE26" s="357"/>
      <c r="BF26" s="357"/>
      <c r="BG26" s="357"/>
      <c r="BH26" s="357"/>
      <c r="BI26" s="357"/>
      <c r="BJ26" s="357"/>
      <c r="BK26" s="375">
        <v>1</v>
      </c>
      <c r="BL26" s="357"/>
      <c r="BM26" s="357"/>
      <c r="BN26" s="357"/>
      <c r="BO26" s="357"/>
      <c r="BP26" s="357"/>
      <c r="BQ26" s="357"/>
      <c r="BR26" s="357"/>
      <c r="BS26" s="357"/>
      <c r="BT26" s="357"/>
      <c r="BU26" s="357"/>
      <c r="BV26" s="357"/>
      <c r="BW26" s="357"/>
      <c r="BX26" s="357"/>
      <c r="BY26" s="357"/>
      <c r="BZ26" s="357"/>
      <c r="CA26" s="357"/>
      <c r="CB26" s="357"/>
      <c r="CC26" s="357"/>
      <c r="CD26" s="357"/>
      <c r="CE26" s="357"/>
      <c r="CF26" s="357">
        <v>1</v>
      </c>
      <c r="CG26" s="357"/>
      <c r="CH26" s="357"/>
      <c r="CI26" s="362"/>
      <c r="CJ26" s="362"/>
      <c r="CK26" s="362"/>
      <c r="CL26" s="362"/>
      <c r="CM26" s="362"/>
      <c r="CN26" s="362"/>
      <c r="CO26" s="362"/>
      <c r="CP26" s="362"/>
      <c r="CQ26" s="362"/>
      <c r="CR26" s="362"/>
      <c r="CS26" s="362"/>
      <c r="CT26" s="362"/>
      <c r="CU26" s="362"/>
      <c r="CV26" s="362"/>
      <c r="CW26" s="362"/>
      <c r="CX26" s="362"/>
      <c r="CY26" s="362"/>
      <c r="CZ26" s="362"/>
      <c r="DA26" s="362"/>
      <c r="DB26" s="362"/>
      <c r="DC26" s="362"/>
      <c r="DD26" s="362"/>
      <c r="DE26" s="362"/>
      <c r="DF26" s="362"/>
      <c r="DG26" s="362"/>
      <c r="DH26" s="362"/>
      <c r="DI26" s="362"/>
      <c r="DJ26" s="362"/>
      <c r="DK26" s="362"/>
      <c r="DL26" s="362"/>
      <c r="DM26" s="362"/>
      <c r="DN26" s="362"/>
      <c r="DO26" s="360"/>
      <c r="DP26" s="310">
        <f>BP66</f>
        <v>4</v>
      </c>
      <c r="DQ26" s="310">
        <f>BP99</f>
        <v>4</v>
      </c>
      <c r="DR26" s="310">
        <f>BP153</f>
        <v>4</v>
      </c>
      <c r="DS26" s="310">
        <f>BP165</f>
        <v>0</v>
      </c>
      <c r="DT26" s="310"/>
      <c r="DU26" s="310">
        <v>12</v>
      </c>
      <c r="DV26" s="309" t="s">
        <v>1871</v>
      </c>
      <c r="DW26" s="310"/>
      <c r="DX26" s="372">
        <f>ROUNDUP(BP7*5000,0)</f>
        <v>13750</v>
      </c>
    </row>
    <row r="27" spans="1:128" s="63" customFormat="1">
      <c r="A27" s="373"/>
      <c r="B27" s="374" t="s">
        <v>366</v>
      </c>
      <c r="C27" s="357"/>
      <c r="D27" s="357"/>
      <c r="E27" s="375">
        <f>ROUNDUP(29.72,0)</f>
        <v>30</v>
      </c>
      <c r="F27" s="357"/>
      <c r="G27" s="357"/>
      <c r="H27" s="375"/>
      <c r="I27" s="357"/>
      <c r="J27" s="357"/>
      <c r="K27" s="357"/>
      <c r="L27" s="357"/>
      <c r="M27" s="357"/>
      <c r="N27" s="357"/>
      <c r="O27" s="357"/>
      <c r="P27" s="362"/>
      <c r="Q27" s="362"/>
      <c r="R27" s="362"/>
      <c r="S27" s="362"/>
      <c r="T27" s="360">
        <f t="shared" ref="T27:T32" si="4">SUM(C27:O27)</f>
        <v>30</v>
      </c>
      <c r="U27" s="361">
        <f>ROUNDUP((26.5*4.7)-(BP7+(CJ7*2)),0)</f>
        <v>119</v>
      </c>
      <c r="V27" s="361"/>
      <c r="W27" s="361"/>
      <c r="X27" s="357"/>
      <c r="Y27" s="357"/>
      <c r="Z27" s="357"/>
      <c r="AA27" s="357"/>
      <c r="AB27" s="357"/>
      <c r="AC27" s="375"/>
      <c r="AD27" s="357">
        <f>ROUNDUP((32*4.7)-(BP7+(CJ7*2)),0)</f>
        <v>145</v>
      </c>
      <c r="AE27" s="357"/>
      <c r="AF27" s="357"/>
      <c r="AG27" s="357">
        <f>ROUNDUP((32*2.7)-(BP7+(CJ7*2)),0)</f>
        <v>81</v>
      </c>
      <c r="AH27" s="357"/>
      <c r="AI27" s="357"/>
      <c r="AJ27" s="357"/>
      <c r="AK27" s="357"/>
      <c r="AL27" s="357"/>
      <c r="AM27" s="357"/>
      <c r="AN27" s="357"/>
      <c r="AO27" s="357"/>
      <c r="AP27" s="357"/>
      <c r="AQ27" s="357">
        <f>ROUNDUP((5*4.7)+BP9+(CJ9*2),0)</f>
        <v>32</v>
      </c>
      <c r="AR27" s="357"/>
      <c r="AS27" s="362"/>
      <c r="AT27" s="360">
        <f>ROUNDUP(BP8+(CJ8*2),0)</f>
        <v>12</v>
      </c>
      <c r="AU27" s="361"/>
      <c r="AV27" s="375">
        <f t="shared" ref="AV27:AV32" si="5">E27</f>
        <v>30</v>
      </c>
      <c r="AW27" s="357"/>
      <c r="AX27" s="357"/>
      <c r="AY27" s="360"/>
      <c r="AZ27" s="361"/>
      <c r="BA27" s="357"/>
      <c r="BB27" s="362"/>
      <c r="BC27" s="365">
        <f t="shared" si="0"/>
        <v>30</v>
      </c>
      <c r="BD27" s="361"/>
      <c r="BE27" s="357"/>
      <c r="BF27" s="357"/>
      <c r="BG27" s="357"/>
      <c r="BH27" s="357"/>
      <c r="BI27" s="357"/>
      <c r="BJ27" s="357"/>
      <c r="BK27" s="357"/>
      <c r="BL27" s="357"/>
      <c r="BM27" s="357"/>
      <c r="BN27" s="357"/>
      <c r="BO27" s="357"/>
      <c r="BP27" s="375">
        <v>1</v>
      </c>
      <c r="BQ27" s="375"/>
      <c r="BR27" s="357"/>
      <c r="BS27" s="357"/>
      <c r="BT27" s="357"/>
      <c r="BU27" s="357"/>
      <c r="BV27" s="357"/>
      <c r="BW27" s="357"/>
      <c r="BX27" s="357"/>
      <c r="BY27" s="357"/>
      <c r="BZ27" s="357"/>
      <c r="CA27" s="357"/>
      <c r="CB27" s="357"/>
      <c r="CC27" s="357"/>
      <c r="CD27" s="357"/>
      <c r="CE27" s="357"/>
      <c r="CF27" s="357"/>
      <c r="CG27" s="357"/>
      <c r="CH27" s="357"/>
      <c r="CI27" s="362"/>
      <c r="CJ27" s="378">
        <v>2</v>
      </c>
      <c r="CK27" s="378"/>
      <c r="CL27" s="362"/>
      <c r="CM27" s="362"/>
      <c r="CN27" s="362"/>
      <c r="CO27" s="362"/>
      <c r="CP27" s="362"/>
      <c r="CQ27" s="362"/>
      <c r="CR27" s="362"/>
      <c r="CS27" s="362"/>
      <c r="CT27" s="362"/>
      <c r="CU27" s="362"/>
      <c r="CV27" s="362"/>
      <c r="CW27" s="362"/>
      <c r="CX27" s="362"/>
      <c r="CY27" s="362"/>
      <c r="CZ27" s="362"/>
      <c r="DA27" s="362"/>
      <c r="DB27" s="362"/>
      <c r="DC27" s="362"/>
      <c r="DD27" s="362"/>
      <c r="DE27" s="362"/>
      <c r="DF27" s="362"/>
      <c r="DG27" s="362"/>
      <c r="DH27" s="362"/>
      <c r="DI27" s="362"/>
      <c r="DJ27" s="362"/>
      <c r="DK27" s="362"/>
      <c r="DL27" s="362"/>
      <c r="DM27" s="362"/>
      <c r="DN27" s="362"/>
      <c r="DO27" s="360"/>
      <c r="DP27" s="310">
        <f>BQ66</f>
        <v>1</v>
      </c>
      <c r="DQ27" s="310">
        <f>BQ99</f>
        <v>1</v>
      </c>
      <c r="DR27" s="310">
        <f>BQ153</f>
        <v>1</v>
      </c>
      <c r="DS27" s="310">
        <f>BQ165</f>
        <v>0</v>
      </c>
      <c r="DT27" s="310"/>
      <c r="DU27" s="310">
        <v>3</v>
      </c>
      <c r="DV27" s="309" t="s">
        <v>1872</v>
      </c>
      <c r="DW27" s="310"/>
      <c r="DX27" s="372">
        <f>ROUNDUP(BQ7*5800,0)</f>
        <v>14500</v>
      </c>
    </row>
    <row r="28" spans="1:128" s="63" customFormat="1">
      <c r="A28" s="373"/>
      <c r="B28" s="374" t="s">
        <v>367</v>
      </c>
      <c r="C28" s="357"/>
      <c r="D28" s="357"/>
      <c r="E28" s="375">
        <f>ROUNDUP(29.65,0)</f>
        <v>30</v>
      </c>
      <c r="F28" s="357"/>
      <c r="G28" s="357"/>
      <c r="H28" s="375"/>
      <c r="I28" s="357"/>
      <c r="J28" s="357"/>
      <c r="K28" s="357"/>
      <c r="L28" s="357"/>
      <c r="M28" s="357"/>
      <c r="N28" s="357"/>
      <c r="O28" s="357"/>
      <c r="P28" s="362"/>
      <c r="Q28" s="362"/>
      <c r="R28" s="362"/>
      <c r="S28" s="362"/>
      <c r="T28" s="360">
        <f t="shared" si="4"/>
        <v>30</v>
      </c>
      <c r="U28" s="361">
        <f>ROUNDUP((22.4*4.7)-(BP7+(CJ7*2)),0)</f>
        <v>100</v>
      </c>
      <c r="V28" s="361"/>
      <c r="W28" s="361"/>
      <c r="X28" s="357"/>
      <c r="Y28" s="357"/>
      <c r="Z28" s="357"/>
      <c r="AA28" s="357"/>
      <c r="AB28" s="357"/>
      <c r="AC28" s="375"/>
      <c r="AD28" s="357">
        <f>ROUNDUP((22.4*4.7)-(BP7+(CJ7*2)),0)</f>
        <v>100</v>
      </c>
      <c r="AE28" s="357"/>
      <c r="AF28" s="357"/>
      <c r="AG28" s="357">
        <f>ROUNDUP((24*2.7)-(BP7+(CJ7*2)),0)</f>
        <v>60</v>
      </c>
      <c r="AH28" s="357"/>
      <c r="AI28" s="357"/>
      <c r="AJ28" s="357"/>
      <c r="AK28" s="357"/>
      <c r="AL28" s="357"/>
      <c r="AM28" s="357"/>
      <c r="AN28" s="357"/>
      <c r="AO28" s="357"/>
      <c r="AP28" s="357"/>
      <c r="AQ28" s="357">
        <f>ROUNDUP((4*4.7)+BP9+(CJ9*2),0)</f>
        <v>27</v>
      </c>
      <c r="AR28" s="357"/>
      <c r="AS28" s="362"/>
      <c r="AT28" s="360">
        <f>ROUNDUP(BP8+(CJ8*2),0)</f>
        <v>12</v>
      </c>
      <c r="AU28" s="361"/>
      <c r="AV28" s="375">
        <f t="shared" si="5"/>
        <v>30</v>
      </c>
      <c r="AW28" s="357"/>
      <c r="AX28" s="357"/>
      <c r="AY28" s="360"/>
      <c r="AZ28" s="361"/>
      <c r="BA28" s="357"/>
      <c r="BB28" s="362"/>
      <c r="BC28" s="365">
        <f t="shared" si="0"/>
        <v>30</v>
      </c>
      <c r="BD28" s="361"/>
      <c r="BE28" s="357"/>
      <c r="BF28" s="357"/>
      <c r="BG28" s="357"/>
      <c r="BH28" s="357"/>
      <c r="BI28" s="357"/>
      <c r="BJ28" s="357"/>
      <c r="BK28" s="357"/>
      <c r="BL28" s="357"/>
      <c r="BM28" s="357"/>
      <c r="BN28" s="357"/>
      <c r="BO28" s="357"/>
      <c r="BP28" s="375">
        <v>1</v>
      </c>
      <c r="BQ28" s="375"/>
      <c r="BR28" s="357"/>
      <c r="BS28" s="357"/>
      <c r="BT28" s="357"/>
      <c r="BU28" s="357"/>
      <c r="BV28" s="357"/>
      <c r="BW28" s="357"/>
      <c r="BX28" s="357"/>
      <c r="BY28" s="357"/>
      <c r="BZ28" s="357"/>
      <c r="CA28" s="357"/>
      <c r="CB28" s="357"/>
      <c r="CC28" s="357"/>
      <c r="CD28" s="357"/>
      <c r="CE28" s="357"/>
      <c r="CF28" s="357"/>
      <c r="CG28" s="357"/>
      <c r="CH28" s="357"/>
      <c r="CI28" s="362"/>
      <c r="CJ28" s="378">
        <v>2</v>
      </c>
      <c r="CK28" s="378"/>
      <c r="CL28" s="362"/>
      <c r="CM28" s="362"/>
      <c r="CN28" s="362"/>
      <c r="CO28" s="362"/>
      <c r="CP28" s="362"/>
      <c r="CQ28" s="362"/>
      <c r="CR28" s="362"/>
      <c r="CS28" s="362"/>
      <c r="CT28" s="362"/>
      <c r="CU28" s="362"/>
      <c r="CV28" s="362"/>
      <c r="CW28" s="362"/>
      <c r="CX28" s="362"/>
      <c r="CY28" s="362"/>
      <c r="CZ28" s="362"/>
      <c r="DA28" s="362"/>
      <c r="DB28" s="362"/>
      <c r="DC28" s="362"/>
      <c r="DD28" s="362"/>
      <c r="DE28" s="362"/>
      <c r="DF28" s="362"/>
      <c r="DG28" s="362"/>
      <c r="DH28" s="362"/>
      <c r="DI28" s="362"/>
      <c r="DJ28" s="362"/>
      <c r="DK28" s="362"/>
      <c r="DL28" s="362"/>
      <c r="DM28" s="362"/>
      <c r="DN28" s="362"/>
      <c r="DO28" s="360"/>
      <c r="DP28" s="310">
        <f>BR66</f>
        <v>1</v>
      </c>
      <c r="DQ28" s="310">
        <f>BR99</f>
        <v>2</v>
      </c>
      <c r="DR28" s="310">
        <f>BR153</f>
        <v>2</v>
      </c>
      <c r="DS28" s="310">
        <f>BR165</f>
        <v>0</v>
      </c>
      <c r="DT28" s="310"/>
      <c r="DU28" s="310">
        <v>13</v>
      </c>
      <c r="DV28" s="309" t="s">
        <v>1330</v>
      </c>
      <c r="DW28" s="310"/>
      <c r="DX28" s="372">
        <f>ROUNDUP(BR7*6000,0)</f>
        <v>13530</v>
      </c>
    </row>
    <row r="29" spans="1:128" s="63" customFormat="1">
      <c r="A29" s="376"/>
      <c r="B29" s="374" t="s">
        <v>368</v>
      </c>
      <c r="C29" s="357"/>
      <c r="D29" s="357"/>
      <c r="E29" s="375">
        <f>ROUNDUP(7.8,0)</f>
        <v>8</v>
      </c>
      <c r="F29" s="357"/>
      <c r="G29" s="357"/>
      <c r="H29" s="375"/>
      <c r="I29" s="357"/>
      <c r="J29" s="357"/>
      <c r="K29" s="357"/>
      <c r="L29" s="357"/>
      <c r="M29" s="357"/>
      <c r="N29" s="357"/>
      <c r="O29" s="357"/>
      <c r="P29" s="362"/>
      <c r="Q29" s="362"/>
      <c r="R29" s="362"/>
      <c r="S29" s="362"/>
      <c r="T29" s="360">
        <f t="shared" si="4"/>
        <v>8</v>
      </c>
      <c r="U29" s="361">
        <f>ROUNDUP((5*4.7)-BQ7,0)</f>
        <v>21</v>
      </c>
      <c r="V29" s="361"/>
      <c r="W29" s="361"/>
      <c r="X29" s="357"/>
      <c r="Y29" s="357"/>
      <c r="Z29" s="357"/>
      <c r="AA29" s="357"/>
      <c r="AB29" s="357"/>
      <c r="AC29" s="375"/>
      <c r="AD29" s="361">
        <f>ROUNDUP((12.83*4.7)-BQ7,0)</f>
        <v>58</v>
      </c>
      <c r="AE29" s="357"/>
      <c r="AF29" s="357"/>
      <c r="AG29" s="361">
        <f>ROUNDUP((12.83*2.7)-BQ7,0)</f>
        <v>33</v>
      </c>
      <c r="AH29" s="357"/>
      <c r="AI29" s="357"/>
      <c r="AJ29" s="357"/>
      <c r="AK29" s="357"/>
      <c r="AL29" s="357"/>
      <c r="AM29" s="357"/>
      <c r="AN29" s="357"/>
      <c r="AO29" s="357"/>
      <c r="AP29" s="357"/>
      <c r="AQ29" s="357">
        <f>BQ9</f>
        <v>5</v>
      </c>
      <c r="AR29" s="357"/>
      <c r="AS29" s="362"/>
      <c r="AT29" s="360">
        <f>BQ8</f>
        <v>1</v>
      </c>
      <c r="AU29" s="361"/>
      <c r="AV29" s="375">
        <f t="shared" si="5"/>
        <v>8</v>
      </c>
      <c r="AW29" s="357"/>
      <c r="AX29" s="357"/>
      <c r="AY29" s="360"/>
      <c r="AZ29" s="361"/>
      <c r="BA29" s="357"/>
      <c r="BB29" s="362"/>
      <c r="BC29" s="365">
        <f t="shared" si="0"/>
        <v>8</v>
      </c>
      <c r="BD29" s="361"/>
      <c r="BE29" s="357"/>
      <c r="BF29" s="357"/>
      <c r="BG29" s="357"/>
      <c r="BH29" s="357"/>
      <c r="BI29" s="357"/>
      <c r="BJ29" s="357"/>
      <c r="BK29" s="357"/>
      <c r="BL29" s="357"/>
      <c r="BM29" s="357"/>
      <c r="BN29" s="357"/>
      <c r="BO29" s="357"/>
      <c r="BP29" s="375"/>
      <c r="BQ29" s="375">
        <v>1</v>
      </c>
      <c r="BR29" s="357"/>
      <c r="BS29" s="357"/>
      <c r="BT29" s="357"/>
      <c r="BU29" s="357"/>
      <c r="BV29" s="357"/>
      <c r="BW29" s="357"/>
      <c r="BX29" s="357"/>
      <c r="BY29" s="357"/>
      <c r="BZ29" s="357"/>
      <c r="CA29" s="357"/>
      <c r="CB29" s="357"/>
      <c r="CC29" s="357"/>
      <c r="CD29" s="357"/>
      <c r="CE29" s="357"/>
      <c r="CF29" s="357"/>
      <c r="CG29" s="357"/>
      <c r="CH29" s="357"/>
      <c r="CI29" s="362"/>
      <c r="CJ29" s="378"/>
      <c r="CK29" s="378"/>
      <c r="CL29" s="362"/>
      <c r="CM29" s="362"/>
      <c r="CN29" s="362"/>
      <c r="CO29" s="362"/>
      <c r="CP29" s="362"/>
      <c r="CQ29" s="362"/>
      <c r="CR29" s="362"/>
      <c r="CS29" s="362"/>
      <c r="CT29" s="362"/>
      <c r="CU29" s="362"/>
      <c r="CV29" s="362"/>
      <c r="CW29" s="362"/>
      <c r="CX29" s="362"/>
      <c r="CY29" s="362"/>
      <c r="CZ29" s="362"/>
      <c r="DA29" s="362"/>
      <c r="DB29" s="362"/>
      <c r="DC29" s="362"/>
      <c r="DD29" s="362"/>
      <c r="DE29" s="362"/>
      <c r="DF29" s="362"/>
      <c r="DG29" s="362"/>
      <c r="DH29" s="362"/>
      <c r="DI29" s="362"/>
      <c r="DJ29" s="362"/>
      <c r="DK29" s="362"/>
      <c r="DL29" s="362"/>
      <c r="DM29" s="362"/>
      <c r="DN29" s="362"/>
      <c r="DO29" s="360"/>
      <c r="DP29" s="310">
        <f>BS66</f>
        <v>0</v>
      </c>
      <c r="DQ29" s="310">
        <f>BS99</f>
        <v>16</v>
      </c>
      <c r="DR29" s="310">
        <f>BS153</f>
        <v>28</v>
      </c>
      <c r="DS29" s="310">
        <f>BS165</f>
        <v>0</v>
      </c>
      <c r="DT29" s="310"/>
      <c r="DU29" s="310">
        <v>44</v>
      </c>
      <c r="DV29" s="309" t="s">
        <v>1873</v>
      </c>
      <c r="DW29" s="310"/>
      <c r="DX29" s="372">
        <f>ROUNDUP(BS7*4500,0)</f>
        <v>12375</v>
      </c>
    </row>
    <row r="30" spans="1:128" s="63" customFormat="1">
      <c r="A30" s="376"/>
      <c r="B30" s="374" t="s">
        <v>369</v>
      </c>
      <c r="C30" s="357"/>
      <c r="D30" s="357"/>
      <c r="E30" s="375">
        <f>ROUNDUP(27.98,0)</f>
        <v>28</v>
      </c>
      <c r="F30" s="357"/>
      <c r="G30" s="357"/>
      <c r="H30" s="375"/>
      <c r="I30" s="357"/>
      <c r="J30" s="357"/>
      <c r="K30" s="357"/>
      <c r="L30" s="357"/>
      <c r="M30" s="357"/>
      <c r="N30" s="357"/>
      <c r="O30" s="357"/>
      <c r="P30" s="362"/>
      <c r="Q30" s="362"/>
      <c r="R30" s="362"/>
      <c r="S30" s="362"/>
      <c r="T30" s="360">
        <f t="shared" si="4"/>
        <v>28</v>
      </c>
      <c r="U30" s="361">
        <f>ROUNDUP((23*4.7)-(BH7+BP7),0)</f>
        <v>104</v>
      </c>
      <c r="V30" s="361"/>
      <c r="W30" s="361"/>
      <c r="X30" s="357"/>
      <c r="Y30" s="357"/>
      <c r="Z30" s="357"/>
      <c r="AA30" s="357"/>
      <c r="AB30" s="357"/>
      <c r="AC30" s="375"/>
      <c r="AD30" s="357">
        <f>ROUNDUP((23*4.7)-(BH7+BP7),0)</f>
        <v>104</v>
      </c>
      <c r="AE30" s="357"/>
      <c r="AF30" s="357"/>
      <c r="AG30" s="357">
        <f>ROUNDUP((23*2.7)-(BH7+BP7),0)</f>
        <v>58</v>
      </c>
      <c r="AH30" s="357"/>
      <c r="AI30" s="357"/>
      <c r="AJ30" s="357"/>
      <c r="AK30" s="357"/>
      <c r="AL30" s="357"/>
      <c r="AM30" s="357"/>
      <c r="AN30" s="357"/>
      <c r="AO30" s="357"/>
      <c r="AP30" s="357"/>
      <c r="AQ30" s="357">
        <f>ROUNDUP((8*4.7)+BH9+BP9,0)</f>
        <v>47</v>
      </c>
      <c r="AR30" s="357"/>
      <c r="AS30" s="362"/>
      <c r="AT30" s="360">
        <f>ROUNDUP(BH8+BP8,0)</f>
        <v>3</v>
      </c>
      <c r="AU30" s="361"/>
      <c r="AV30" s="375">
        <f t="shared" si="5"/>
        <v>28</v>
      </c>
      <c r="AW30" s="357"/>
      <c r="AX30" s="357"/>
      <c r="AY30" s="360"/>
      <c r="AZ30" s="361"/>
      <c r="BA30" s="357"/>
      <c r="BB30" s="362"/>
      <c r="BC30" s="365">
        <f t="shared" si="0"/>
        <v>28</v>
      </c>
      <c r="BD30" s="361"/>
      <c r="BE30" s="357"/>
      <c r="BF30" s="357"/>
      <c r="BG30" s="357"/>
      <c r="BH30" s="357"/>
      <c r="BI30" s="357"/>
      <c r="BJ30" s="357"/>
      <c r="BK30" s="357"/>
      <c r="BL30" s="357"/>
      <c r="BM30" s="357"/>
      <c r="BN30" s="357"/>
      <c r="BO30" s="357"/>
      <c r="BP30" s="375">
        <v>1</v>
      </c>
      <c r="BQ30" s="375"/>
      <c r="BR30" s="357"/>
      <c r="BS30" s="357"/>
      <c r="BT30" s="357"/>
      <c r="BU30" s="357"/>
      <c r="BV30" s="357"/>
      <c r="BW30" s="357"/>
      <c r="BX30" s="357"/>
      <c r="BY30" s="357"/>
      <c r="BZ30" s="357"/>
      <c r="CA30" s="357"/>
      <c r="CB30" s="357"/>
      <c r="CC30" s="357"/>
      <c r="CD30" s="357"/>
      <c r="CE30" s="357"/>
      <c r="CF30" s="357"/>
      <c r="CG30" s="357"/>
      <c r="CH30" s="357"/>
      <c r="CI30" s="362"/>
      <c r="CJ30" s="378"/>
      <c r="CK30" s="378"/>
      <c r="CL30" s="362"/>
      <c r="CM30" s="362"/>
      <c r="CN30" s="362"/>
      <c r="CO30" s="362"/>
      <c r="CP30" s="362"/>
      <c r="CQ30" s="362"/>
      <c r="CR30" s="362"/>
      <c r="CS30" s="362"/>
      <c r="CT30" s="362"/>
      <c r="CU30" s="362"/>
      <c r="CV30" s="362"/>
      <c r="CW30" s="362"/>
      <c r="CX30" s="362"/>
      <c r="CY30" s="362"/>
      <c r="CZ30" s="362"/>
      <c r="DA30" s="362"/>
      <c r="DB30" s="362"/>
      <c r="DC30" s="362"/>
      <c r="DD30" s="362"/>
      <c r="DE30" s="362"/>
      <c r="DF30" s="362"/>
      <c r="DG30" s="362"/>
      <c r="DH30" s="362"/>
      <c r="DI30" s="362"/>
      <c r="DJ30" s="362"/>
      <c r="DK30" s="362"/>
      <c r="DL30" s="362"/>
      <c r="DM30" s="362"/>
      <c r="DN30" s="362"/>
      <c r="DO30" s="360"/>
      <c r="DP30" s="310">
        <f>BT66</f>
        <v>0</v>
      </c>
      <c r="DQ30" s="310">
        <f>BT99</f>
        <v>1</v>
      </c>
      <c r="DR30" s="310">
        <f>BT153</f>
        <v>0</v>
      </c>
      <c r="DS30" s="310">
        <f>BT165</f>
        <v>0</v>
      </c>
      <c r="DT30" s="310"/>
      <c r="DU30" s="310">
        <v>1</v>
      </c>
      <c r="DV30" s="309" t="s">
        <v>1874</v>
      </c>
      <c r="DW30" s="310"/>
      <c r="DX30" s="372">
        <f>ROUNDUP(BT7*3500,0)</f>
        <v>19950</v>
      </c>
    </row>
    <row r="31" spans="1:128" s="63" customFormat="1">
      <c r="A31" s="376"/>
      <c r="B31" s="374" t="s">
        <v>1359</v>
      </c>
      <c r="C31" s="357"/>
      <c r="D31" s="357"/>
      <c r="E31" s="375">
        <f>ROUNDUP(7.7,0)</f>
        <v>8</v>
      </c>
      <c r="F31" s="357"/>
      <c r="G31" s="357"/>
      <c r="H31" s="375"/>
      <c r="I31" s="357"/>
      <c r="J31" s="357"/>
      <c r="K31" s="357"/>
      <c r="L31" s="357"/>
      <c r="M31" s="357"/>
      <c r="N31" s="357"/>
      <c r="O31" s="357"/>
      <c r="P31" s="362"/>
      <c r="Q31" s="362"/>
      <c r="R31" s="362"/>
      <c r="S31" s="362"/>
      <c r="T31" s="360">
        <f t="shared" si="4"/>
        <v>8</v>
      </c>
      <c r="U31" s="361">
        <f>ROUNDUP((12*4.7)-(BH7+CL7),0)</f>
        <v>54</v>
      </c>
      <c r="V31" s="361"/>
      <c r="W31" s="361"/>
      <c r="X31" s="357"/>
      <c r="Y31" s="357"/>
      <c r="Z31" s="357"/>
      <c r="AA31" s="357"/>
      <c r="AB31" s="357"/>
      <c r="AC31" s="375"/>
      <c r="AD31" s="357">
        <f>ROUNDUP((12*4.7)-(BH7+CL7),0)</f>
        <v>54</v>
      </c>
      <c r="AE31" s="357"/>
      <c r="AF31" s="357"/>
      <c r="AG31" s="357">
        <f>ROUNDUP((12*2.7)-(BH7+CL7),0)</f>
        <v>30</v>
      </c>
      <c r="AH31" s="357"/>
      <c r="AI31" s="357"/>
      <c r="AJ31" s="357"/>
      <c r="AK31" s="357"/>
      <c r="AL31" s="357"/>
      <c r="AM31" s="357"/>
      <c r="AN31" s="357"/>
      <c r="AO31" s="357"/>
      <c r="AP31" s="357"/>
      <c r="AQ31" s="357">
        <f>(BH9+CL9)+(4.7*3)</f>
        <v>19.5</v>
      </c>
      <c r="AR31" s="357"/>
      <c r="AS31" s="362"/>
      <c r="AT31" s="360">
        <f>BH8+CL8</f>
        <v>4.2</v>
      </c>
      <c r="AU31" s="361"/>
      <c r="AV31" s="375">
        <f t="shared" si="5"/>
        <v>8</v>
      </c>
      <c r="AW31" s="357"/>
      <c r="AX31" s="357"/>
      <c r="AY31" s="360"/>
      <c r="AZ31" s="361"/>
      <c r="BA31" s="357">
        <f>AC31</f>
        <v>0</v>
      </c>
      <c r="BB31" s="362"/>
      <c r="BC31" s="365">
        <f t="shared" si="0"/>
        <v>8</v>
      </c>
      <c r="BD31" s="361"/>
      <c r="BE31" s="357"/>
      <c r="BF31" s="357"/>
      <c r="BG31" s="357"/>
      <c r="BH31" s="357">
        <v>1</v>
      </c>
      <c r="BI31" s="357"/>
      <c r="BJ31" s="357"/>
      <c r="BK31" s="357"/>
      <c r="BL31" s="357"/>
      <c r="BM31" s="357"/>
      <c r="BN31" s="357"/>
      <c r="BO31" s="357"/>
      <c r="BP31" s="375"/>
      <c r="BQ31" s="375"/>
      <c r="BR31" s="375"/>
      <c r="BS31" s="357"/>
      <c r="BT31" s="357"/>
      <c r="BU31" s="357"/>
      <c r="BV31" s="357"/>
      <c r="BW31" s="357"/>
      <c r="BX31" s="357"/>
      <c r="BY31" s="357"/>
      <c r="BZ31" s="357"/>
      <c r="CA31" s="357"/>
      <c r="CB31" s="357"/>
      <c r="CC31" s="357"/>
      <c r="CD31" s="357"/>
      <c r="CE31" s="357"/>
      <c r="CF31" s="357"/>
      <c r="CG31" s="357"/>
      <c r="CH31" s="357"/>
      <c r="CI31" s="362"/>
      <c r="CJ31" s="378"/>
      <c r="CK31" s="378"/>
      <c r="CL31" s="378">
        <v>1</v>
      </c>
      <c r="CM31" s="378"/>
      <c r="CN31" s="362"/>
      <c r="CO31" s="362"/>
      <c r="CP31" s="362"/>
      <c r="CQ31" s="362"/>
      <c r="CR31" s="362"/>
      <c r="CS31" s="362"/>
      <c r="CT31" s="362"/>
      <c r="CU31" s="362"/>
      <c r="CV31" s="362"/>
      <c r="CW31" s="362"/>
      <c r="CX31" s="362"/>
      <c r="CY31" s="362"/>
      <c r="CZ31" s="362"/>
      <c r="DA31" s="362"/>
      <c r="DB31" s="362"/>
      <c r="DC31" s="362"/>
      <c r="DD31" s="362"/>
      <c r="DE31" s="362"/>
      <c r="DF31" s="362"/>
      <c r="DG31" s="362"/>
      <c r="DH31" s="362"/>
      <c r="DI31" s="362"/>
      <c r="DJ31" s="362"/>
      <c r="DK31" s="362"/>
      <c r="DL31" s="362"/>
      <c r="DM31" s="362"/>
      <c r="DN31" s="362"/>
      <c r="DO31" s="360"/>
      <c r="DP31" s="310">
        <f>BU66</f>
        <v>0</v>
      </c>
      <c r="DQ31" s="310">
        <f>BU99</f>
        <v>0</v>
      </c>
      <c r="DR31" s="310">
        <f>BU153</f>
        <v>0</v>
      </c>
      <c r="DS31" s="310">
        <f>BT165</f>
        <v>0</v>
      </c>
      <c r="DT31" s="310"/>
      <c r="DU31" s="310">
        <v>1</v>
      </c>
      <c r="DV31" s="309" t="s">
        <v>1875</v>
      </c>
      <c r="DW31" s="310"/>
      <c r="DX31" s="372">
        <f>ROUNDUP(BV7*3500,0)</f>
        <v>61250</v>
      </c>
    </row>
    <row r="32" spans="1:128" s="63" customFormat="1">
      <c r="A32" s="376"/>
      <c r="B32" s="374" t="s">
        <v>370</v>
      </c>
      <c r="C32" s="375"/>
      <c r="D32" s="357"/>
      <c r="E32" s="375">
        <f>ROUNDUP(56.46,0)</f>
        <v>57</v>
      </c>
      <c r="F32" s="357"/>
      <c r="G32" s="357"/>
      <c r="H32" s="375"/>
      <c r="I32" s="357"/>
      <c r="J32" s="357"/>
      <c r="K32" s="357"/>
      <c r="L32" s="357"/>
      <c r="M32" s="357"/>
      <c r="N32" s="357"/>
      <c r="O32" s="357"/>
      <c r="P32" s="362"/>
      <c r="Q32" s="362"/>
      <c r="R32" s="362"/>
      <c r="S32" s="362"/>
      <c r="T32" s="360">
        <f t="shared" si="4"/>
        <v>57</v>
      </c>
      <c r="U32" s="361">
        <f>ROUNDUP((32*4.7)-(BP7+(CJ7*2)),0)</f>
        <v>145</v>
      </c>
      <c r="V32" s="361"/>
      <c r="W32" s="361"/>
      <c r="X32" s="357"/>
      <c r="Y32" s="357"/>
      <c r="Z32" s="357"/>
      <c r="AA32" s="357"/>
      <c r="AB32" s="357"/>
      <c r="AC32" s="357"/>
      <c r="AD32" s="357">
        <f>ROUNDUP((32*4.7)-(BP7+(CJ7*2)),0)</f>
        <v>145</v>
      </c>
      <c r="AE32" s="357"/>
      <c r="AF32" s="357"/>
      <c r="AG32" s="357">
        <f>ROUNDUP((32*2.7)-(BP7+(CJ7*2)),0)</f>
        <v>81</v>
      </c>
      <c r="AH32" s="357"/>
      <c r="AI32" s="357"/>
      <c r="AJ32" s="357"/>
      <c r="AK32" s="357"/>
      <c r="AL32" s="357"/>
      <c r="AM32" s="357"/>
      <c r="AN32" s="357"/>
      <c r="AO32" s="357"/>
      <c r="AP32" s="357"/>
      <c r="AQ32" s="357">
        <f>ROUNDUP(((3*4.7)+BP9+(CJ9*2)),0)</f>
        <v>22</v>
      </c>
      <c r="AR32" s="357"/>
      <c r="AS32" s="362"/>
      <c r="AT32" s="360">
        <f>ROUNDUP(BP8+(CJ8*2),0)</f>
        <v>12</v>
      </c>
      <c r="AU32" s="361"/>
      <c r="AV32" s="375">
        <f t="shared" si="5"/>
        <v>57</v>
      </c>
      <c r="AW32" s="357"/>
      <c r="AX32" s="357"/>
      <c r="AY32" s="360"/>
      <c r="AZ32" s="361"/>
      <c r="BA32" s="357"/>
      <c r="BB32" s="362"/>
      <c r="BC32" s="365">
        <f t="shared" si="0"/>
        <v>57</v>
      </c>
      <c r="BD32" s="361"/>
      <c r="BE32" s="357"/>
      <c r="BF32" s="357"/>
      <c r="BG32" s="357"/>
      <c r="BH32" s="357"/>
      <c r="BI32" s="357"/>
      <c r="BJ32" s="357"/>
      <c r="BK32" s="357"/>
      <c r="BL32" s="357"/>
      <c r="BM32" s="357"/>
      <c r="BN32" s="357"/>
      <c r="BO32" s="357"/>
      <c r="BP32" s="375">
        <v>1</v>
      </c>
      <c r="BQ32" s="375"/>
      <c r="BR32" s="357"/>
      <c r="BS32" s="357"/>
      <c r="BT32" s="357"/>
      <c r="BU32" s="357"/>
      <c r="BV32" s="357"/>
      <c r="BW32" s="357"/>
      <c r="BX32" s="357"/>
      <c r="BY32" s="357"/>
      <c r="BZ32" s="357"/>
      <c r="CA32" s="357"/>
      <c r="CB32" s="357"/>
      <c r="CC32" s="357"/>
      <c r="CD32" s="357"/>
      <c r="CE32" s="357"/>
      <c r="CF32" s="357"/>
      <c r="CG32" s="357"/>
      <c r="CH32" s="357"/>
      <c r="CI32" s="362"/>
      <c r="CJ32" s="378">
        <v>2</v>
      </c>
      <c r="CK32" s="378"/>
      <c r="CL32" s="362"/>
      <c r="CM32" s="362"/>
      <c r="CN32" s="362"/>
      <c r="CO32" s="362"/>
      <c r="CP32" s="362"/>
      <c r="CQ32" s="362"/>
      <c r="CR32" s="362"/>
      <c r="CS32" s="362"/>
      <c r="CT32" s="362"/>
      <c r="CU32" s="362"/>
      <c r="CV32" s="362"/>
      <c r="CW32" s="362"/>
      <c r="CX32" s="362"/>
      <c r="CY32" s="362"/>
      <c r="CZ32" s="362"/>
      <c r="DA32" s="362"/>
      <c r="DB32" s="362"/>
      <c r="DC32" s="362"/>
      <c r="DD32" s="362"/>
      <c r="DE32" s="362"/>
      <c r="DF32" s="362"/>
      <c r="DG32" s="362"/>
      <c r="DH32" s="362"/>
      <c r="DI32" s="362"/>
      <c r="DJ32" s="362"/>
      <c r="DK32" s="362"/>
      <c r="DL32" s="362"/>
      <c r="DM32" s="362"/>
      <c r="DN32" s="362"/>
      <c r="DO32" s="360"/>
      <c r="DP32" s="310">
        <f>BV66</f>
        <v>0</v>
      </c>
      <c r="DQ32" s="310">
        <f>BV99</f>
        <v>0</v>
      </c>
      <c r="DR32" s="310">
        <f>BV153</f>
        <v>1</v>
      </c>
      <c r="DS32" s="310">
        <f>BV165</f>
        <v>0</v>
      </c>
      <c r="DT32" s="310"/>
      <c r="DU32" s="310">
        <v>1</v>
      </c>
      <c r="DV32" s="309" t="s">
        <v>1876</v>
      </c>
      <c r="DW32" s="310"/>
      <c r="DX32" s="372">
        <f>ROUNDUP(BW7*4000,0)</f>
        <v>471960</v>
      </c>
    </row>
    <row r="33" spans="1:128" s="63" customFormat="1">
      <c r="A33" s="376"/>
      <c r="B33" s="368" t="s">
        <v>1345</v>
      </c>
      <c r="C33" s="375"/>
      <c r="D33" s="375">
        <f>ROUND(((0.25*2.15)*26)+((0.18*2.15)*28)+(2*4.4),0)</f>
        <v>34</v>
      </c>
      <c r="E33" s="375"/>
      <c r="F33" s="357"/>
      <c r="G33" s="357"/>
      <c r="H33" s="375"/>
      <c r="I33" s="357"/>
      <c r="J33" s="357"/>
      <c r="K33" s="357"/>
      <c r="L33" s="357"/>
      <c r="M33" s="357"/>
      <c r="N33" s="357"/>
      <c r="O33" s="357"/>
      <c r="P33" s="362"/>
      <c r="Q33" s="362"/>
      <c r="R33" s="362"/>
      <c r="S33" s="362"/>
      <c r="T33" s="360"/>
      <c r="U33" s="361"/>
      <c r="V33" s="361"/>
      <c r="W33" s="361"/>
      <c r="X33" s="357"/>
      <c r="Y33" s="357"/>
      <c r="Z33" s="357"/>
      <c r="AA33" s="357"/>
      <c r="AB33" s="357"/>
      <c r="AC33" s="357"/>
      <c r="AD33" s="357"/>
      <c r="AE33" s="357"/>
      <c r="AF33" s="357"/>
      <c r="AG33" s="357"/>
      <c r="AH33" s="357"/>
      <c r="AI33" s="357"/>
      <c r="AJ33" s="357"/>
      <c r="AK33" s="357"/>
      <c r="AL33" s="357"/>
      <c r="AM33" s="357"/>
      <c r="AN33" s="357"/>
      <c r="AO33" s="357"/>
      <c r="AP33" s="357"/>
      <c r="AQ33" s="357"/>
      <c r="AR33" s="357"/>
      <c r="AS33" s="362"/>
      <c r="AT33" s="360"/>
      <c r="AU33" s="361"/>
      <c r="AV33" s="375"/>
      <c r="AW33" s="357"/>
      <c r="AX33" s="357"/>
      <c r="AY33" s="360"/>
      <c r="AZ33" s="361"/>
      <c r="BA33" s="357"/>
      <c r="BB33" s="362"/>
      <c r="BC33" s="365">
        <f t="shared" si="0"/>
        <v>0</v>
      </c>
      <c r="BD33" s="361"/>
      <c r="BE33" s="357"/>
      <c r="BF33" s="357"/>
      <c r="BG33" s="357"/>
      <c r="BH33" s="357"/>
      <c r="BI33" s="357"/>
      <c r="BJ33" s="357"/>
      <c r="BK33" s="357"/>
      <c r="BL33" s="357"/>
      <c r="BM33" s="357"/>
      <c r="BN33" s="357"/>
      <c r="BO33" s="357"/>
      <c r="BP33" s="375"/>
      <c r="BQ33" s="375"/>
      <c r="BR33" s="357"/>
      <c r="BS33" s="357"/>
      <c r="BT33" s="357"/>
      <c r="BU33" s="357"/>
      <c r="BV33" s="357"/>
      <c r="BW33" s="357"/>
      <c r="BX33" s="357"/>
      <c r="BY33" s="357"/>
      <c r="BZ33" s="357"/>
      <c r="CA33" s="357"/>
      <c r="CB33" s="357"/>
      <c r="CC33" s="357"/>
      <c r="CD33" s="357"/>
      <c r="CE33" s="357"/>
      <c r="CF33" s="357"/>
      <c r="CG33" s="357"/>
      <c r="CH33" s="357"/>
      <c r="CI33" s="362"/>
      <c r="CJ33" s="378"/>
      <c r="CK33" s="378"/>
      <c r="CL33" s="362"/>
      <c r="CM33" s="362"/>
      <c r="CN33" s="362"/>
      <c r="CO33" s="362"/>
      <c r="CP33" s="362"/>
      <c r="CQ33" s="362"/>
      <c r="CR33" s="362"/>
      <c r="CS33" s="362"/>
      <c r="CT33" s="362"/>
      <c r="CU33" s="362"/>
      <c r="CV33" s="362"/>
      <c r="CW33" s="362"/>
      <c r="CX33" s="362"/>
      <c r="CY33" s="362"/>
      <c r="CZ33" s="362"/>
      <c r="DA33" s="362"/>
      <c r="DB33" s="362"/>
      <c r="DC33" s="362"/>
      <c r="DD33" s="362"/>
      <c r="DE33" s="362"/>
      <c r="DF33" s="362"/>
      <c r="DG33" s="362"/>
      <c r="DH33" s="362"/>
      <c r="DI33" s="362"/>
      <c r="DJ33" s="362"/>
      <c r="DK33" s="362"/>
      <c r="DL33" s="362"/>
      <c r="DM33" s="362"/>
      <c r="DN33" s="362"/>
      <c r="DO33" s="360"/>
      <c r="DP33" s="310"/>
      <c r="DQ33" s="310"/>
      <c r="DR33" s="310"/>
      <c r="DS33" s="310"/>
      <c r="DT33" s="310"/>
      <c r="DU33" s="310"/>
      <c r="DV33" s="309"/>
      <c r="DW33" s="310"/>
      <c r="DX33" s="372"/>
    </row>
    <row r="34" spans="1:128" s="63" customFormat="1">
      <c r="A34" s="657"/>
      <c r="B34" s="368" t="s">
        <v>1334</v>
      </c>
      <c r="C34" s="375">
        <f>ROUND(((0.25*1.6)*30)+((0.18*1.6)*32)+(1.5*3.3),0)</f>
        <v>26</v>
      </c>
      <c r="D34" s="357"/>
      <c r="E34" s="375"/>
      <c r="F34" s="357"/>
      <c r="G34" s="357"/>
      <c r="H34" s="375"/>
      <c r="I34" s="357"/>
      <c r="J34" s="357"/>
      <c r="K34" s="357"/>
      <c r="L34" s="357"/>
      <c r="M34" s="357"/>
      <c r="N34" s="357"/>
      <c r="O34" s="357"/>
      <c r="P34" s="362"/>
      <c r="Q34" s="362"/>
      <c r="R34" s="362"/>
      <c r="S34" s="362"/>
      <c r="T34" s="360"/>
      <c r="U34" s="659"/>
      <c r="V34" s="659"/>
      <c r="W34" s="659"/>
      <c r="X34" s="357"/>
      <c r="Y34" s="357"/>
      <c r="Z34" s="357"/>
      <c r="AA34" s="357"/>
      <c r="AB34" s="357"/>
      <c r="AC34" s="357"/>
      <c r="AD34" s="357"/>
      <c r="AE34" s="357"/>
      <c r="AF34" s="357"/>
      <c r="AG34" s="357"/>
      <c r="AH34" s="357"/>
      <c r="AI34" s="357"/>
      <c r="AJ34" s="357"/>
      <c r="AK34" s="357"/>
      <c r="AL34" s="357"/>
      <c r="AM34" s="357"/>
      <c r="AN34" s="357"/>
      <c r="AO34" s="357"/>
      <c r="AP34" s="357"/>
      <c r="AQ34" s="357"/>
      <c r="AR34" s="357"/>
      <c r="AS34" s="362"/>
      <c r="AT34" s="360"/>
      <c r="AU34" s="659"/>
      <c r="AV34" s="375"/>
      <c r="AW34" s="357"/>
      <c r="AX34" s="357"/>
      <c r="AY34" s="360"/>
      <c r="AZ34" s="659"/>
      <c r="BA34" s="357"/>
      <c r="BB34" s="362"/>
      <c r="BC34" s="365">
        <f t="shared" si="0"/>
        <v>0</v>
      </c>
      <c r="BD34" s="659"/>
      <c r="BE34" s="357"/>
      <c r="BF34" s="357"/>
      <c r="BG34" s="357"/>
      <c r="BH34" s="357"/>
      <c r="BI34" s="357"/>
      <c r="BJ34" s="357"/>
      <c r="BK34" s="357"/>
      <c r="BL34" s="357"/>
      <c r="BM34" s="357"/>
      <c r="BN34" s="357"/>
      <c r="BO34" s="357"/>
      <c r="BP34" s="375"/>
      <c r="BQ34" s="375"/>
      <c r="BR34" s="357"/>
      <c r="BS34" s="357"/>
      <c r="BT34" s="357"/>
      <c r="BU34" s="357"/>
      <c r="BV34" s="357"/>
      <c r="BW34" s="357"/>
      <c r="BX34" s="357"/>
      <c r="BY34" s="357"/>
      <c r="BZ34" s="357"/>
      <c r="CA34" s="357"/>
      <c r="CB34" s="357"/>
      <c r="CC34" s="357"/>
      <c r="CD34" s="357"/>
      <c r="CE34" s="357"/>
      <c r="CF34" s="357"/>
      <c r="CG34" s="357"/>
      <c r="CH34" s="357"/>
      <c r="CI34" s="362"/>
      <c r="CJ34" s="378"/>
      <c r="CK34" s="378"/>
      <c r="CL34" s="362"/>
      <c r="CM34" s="362"/>
      <c r="CN34" s="362"/>
      <c r="CO34" s="362"/>
      <c r="CP34" s="362"/>
      <c r="CQ34" s="362"/>
      <c r="CR34" s="362"/>
      <c r="CS34" s="362"/>
      <c r="CT34" s="362"/>
      <c r="CU34" s="362"/>
      <c r="CV34" s="362"/>
      <c r="CW34" s="362"/>
      <c r="CX34" s="362"/>
      <c r="CY34" s="362"/>
      <c r="CZ34" s="362"/>
      <c r="DA34" s="362"/>
      <c r="DB34" s="362"/>
      <c r="DC34" s="362"/>
      <c r="DD34" s="362"/>
      <c r="DE34" s="362"/>
      <c r="DF34" s="362"/>
      <c r="DG34" s="362"/>
      <c r="DH34" s="362"/>
      <c r="DI34" s="362"/>
      <c r="DJ34" s="362"/>
      <c r="DK34" s="362"/>
      <c r="DL34" s="362"/>
      <c r="DM34" s="362"/>
      <c r="DN34" s="362"/>
      <c r="DO34" s="360"/>
      <c r="DP34" s="310"/>
      <c r="DQ34" s="310"/>
      <c r="DR34" s="310"/>
      <c r="DS34" s="310"/>
      <c r="DT34" s="310"/>
      <c r="DU34" s="310"/>
      <c r="DV34" s="309"/>
      <c r="DW34" s="310"/>
      <c r="DX34" s="372"/>
    </row>
    <row r="35" spans="1:128" s="63" customFormat="1">
      <c r="A35" s="657"/>
      <c r="B35" s="368" t="s">
        <v>1336</v>
      </c>
      <c r="C35" s="375"/>
      <c r="D35" s="357"/>
      <c r="E35" s="375"/>
      <c r="F35" s="357"/>
      <c r="G35" s="357"/>
      <c r="H35" s="375">
        <f>ROUND(((0.3*2.2)*2)+((0.17*2.2)*3),0)</f>
        <v>2</v>
      </c>
      <c r="I35" s="357"/>
      <c r="J35" s="357"/>
      <c r="K35" s="357"/>
      <c r="L35" s="357"/>
      <c r="M35" s="357"/>
      <c r="N35" s="357"/>
      <c r="O35" s="357"/>
      <c r="P35" s="362"/>
      <c r="Q35" s="362"/>
      <c r="R35" s="362"/>
      <c r="S35" s="362"/>
      <c r="T35" s="360"/>
      <c r="U35" s="659"/>
      <c r="V35" s="659"/>
      <c r="W35" s="659"/>
      <c r="X35" s="357"/>
      <c r="Y35" s="357"/>
      <c r="Z35" s="357"/>
      <c r="AA35" s="357"/>
      <c r="AB35" s="357"/>
      <c r="AC35" s="357"/>
      <c r="AD35" s="357"/>
      <c r="AE35" s="357"/>
      <c r="AF35" s="357"/>
      <c r="AG35" s="357"/>
      <c r="AH35" s="357"/>
      <c r="AI35" s="357"/>
      <c r="AJ35" s="357"/>
      <c r="AK35" s="357"/>
      <c r="AL35" s="357"/>
      <c r="AM35" s="357"/>
      <c r="AN35" s="357"/>
      <c r="AO35" s="357"/>
      <c r="AP35" s="357"/>
      <c r="AQ35" s="357"/>
      <c r="AR35" s="357"/>
      <c r="AS35" s="362"/>
      <c r="AT35" s="360"/>
      <c r="AU35" s="659"/>
      <c r="AV35" s="375"/>
      <c r="AW35" s="357"/>
      <c r="AX35" s="357"/>
      <c r="AY35" s="360"/>
      <c r="AZ35" s="659"/>
      <c r="BA35" s="357"/>
      <c r="BB35" s="362"/>
      <c r="BC35" s="365">
        <f t="shared" si="0"/>
        <v>0</v>
      </c>
      <c r="BD35" s="659"/>
      <c r="BE35" s="357"/>
      <c r="BF35" s="357"/>
      <c r="BG35" s="357"/>
      <c r="BH35" s="357"/>
      <c r="BI35" s="357"/>
      <c r="BJ35" s="357"/>
      <c r="BK35" s="357"/>
      <c r="BL35" s="357"/>
      <c r="BM35" s="357"/>
      <c r="BN35" s="357"/>
      <c r="BO35" s="357"/>
      <c r="BP35" s="375"/>
      <c r="BQ35" s="375"/>
      <c r="BR35" s="357"/>
      <c r="BS35" s="357"/>
      <c r="BT35" s="357"/>
      <c r="BU35" s="357"/>
      <c r="BV35" s="357"/>
      <c r="BW35" s="357"/>
      <c r="BX35" s="357"/>
      <c r="BY35" s="357"/>
      <c r="BZ35" s="357"/>
      <c r="CA35" s="357"/>
      <c r="CB35" s="357"/>
      <c r="CC35" s="357"/>
      <c r="CD35" s="357"/>
      <c r="CE35" s="357"/>
      <c r="CF35" s="357"/>
      <c r="CG35" s="357"/>
      <c r="CH35" s="357"/>
      <c r="CI35" s="362"/>
      <c r="CJ35" s="378"/>
      <c r="CK35" s="378"/>
      <c r="CL35" s="362"/>
      <c r="CM35" s="362"/>
      <c r="CN35" s="362"/>
      <c r="CO35" s="362"/>
      <c r="CP35" s="362"/>
      <c r="CQ35" s="362"/>
      <c r="CR35" s="362"/>
      <c r="CS35" s="362"/>
      <c r="CT35" s="362"/>
      <c r="CU35" s="362"/>
      <c r="CV35" s="362"/>
      <c r="CW35" s="362"/>
      <c r="CX35" s="362"/>
      <c r="CY35" s="362"/>
      <c r="CZ35" s="362"/>
      <c r="DA35" s="362"/>
      <c r="DB35" s="362"/>
      <c r="DC35" s="362"/>
      <c r="DD35" s="362"/>
      <c r="DE35" s="362"/>
      <c r="DF35" s="362"/>
      <c r="DG35" s="362"/>
      <c r="DH35" s="362"/>
      <c r="DI35" s="362"/>
      <c r="DJ35" s="362"/>
      <c r="DK35" s="362"/>
      <c r="DL35" s="362"/>
      <c r="DM35" s="362"/>
      <c r="DN35" s="362"/>
      <c r="DO35" s="360"/>
      <c r="DP35" s="310">
        <f>SUM(DP14:DP34)</f>
        <v>21</v>
      </c>
      <c r="DQ35" s="310">
        <f>SUM(DQ14:DQ34)</f>
        <v>33</v>
      </c>
      <c r="DR35" s="310">
        <f>SUM(DR14:DR34)</f>
        <v>42</v>
      </c>
      <c r="DS35" s="310">
        <f>SUM(DS14:DS34)</f>
        <v>2</v>
      </c>
      <c r="DT35" s="310"/>
      <c r="DU35" s="310"/>
      <c r="DV35" s="309"/>
      <c r="DW35" s="310"/>
      <c r="DX35" s="372"/>
    </row>
    <row r="36" spans="1:128" s="63" customFormat="1">
      <c r="A36" s="657"/>
      <c r="B36" s="368" t="s">
        <v>1335</v>
      </c>
      <c r="C36" s="375"/>
      <c r="D36" s="357"/>
      <c r="E36" s="375"/>
      <c r="F36" s="357">
        <f>ROUND(((0.3*5.6)*2)+((0.17*5.6)*3),0)</f>
        <v>6</v>
      </c>
      <c r="G36" s="357"/>
      <c r="H36" s="375"/>
      <c r="I36" s="357"/>
      <c r="J36" s="357"/>
      <c r="K36" s="357"/>
      <c r="L36" s="357"/>
      <c r="M36" s="357"/>
      <c r="N36" s="357"/>
      <c r="O36" s="357"/>
      <c r="P36" s="362"/>
      <c r="Q36" s="362"/>
      <c r="R36" s="362"/>
      <c r="S36" s="362"/>
      <c r="T36" s="360"/>
      <c r="U36" s="659"/>
      <c r="V36" s="659"/>
      <c r="W36" s="659"/>
      <c r="X36" s="357"/>
      <c r="Y36" s="357"/>
      <c r="Z36" s="357"/>
      <c r="AA36" s="357"/>
      <c r="AB36" s="357"/>
      <c r="AC36" s="357"/>
      <c r="AD36" s="357"/>
      <c r="AE36" s="357"/>
      <c r="AF36" s="357"/>
      <c r="AG36" s="357"/>
      <c r="AH36" s="357"/>
      <c r="AI36" s="357"/>
      <c r="AJ36" s="357"/>
      <c r="AK36" s="357"/>
      <c r="AL36" s="357"/>
      <c r="AM36" s="357"/>
      <c r="AN36" s="357"/>
      <c r="AO36" s="357"/>
      <c r="AP36" s="357"/>
      <c r="AQ36" s="357"/>
      <c r="AR36" s="357"/>
      <c r="AS36" s="362"/>
      <c r="AT36" s="360"/>
      <c r="AU36" s="659"/>
      <c r="AV36" s="375"/>
      <c r="AW36" s="357"/>
      <c r="AX36" s="357"/>
      <c r="AY36" s="360"/>
      <c r="AZ36" s="659"/>
      <c r="BA36" s="357"/>
      <c r="BB36" s="362"/>
      <c r="BC36" s="365">
        <f t="shared" si="0"/>
        <v>0</v>
      </c>
      <c r="BD36" s="659"/>
      <c r="BE36" s="357"/>
      <c r="BF36" s="357"/>
      <c r="BG36" s="357"/>
      <c r="BH36" s="357"/>
      <c r="BI36" s="357"/>
      <c r="BJ36" s="357"/>
      <c r="BK36" s="357"/>
      <c r="BL36" s="357"/>
      <c r="BM36" s="357"/>
      <c r="BN36" s="357"/>
      <c r="BO36" s="357"/>
      <c r="BP36" s="375"/>
      <c r="BQ36" s="375"/>
      <c r="BR36" s="357"/>
      <c r="BS36" s="357"/>
      <c r="BT36" s="357"/>
      <c r="BU36" s="357"/>
      <c r="BV36" s="357"/>
      <c r="BW36" s="357"/>
      <c r="BX36" s="357"/>
      <c r="BY36" s="357"/>
      <c r="BZ36" s="357"/>
      <c r="CA36" s="357"/>
      <c r="CB36" s="357"/>
      <c r="CC36" s="357"/>
      <c r="CD36" s="357"/>
      <c r="CE36" s="357"/>
      <c r="CF36" s="357"/>
      <c r="CG36" s="357"/>
      <c r="CH36" s="357"/>
      <c r="CI36" s="362"/>
      <c r="CJ36" s="378"/>
      <c r="CK36" s="378"/>
      <c r="CL36" s="362"/>
      <c r="CM36" s="362"/>
      <c r="CN36" s="362"/>
      <c r="CO36" s="362"/>
      <c r="CP36" s="362"/>
      <c r="CQ36" s="362"/>
      <c r="CR36" s="362"/>
      <c r="CS36" s="362"/>
      <c r="CT36" s="362"/>
      <c r="CU36" s="362"/>
      <c r="CV36" s="362"/>
      <c r="CW36" s="362"/>
      <c r="CX36" s="362"/>
      <c r="CY36" s="362"/>
      <c r="CZ36" s="362"/>
      <c r="DA36" s="362"/>
      <c r="DB36" s="362"/>
      <c r="DC36" s="362"/>
      <c r="DD36" s="362"/>
      <c r="DE36" s="362"/>
      <c r="DF36" s="362"/>
      <c r="DG36" s="362"/>
      <c r="DH36" s="362"/>
      <c r="DI36" s="362"/>
      <c r="DJ36" s="362"/>
      <c r="DK36" s="362"/>
      <c r="DL36" s="362"/>
      <c r="DM36" s="362"/>
      <c r="DN36" s="362"/>
      <c r="DO36" s="360"/>
      <c r="DP36" s="310"/>
      <c r="DQ36" s="310"/>
      <c r="DR36" s="310"/>
      <c r="DS36" s="310"/>
      <c r="DT36" s="310"/>
      <c r="DU36" s="310"/>
      <c r="DV36" s="309"/>
      <c r="DW36" s="310"/>
      <c r="DX36" s="372"/>
    </row>
    <row r="37" spans="1:128" s="63" customFormat="1">
      <c r="A37" s="657"/>
      <c r="B37" s="368" t="s">
        <v>1341</v>
      </c>
      <c r="C37" s="375"/>
      <c r="D37" s="357"/>
      <c r="E37" s="375"/>
      <c r="F37" s="357">
        <f>ROUND(((0.5*8)*2)+((0.17*8)*3),0)</f>
        <v>12</v>
      </c>
      <c r="G37" s="357"/>
      <c r="H37" s="375"/>
      <c r="I37" s="357"/>
      <c r="J37" s="357"/>
      <c r="K37" s="357"/>
      <c r="L37" s="357"/>
      <c r="M37" s="357"/>
      <c r="N37" s="357"/>
      <c r="O37" s="357"/>
      <c r="P37" s="362"/>
      <c r="Q37" s="362"/>
      <c r="R37" s="362"/>
      <c r="S37" s="362"/>
      <c r="T37" s="360"/>
      <c r="U37" s="659"/>
      <c r="V37" s="659"/>
      <c r="W37" s="659"/>
      <c r="X37" s="357"/>
      <c r="Y37" s="357"/>
      <c r="Z37" s="357"/>
      <c r="AA37" s="357"/>
      <c r="AB37" s="357"/>
      <c r="AC37" s="357"/>
      <c r="AD37" s="357"/>
      <c r="AE37" s="357"/>
      <c r="AF37" s="357"/>
      <c r="AG37" s="357"/>
      <c r="AH37" s="357"/>
      <c r="AI37" s="357"/>
      <c r="AJ37" s="357"/>
      <c r="AK37" s="357"/>
      <c r="AL37" s="357"/>
      <c r="AM37" s="357"/>
      <c r="AN37" s="357"/>
      <c r="AO37" s="357"/>
      <c r="AP37" s="357"/>
      <c r="AQ37" s="357"/>
      <c r="AR37" s="357"/>
      <c r="AS37" s="362"/>
      <c r="AT37" s="360"/>
      <c r="AU37" s="659"/>
      <c r="AV37" s="375"/>
      <c r="AW37" s="357"/>
      <c r="AX37" s="357"/>
      <c r="AY37" s="360"/>
      <c r="AZ37" s="659"/>
      <c r="BA37" s="357"/>
      <c r="BB37" s="362"/>
      <c r="BC37" s="365">
        <f t="shared" si="0"/>
        <v>0</v>
      </c>
      <c r="BD37" s="659"/>
      <c r="BE37" s="357"/>
      <c r="BF37" s="357"/>
      <c r="BG37" s="357"/>
      <c r="BH37" s="357"/>
      <c r="BI37" s="357"/>
      <c r="BJ37" s="357"/>
      <c r="BK37" s="357"/>
      <c r="BL37" s="357"/>
      <c r="BM37" s="357"/>
      <c r="BN37" s="357"/>
      <c r="BO37" s="357"/>
      <c r="BP37" s="375"/>
      <c r="BQ37" s="375"/>
      <c r="BR37" s="357"/>
      <c r="BS37" s="357"/>
      <c r="BT37" s="357"/>
      <c r="BU37" s="357"/>
      <c r="BV37" s="357"/>
      <c r="BW37" s="357"/>
      <c r="BX37" s="357"/>
      <c r="BY37" s="357"/>
      <c r="BZ37" s="357"/>
      <c r="CA37" s="357"/>
      <c r="CB37" s="357"/>
      <c r="CC37" s="357"/>
      <c r="CD37" s="357"/>
      <c r="CE37" s="357"/>
      <c r="CF37" s="357"/>
      <c r="CG37" s="357"/>
      <c r="CH37" s="357"/>
      <c r="CI37" s="362"/>
      <c r="CJ37" s="378"/>
      <c r="CK37" s="378"/>
      <c r="CL37" s="362"/>
      <c r="CM37" s="362"/>
      <c r="CN37" s="362"/>
      <c r="CO37" s="362"/>
      <c r="CP37" s="362"/>
      <c r="CQ37" s="362"/>
      <c r="CR37" s="362"/>
      <c r="CS37" s="362"/>
      <c r="CT37" s="362"/>
      <c r="CU37" s="362"/>
      <c r="CV37" s="362"/>
      <c r="CW37" s="362"/>
      <c r="CX37" s="362"/>
      <c r="CY37" s="362"/>
      <c r="CZ37" s="362"/>
      <c r="DA37" s="362"/>
      <c r="DB37" s="362"/>
      <c r="DC37" s="362"/>
      <c r="DD37" s="362"/>
      <c r="DE37" s="362"/>
      <c r="DF37" s="362"/>
      <c r="DG37" s="362"/>
      <c r="DH37" s="362"/>
      <c r="DI37" s="362"/>
      <c r="DJ37" s="362"/>
      <c r="DK37" s="362"/>
      <c r="DL37" s="362"/>
      <c r="DM37" s="362"/>
      <c r="DN37" s="362"/>
      <c r="DO37" s="360"/>
      <c r="DP37" s="310"/>
      <c r="DQ37" s="310"/>
      <c r="DR37" s="310"/>
      <c r="DS37" s="310"/>
      <c r="DT37" s="310"/>
      <c r="DU37" s="310"/>
      <c r="DV37" s="309"/>
      <c r="DW37" s="310"/>
      <c r="DX37" s="372"/>
    </row>
    <row r="38" spans="1:128" s="63" customFormat="1">
      <c r="A38" s="657"/>
      <c r="B38" s="368" t="s">
        <v>1342</v>
      </c>
      <c r="C38" s="375"/>
      <c r="D38" s="357"/>
      <c r="E38" s="375"/>
      <c r="F38" s="357">
        <f>ROUND((2.5*(4.01+30.4+4.01)),0)</f>
        <v>96</v>
      </c>
      <c r="G38" s="357"/>
      <c r="H38" s="375"/>
      <c r="I38" s="357"/>
      <c r="J38" s="357"/>
      <c r="K38" s="357"/>
      <c r="L38" s="357"/>
      <c r="M38" s="357"/>
      <c r="N38" s="357"/>
      <c r="O38" s="357"/>
      <c r="P38" s="362"/>
      <c r="Q38" s="362"/>
      <c r="R38" s="362"/>
      <c r="S38" s="362"/>
      <c r="T38" s="360"/>
      <c r="U38" s="659"/>
      <c r="V38" s="659"/>
      <c r="W38" s="659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7"/>
      <c r="AL38" s="357"/>
      <c r="AM38" s="357"/>
      <c r="AN38" s="357"/>
      <c r="AO38" s="357"/>
      <c r="AP38" s="357"/>
      <c r="AQ38" s="357"/>
      <c r="AR38" s="357"/>
      <c r="AS38" s="362"/>
      <c r="AT38" s="360"/>
      <c r="AU38" s="659"/>
      <c r="AV38" s="375"/>
      <c r="AW38" s="357"/>
      <c r="AX38" s="357"/>
      <c r="AY38" s="360"/>
      <c r="AZ38" s="659"/>
      <c r="BA38" s="357"/>
      <c r="BB38" s="362"/>
      <c r="BC38" s="365">
        <f t="shared" si="0"/>
        <v>0</v>
      </c>
      <c r="BD38" s="659"/>
      <c r="BE38" s="357"/>
      <c r="BF38" s="357"/>
      <c r="BG38" s="357"/>
      <c r="BH38" s="357"/>
      <c r="BI38" s="357"/>
      <c r="BJ38" s="357"/>
      <c r="BK38" s="357"/>
      <c r="BL38" s="357"/>
      <c r="BM38" s="357"/>
      <c r="BN38" s="357"/>
      <c r="BO38" s="357"/>
      <c r="BP38" s="375"/>
      <c r="BQ38" s="375"/>
      <c r="BR38" s="357"/>
      <c r="BS38" s="357"/>
      <c r="BT38" s="357"/>
      <c r="BU38" s="357"/>
      <c r="BV38" s="357"/>
      <c r="BW38" s="357"/>
      <c r="BX38" s="357"/>
      <c r="BY38" s="357"/>
      <c r="BZ38" s="357"/>
      <c r="CA38" s="357"/>
      <c r="CB38" s="357"/>
      <c r="CC38" s="357"/>
      <c r="CD38" s="357"/>
      <c r="CE38" s="357"/>
      <c r="CF38" s="357"/>
      <c r="CG38" s="357"/>
      <c r="CH38" s="357"/>
      <c r="CI38" s="362"/>
      <c r="CJ38" s="378"/>
      <c r="CK38" s="378"/>
      <c r="CL38" s="362"/>
      <c r="CM38" s="362"/>
      <c r="CN38" s="362"/>
      <c r="CO38" s="362"/>
      <c r="CP38" s="362"/>
      <c r="CQ38" s="362"/>
      <c r="CR38" s="362"/>
      <c r="CS38" s="362"/>
      <c r="CT38" s="362"/>
      <c r="CU38" s="362"/>
      <c r="CV38" s="362"/>
      <c r="CW38" s="362"/>
      <c r="CX38" s="362"/>
      <c r="CY38" s="362"/>
      <c r="CZ38" s="362"/>
      <c r="DA38" s="362"/>
      <c r="DB38" s="362"/>
      <c r="DC38" s="362"/>
      <c r="DD38" s="362"/>
      <c r="DE38" s="362"/>
      <c r="DF38" s="362"/>
      <c r="DG38" s="362"/>
      <c r="DH38" s="362"/>
      <c r="DI38" s="362"/>
      <c r="DJ38" s="362"/>
      <c r="DK38" s="362"/>
      <c r="DL38" s="362"/>
      <c r="DM38" s="362"/>
      <c r="DN38" s="362"/>
      <c r="DO38" s="360"/>
      <c r="DP38" s="310"/>
      <c r="DQ38" s="310"/>
      <c r="DR38" s="310"/>
      <c r="DS38" s="310"/>
      <c r="DT38" s="310"/>
      <c r="DU38" s="310"/>
      <c r="DV38" s="309"/>
      <c r="DW38" s="310"/>
      <c r="DX38" s="372"/>
    </row>
    <row r="39" spans="1:128" s="63" customFormat="1">
      <c r="A39" s="376"/>
      <c r="B39" s="374" t="s">
        <v>445</v>
      </c>
      <c r="C39" s="375"/>
      <c r="D39" s="375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62"/>
      <c r="Q39" s="362"/>
      <c r="R39" s="362"/>
      <c r="S39" s="362"/>
      <c r="T39" s="360"/>
      <c r="U39" s="361"/>
      <c r="V39" s="361"/>
      <c r="W39" s="361"/>
      <c r="X39" s="357"/>
      <c r="Y39" s="357"/>
      <c r="Z39" s="357"/>
      <c r="AA39" s="357"/>
      <c r="AB39" s="357"/>
      <c r="AC39" s="357"/>
      <c r="AD39" s="357"/>
      <c r="AE39" s="357"/>
      <c r="AF39" s="357"/>
      <c r="AG39" s="357"/>
      <c r="AH39" s="357"/>
      <c r="AI39" s="357"/>
      <c r="AJ39" s="357"/>
      <c r="AK39" s="357"/>
      <c r="AL39" s="357"/>
      <c r="AM39" s="357"/>
      <c r="AN39" s="357"/>
      <c r="AO39" s="357"/>
      <c r="AP39" s="357"/>
      <c r="AQ39" s="357"/>
      <c r="AR39" s="357"/>
      <c r="AS39" s="362"/>
      <c r="AT39" s="360"/>
      <c r="AU39" s="374"/>
      <c r="AV39" s="357"/>
      <c r="AW39" s="357"/>
      <c r="AX39" s="357"/>
      <c r="AY39" s="360"/>
      <c r="AZ39" s="361"/>
      <c r="BA39" s="357"/>
      <c r="BB39" s="362"/>
      <c r="BC39" s="365">
        <f t="shared" si="0"/>
        <v>0</v>
      </c>
      <c r="BD39" s="361"/>
      <c r="BE39" s="357"/>
      <c r="BF39" s="357"/>
      <c r="BG39" s="357"/>
      <c r="BH39" s="357"/>
      <c r="BI39" s="357"/>
      <c r="BJ39" s="357"/>
      <c r="BK39" s="357"/>
      <c r="BL39" s="357"/>
      <c r="BM39" s="357"/>
      <c r="BN39" s="357"/>
      <c r="BO39" s="357"/>
      <c r="BP39" s="357"/>
      <c r="BQ39" s="357"/>
      <c r="BR39" s="357"/>
      <c r="BS39" s="357"/>
      <c r="BT39" s="357"/>
      <c r="BU39" s="357"/>
      <c r="BV39" s="357"/>
      <c r="BW39" s="357"/>
      <c r="BX39" s="357"/>
      <c r="BY39" s="357"/>
      <c r="BZ39" s="357"/>
      <c r="CA39" s="357"/>
      <c r="CB39" s="357"/>
      <c r="CC39" s="357"/>
      <c r="CD39" s="357"/>
      <c r="CE39" s="357"/>
      <c r="CF39" s="357"/>
      <c r="CG39" s="357"/>
      <c r="CH39" s="357"/>
      <c r="CI39" s="362"/>
      <c r="CJ39" s="362"/>
      <c r="CK39" s="362"/>
      <c r="CL39" s="362"/>
      <c r="CM39" s="362"/>
      <c r="CN39" s="362"/>
      <c r="CO39" s="362"/>
      <c r="CP39" s="362"/>
      <c r="CQ39" s="362"/>
      <c r="CR39" s="362"/>
      <c r="CS39" s="362"/>
      <c r="CT39" s="362"/>
      <c r="CU39" s="362"/>
      <c r="CV39" s="362"/>
      <c r="CW39" s="362"/>
      <c r="CX39" s="362"/>
      <c r="CY39" s="362"/>
      <c r="CZ39" s="362"/>
      <c r="DA39" s="362"/>
      <c r="DB39" s="362"/>
      <c r="DC39" s="362"/>
      <c r="DD39" s="362"/>
      <c r="DE39" s="362"/>
      <c r="DF39" s="362"/>
      <c r="DG39" s="362"/>
      <c r="DH39" s="362"/>
      <c r="DI39" s="362"/>
      <c r="DJ39" s="362"/>
      <c r="DK39" s="362"/>
      <c r="DL39" s="362"/>
      <c r="DM39" s="362"/>
      <c r="DN39" s="362"/>
      <c r="DO39" s="360"/>
      <c r="DP39" s="310">
        <f>CB66</f>
        <v>0</v>
      </c>
      <c r="DQ39" s="310">
        <f>CB99</f>
        <v>20</v>
      </c>
      <c r="DR39" s="310">
        <f>CB153</f>
        <v>17</v>
      </c>
      <c r="DS39" s="310">
        <f>CB165</f>
        <v>0</v>
      </c>
      <c r="DT39" s="310"/>
      <c r="DU39" s="310">
        <f>SUM(DP39:DT39)</f>
        <v>37</v>
      </c>
      <c r="DV39" s="309" t="s">
        <v>1877</v>
      </c>
      <c r="DW39" s="310"/>
      <c r="DX39" s="372">
        <f>ROUNDUP(CB7*3000,0)</f>
        <v>25245</v>
      </c>
    </row>
    <row r="40" spans="1:128" s="63" customFormat="1">
      <c r="A40" s="657"/>
      <c r="B40" s="658"/>
      <c r="C40" s="375"/>
      <c r="D40" s="375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62"/>
      <c r="Q40" s="362"/>
      <c r="R40" s="362"/>
      <c r="S40" s="362"/>
      <c r="T40" s="360"/>
      <c r="U40" s="659"/>
      <c r="V40" s="659"/>
      <c r="W40" s="659"/>
      <c r="X40" s="357"/>
      <c r="Y40" s="357"/>
      <c r="Z40" s="357"/>
      <c r="AA40" s="357"/>
      <c r="AB40" s="357"/>
      <c r="AC40" s="357"/>
      <c r="AD40" s="357"/>
      <c r="AE40" s="357"/>
      <c r="AF40" s="357"/>
      <c r="AG40" s="357"/>
      <c r="AH40" s="357"/>
      <c r="AI40" s="357"/>
      <c r="AJ40" s="357"/>
      <c r="AK40" s="357"/>
      <c r="AL40" s="357"/>
      <c r="AM40" s="357"/>
      <c r="AN40" s="357"/>
      <c r="AO40" s="357"/>
      <c r="AP40" s="357"/>
      <c r="AQ40" s="357"/>
      <c r="AR40" s="357"/>
      <c r="AS40" s="362"/>
      <c r="AT40" s="360"/>
      <c r="AU40" s="658"/>
      <c r="AV40" s="357"/>
      <c r="AW40" s="357"/>
      <c r="AX40" s="357"/>
      <c r="AY40" s="360"/>
      <c r="AZ40" s="659"/>
      <c r="BA40" s="357"/>
      <c r="BB40" s="362"/>
      <c r="BC40" s="365">
        <f t="shared" si="0"/>
        <v>0</v>
      </c>
      <c r="BD40" s="659"/>
      <c r="BE40" s="357"/>
      <c r="BF40" s="357"/>
      <c r="BG40" s="357"/>
      <c r="BH40" s="357"/>
      <c r="BI40" s="357"/>
      <c r="BJ40" s="357"/>
      <c r="BK40" s="357"/>
      <c r="BL40" s="357"/>
      <c r="BM40" s="357"/>
      <c r="BN40" s="357"/>
      <c r="BO40" s="357"/>
      <c r="BP40" s="357"/>
      <c r="BQ40" s="357"/>
      <c r="BR40" s="357"/>
      <c r="BS40" s="357"/>
      <c r="BT40" s="357"/>
      <c r="BU40" s="357"/>
      <c r="BV40" s="357"/>
      <c r="BW40" s="357"/>
      <c r="BX40" s="357"/>
      <c r="BY40" s="357"/>
      <c r="BZ40" s="357"/>
      <c r="CA40" s="357"/>
      <c r="CB40" s="357"/>
      <c r="CC40" s="357"/>
      <c r="CD40" s="357"/>
      <c r="CE40" s="357"/>
      <c r="CF40" s="357"/>
      <c r="CG40" s="357"/>
      <c r="CH40" s="357"/>
      <c r="CI40" s="362"/>
      <c r="CJ40" s="362"/>
      <c r="CK40" s="362"/>
      <c r="CL40" s="362"/>
      <c r="CM40" s="362"/>
      <c r="CN40" s="362"/>
      <c r="CO40" s="362"/>
      <c r="CP40" s="362"/>
      <c r="CQ40" s="362"/>
      <c r="CR40" s="362"/>
      <c r="CS40" s="362"/>
      <c r="CT40" s="362"/>
      <c r="CU40" s="362"/>
      <c r="CV40" s="362"/>
      <c r="CW40" s="362"/>
      <c r="CX40" s="362"/>
      <c r="CY40" s="362"/>
      <c r="CZ40" s="362"/>
      <c r="DA40" s="362"/>
      <c r="DB40" s="362"/>
      <c r="DC40" s="362"/>
      <c r="DD40" s="362"/>
      <c r="DE40" s="362"/>
      <c r="DF40" s="362"/>
      <c r="DG40" s="362"/>
      <c r="DH40" s="362"/>
      <c r="DI40" s="362"/>
      <c r="DJ40" s="362"/>
      <c r="DK40" s="362"/>
      <c r="DL40" s="362"/>
      <c r="DM40" s="362"/>
      <c r="DN40" s="362"/>
      <c r="DO40" s="360"/>
      <c r="DP40" s="310">
        <f>CC66</f>
        <v>14</v>
      </c>
      <c r="DQ40" s="310">
        <f>CC99</f>
        <v>0</v>
      </c>
      <c r="DR40" s="310">
        <f>CC153</f>
        <v>0</v>
      </c>
      <c r="DS40" s="310">
        <f>CC165</f>
        <v>0</v>
      </c>
      <c r="DT40" s="310"/>
      <c r="DU40" s="310">
        <f t="shared" ref="DU40:DU62" si="6">SUM(DP40:DT40)</f>
        <v>14</v>
      </c>
      <c r="DV40" s="309" t="s">
        <v>1878</v>
      </c>
      <c r="DW40" s="310"/>
      <c r="DX40" s="372">
        <f>CC7*3000</f>
        <v>57375</v>
      </c>
    </row>
    <row r="41" spans="1:128" s="63" customFormat="1">
      <c r="A41" s="376"/>
      <c r="B41" s="374"/>
      <c r="C41" s="375"/>
      <c r="D41" s="375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62"/>
      <c r="Q41" s="362"/>
      <c r="R41" s="362"/>
      <c r="S41" s="362"/>
      <c r="T41" s="360"/>
      <c r="U41" s="361"/>
      <c r="V41" s="361"/>
      <c r="W41" s="361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  <c r="AH41" s="357"/>
      <c r="AI41" s="357"/>
      <c r="AJ41" s="357"/>
      <c r="AK41" s="357"/>
      <c r="AL41" s="357"/>
      <c r="AM41" s="357"/>
      <c r="AN41" s="357"/>
      <c r="AO41" s="357"/>
      <c r="AP41" s="357"/>
      <c r="AQ41" s="357"/>
      <c r="AR41" s="357"/>
      <c r="AS41" s="362"/>
      <c r="AT41" s="360"/>
      <c r="AU41" s="374"/>
      <c r="AV41" s="357"/>
      <c r="AW41" s="357"/>
      <c r="AX41" s="357"/>
      <c r="AY41" s="360"/>
      <c r="AZ41" s="361"/>
      <c r="BA41" s="357"/>
      <c r="BB41" s="362"/>
      <c r="BC41" s="365">
        <f t="shared" si="0"/>
        <v>0</v>
      </c>
      <c r="BD41" s="361"/>
      <c r="BE41" s="357"/>
      <c r="BF41" s="357"/>
      <c r="BG41" s="357"/>
      <c r="BH41" s="357"/>
      <c r="BI41" s="357"/>
      <c r="BJ41" s="357"/>
      <c r="BK41" s="357"/>
      <c r="BL41" s="357"/>
      <c r="BM41" s="357"/>
      <c r="BN41" s="357"/>
      <c r="BO41" s="357"/>
      <c r="BP41" s="357"/>
      <c r="BQ41" s="357"/>
      <c r="BR41" s="357"/>
      <c r="BS41" s="357"/>
      <c r="BT41" s="357"/>
      <c r="BU41" s="357"/>
      <c r="BV41" s="357"/>
      <c r="BW41" s="357"/>
      <c r="BX41" s="357"/>
      <c r="BY41" s="357"/>
      <c r="BZ41" s="357"/>
      <c r="CA41" s="357"/>
      <c r="CB41" s="357"/>
      <c r="CC41" s="357"/>
      <c r="CD41" s="357"/>
      <c r="CE41" s="357"/>
      <c r="CF41" s="357"/>
      <c r="CG41" s="357"/>
      <c r="CH41" s="357"/>
      <c r="CI41" s="362"/>
      <c r="CJ41" s="362"/>
      <c r="CK41" s="362"/>
      <c r="CL41" s="362"/>
      <c r="CM41" s="362"/>
      <c r="CN41" s="362"/>
      <c r="CO41" s="362"/>
      <c r="CP41" s="362"/>
      <c r="CQ41" s="362"/>
      <c r="CR41" s="362"/>
      <c r="CS41" s="362"/>
      <c r="CT41" s="362"/>
      <c r="CU41" s="362"/>
      <c r="CV41" s="362"/>
      <c r="CW41" s="362"/>
      <c r="CX41" s="362"/>
      <c r="CY41" s="362"/>
      <c r="CZ41" s="362"/>
      <c r="DA41" s="362"/>
      <c r="DB41" s="362"/>
      <c r="DC41" s="362"/>
      <c r="DD41" s="362"/>
      <c r="DE41" s="362"/>
      <c r="DF41" s="362"/>
      <c r="DG41" s="362"/>
      <c r="DH41" s="362"/>
      <c r="DI41" s="362"/>
      <c r="DJ41" s="362"/>
      <c r="DK41" s="362"/>
      <c r="DL41" s="362"/>
      <c r="DM41" s="362"/>
      <c r="DN41" s="362"/>
      <c r="DO41" s="360"/>
      <c r="DP41" s="310">
        <f>CD66</f>
        <v>5</v>
      </c>
      <c r="DQ41" s="310">
        <f>CD99</f>
        <v>0</v>
      </c>
      <c r="DR41" s="310">
        <f>CD153</f>
        <v>0</v>
      </c>
      <c r="DS41" s="310">
        <f>CD165</f>
        <v>0</v>
      </c>
      <c r="DT41" s="310"/>
      <c r="DU41" s="310">
        <f t="shared" si="6"/>
        <v>5</v>
      </c>
      <c r="DV41" s="309" t="s">
        <v>1879</v>
      </c>
      <c r="DW41" s="310"/>
      <c r="DX41" s="372">
        <f>ROUNDUP(CD7*3000,0)</f>
        <v>38070</v>
      </c>
    </row>
    <row r="42" spans="1:128" s="63" customFormat="1">
      <c r="A42" s="373"/>
      <c r="B42" s="374" t="s">
        <v>1343</v>
      </c>
      <c r="C42" s="375"/>
      <c r="D42" s="357"/>
      <c r="E42" s="357"/>
      <c r="F42" s="357">
        <f>ROUND((1.7*3.4)+(1.7*(6.51+3.5))+2.57+1.12+0.69,0)</f>
        <v>27</v>
      </c>
      <c r="G42" s="357"/>
      <c r="H42" s="357"/>
      <c r="I42" s="375"/>
      <c r="J42" s="357"/>
      <c r="K42" s="357"/>
      <c r="L42" s="357"/>
      <c r="M42" s="357"/>
      <c r="N42" s="357"/>
      <c r="O42" s="357"/>
      <c r="P42" s="362"/>
      <c r="Q42" s="362"/>
      <c r="R42" s="362"/>
      <c r="S42" s="362"/>
      <c r="T42" s="360"/>
      <c r="U42" s="361"/>
      <c r="V42" s="361"/>
      <c r="W42" s="361"/>
      <c r="X42" s="357"/>
      <c r="Y42" s="357"/>
      <c r="Z42" s="357"/>
      <c r="AA42" s="357"/>
      <c r="AB42" s="357"/>
      <c r="AC42" s="357"/>
      <c r="AD42" s="357"/>
      <c r="AE42" s="357"/>
      <c r="AF42" s="357"/>
      <c r="AG42" s="357"/>
      <c r="AH42" s="357"/>
      <c r="AI42" s="357"/>
      <c r="AJ42" s="357"/>
      <c r="AK42" s="357"/>
      <c r="AL42" s="357"/>
      <c r="AM42" s="357"/>
      <c r="AN42" s="357"/>
      <c r="AO42" s="357"/>
      <c r="AP42" s="357"/>
      <c r="AQ42" s="357"/>
      <c r="AR42" s="357"/>
      <c r="AS42" s="362"/>
      <c r="AT42" s="360"/>
      <c r="AU42" s="374"/>
      <c r="AV42" s="357"/>
      <c r="AW42" s="357">
        <f>F42</f>
        <v>27</v>
      </c>
      <c r="AX42" s="357"/>
      <c r="AY42" s="360"/>
      <c r="AZ42" s="361"/>
      <c r="BA42" s="357"/>
      <c r="BB42" s="362"/>
      <c r="BC42" s="365">
        <f t="shared" si="0"/>
        <v>27</v>
      </c>
      <c r="BD42" s="361"/>
      <c r="BE42" s="357"/>
      <c r="BF42" s="357"/>
      <c r="BG42" s="357"/>
      <c r="BH42" s="357"/>
      <c r="BI42" s="357"/>
      <c r="BJ42" s="357"/>
      <c r="BK42" s="357"/>
      <c r="BL42" s="357"/>
      <c r="BM42" s="357"/>
      <c r="BN42" s="357"/>
      <c r="BO42" s="357"/>
      <c r="BP42" s="357"/>
      <c r="BQ42" s="357"/>
      <c r="BR42" s="357"/>
      <c r="BS42" s="357"/>
      <c r="BT42" s="357"/>
      <c r="BU42" s="357"/>
      <c r="BV42" s="357"/>
      <c r="BW42" s="357"/>
      <c r="BX42" s="357"/>
      <c r="BY42" s="357"/>
      <c r="BZ42" s="357"/>
      <c r="CA42" s="357"/>
      <c r="CB42" s="357"/>
      <c r="CC42" s="357"/>
      <c r="CD42" s="357"/>
      <c r="CE42" s="357"/>
      <c r="CF42" s="357"/>
      <c r="CG42" s="357"/>
      <c r="CH42" s="357"/>
      <c r="CI42" s="362"/>
      <c r="CJ42" s="362"/>
      <c r="CK42" s="362"/>
      <c r="CL42" s="362"/>
      <c r="CM42" s="362"/>
      <c r="CN42" s="362"/>
      <c r="CO42" s="362"/>
      <c r="CP42" s="362"/>
      <c r="CQ42" s="362"/>
      <c r="CR42" s="362"/>
      <c r="CS42" s="362"/>
      <c r="CT42" s="362"/>
      <c r="CU42" s="362"/>
      <c r="CV42" s="362"/>
      <c r="CW42" s="362"/>
      <c r="CX42" s="362"/>
      <c r="CY42" s="362"/>
      <c r="CZ42" s="362"/>
      <c r="DA42" s="362"/>
      <c r="DB42" s="362"/>
      <c r="DC42" s="362"/>
      <c r="DD42" s="362"/>
      <c r="DE42" s="362"/>
      <c r="DF42" s="362"/>
      <c r="DG42" s="362"/>
      <c r="DH42" s="362"/>
      <c r="DI42" s="362"/>
      <c r="DJ42" s="362"/>
      <c r="DK42" s="362"/>
      <c r="DL42" s="362"/>
      <c r="DM42" s="362"/>
      <c r="DN42" s="362"/>
      <c r="DO42" s="360"/>
      <c r="DP42" s="310">
        <f>CE66</f>
        <v>1</v>
      </c>
      <c r="DQ42" s="310">
        <f>CE99</f>
        <v>0</v>
      </c>
      <c r="DR42" s="310">
        <f>CE153</f>
        <v>0</v>
      </c>
      <c r="DS42" s="310">
        <f>CE165</f>
        <v>0</v>
      </c>
      <c r="DT42" s="310"/>
      <c r="DU42" s="310">
        <f t="shared" si="6"/>
        <v>1</v>
      </c>
      <c r="DV42" s="309" t="s">
        <v>1880</v>
      </c>
      <c r="DW42" s="310"/>
      <c r="DX42" s="372">
        <f>ROUNDUP(CE7*3000,0)</f>
        <v>18330</v>
      </c>
    </row>
    <row r="43" spans="1:128" s="63" customFormat="1">
      <c r="A43" s="376"/>
      <c r="B43" s="368" t="s">
        <v>459</v>
      </c>
      <c r="C43" s="375"/>
      <c r="D43" s="375">
        <v>34</v>
      </c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62"/>
      <c r="Q43" s="362"/>
      <c r="R43" s="362"/>
      <c r="S43" s="362"/>
      <c r="T43" s="360"/>
      <c r="U43" s="361">
        <f>ROUNDUP((26*5.7)-(BM7+CP7),0)</f>
        <v>136</v>
      </c>
      <c r="V43" s="361"/>
      <c r="W43" s="361"/>
      <c r="X43" s="357"/>
      <c r="Y43" s="357"/>
      <c r="Z43" s="357"/>
      <c r="AA43" s="357"/>
      <c r="AB43" s="357"/>
      <c r="AC43" s="357">
        <f>ROUNDUP((8.4*3.8)-CL7,0)</f>
        <v>31</v>
      </c>
      <c r="AD43" s="361">
        <f>ROUNDUP((30.1*5.7)-(BM7+CP7),0)</f>
        <v>159</v>
      </c>
      <c r="AE43" s="357"/>
      <c r="AF43" s="357"/>
      <c r="AG43" s="357"/>
      <c r="AH43" s="357"/>
      <c r="AI43" s="357"/>
      <c r="AJ43" s="357"/>
      <c r="AK43" s="357"/>
      <c r="AL43" s="357"/>
      <c r="AM43" s="357"/>
      <c r="AN43" s="357"/>
      <c r="AO43" s="357"/>
      <c r="AP43" s="357"/>
      <c r="AQ43" s="357">
        <f>ROUNDUP((BM9+CP9)+(5.7*3),0)</f>
        <v>31</v>
      </c>
      <c r="AR43" s="357"/>
      <c r="AS43" s="362"/>
      <c r="AT43" s="360">
        <f>ROUNDUP(BM8+CP8,0)</f>
        <v>6</v>
      </c>
      <c r="AU43" s="374"/>
      <c r="AV43" s="357"/>
      <c r="AW43" s="357">
        <f>D43</f>
        <v>34</v>
      </c>
      <c r="AX43" s="357"/>
      <c r="AY43" s="360"/>
      <c r="AZ43" s="361">
        <f>AD43</f>
        <v>159</v>
      </c>
      <c r="BA43" s="357">
        <f>AC43</f>
        <v>31</v>
      </c>
      <c r="BB43" s="362"/>
      <c r="BC43" s="365">
        <f t="shared" si="0"/>
        <v>34</v>
      </c>
      <c r="BD43" s="361"/>
      <c r="BE43" s="357"/>
      <c r="BF43" s="357"/>
      <c r="BG43" s="357"/>
      <c r="BH43" s="357"/>
      <c r="BI43" s="357"/>
      <c r="BJ43" s="357"/>
      <c r="BK43" s="357"/>
      <c r="BL43" s="357"/>
      <c r="BM43" s="357">
        <v>1</v>
      </c>
      <c r="BN43" s="357"/>
      <c r="BO43" s="357"/>
      <c r="BP43" s="357"/>
      <c r="BQ43" s="357"/>
      <c r="BR43" s="357"/>
      <c r="BS43" s="357"/>
      <c r="BT43" s="357"/>
      <c r="BU43" s="357"/>
      <c r="BV43" s="357"/>
      <c r="BW43" s="357"/>
      <c r="BX43" s="357"/>
      <c r="BY43" s="357"/>
      <c r="BZ43" s="357"/>
      <c r="CA43" s="357"/>
      <c r="CB43" s="357"/>
      <c r="CC43" s="357"/>
      <c r="CD43" s="357"/>
      <c r="CE43" s="357"/>
      <c r="CF43" s="357"/>
      <c r="CG43" s="357"/>
      <c r="CH43" s="357"/>
      <c r="CI43" s="362"/>
      <c r="CJ43" s="362"/>
      <c r="CK43" s="362"/>
      <c r="CL43" s="362"/>
      <c r="CM43" s="362"/>
      <c r="CN43" s="362"/>
      <c r="CO43" s="362"/>
      <c r="CP43" s="362">
        <v>1</v>
      </c>
      <c r="CQ43" s="362"/>
      <c r="CR43" s="362"/>
      <c r="CS43" s="362"/>
      <c r="CT43" s="362"/>
      <c r="CU43" s="362"/>
      <c r="CV43" s="362"/>
      <c r="CW43" s="362"/>
      <c r="CX43" s="362"/>
      <c r="CY43" s="362"/>
      <c r="CZ43" s="362"/>
      <c r="DA43" s="362"/>
      <c r="DB43" s="362"/>
      <c r="DC43" s="362"/>
      <c r="DD43" s="362"/>
      <c r="DE43" s="362"/>
      <c r="DF43" s="362"/>
      <c r="DG43" s="362"/>
      <c r="DH43" s="362"/>
      <c r="DI43" s="362"/>
      <c r="DJ43" s="362"/>
      <c r="DK43" s="362"/>
      <c r="DL43" s="362"/>
      <c r="DM43" s="362"/>
      <c r="DN43" s="362"/>
      <c r="DO43" s="360"/>
      <c r="DP43" s="310">
        <f>CF66</f>
        <v>2</v>
      </c>
      <c r="DQ43" s="310">
        <f>CF99</f>
        <v>0</v>
      </c>
      <c r="DR43" s="310">
        <f>CF153</f>
        <v>0</v>
      </c>
      <c r="DS43" s="310">
        <f>CF165</f>
        <v>0</v>
      </c>
      <c r="DT43" s="310"/>
      <c r="DU43" s="310">
        <f t="shared" si="6"/>
        <v>2</v>
      </c>
      <c r="DV43" s="309" t="s">
        <v>1881</v>
      </c>
      <c r="DW43" s="310"/>
      <c r="DX43" s="372">
        <f>ROUNDUP(CF7*3000,0)</f>
        <v>7650</v>
      </c>
    </row>
    <row r="44" spans="1:128" s="63" customFormat="1">
      <c r="A44" s="706"/>
      <c r="B44" s="707"/>
      <c r="C44" s="375"/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7"/>
      <c r="P44" s="362"/>
      <c r="Q44" s="362"/>
      <c r="R44" s="362"/>
      <c r="S44" s="362"/>
      <c r="T44" s="360"/>
      <c r="U44" s="659"/>
      <c r="V44" s="659"/>
      <c r="W44" s="659"/>
      <c r="X44" s="357"/>
      <c r="Y44" s="357"/>
      <c r="Z44" s="357"/>
      <c r="AA44" s="357"/>
      <c r="AB44" s="357"/>
      <c r="AC44" s="357"/>
      <c r="AD44" s="357"/>
      <c r="AE44" s="357"/>
      <c r="AF44" s="357"/>
      <c r="AG44" s="357"/>
      <c r="AH44" s="357"/>
      <c r="AI44" s="357"/>
      <c r="AJ44" s="357"/>
      <c r="AK44" s="357"/>
      <c r="AL44" s="357"/>
      <c r="AM44" s="357"/>
      <c r="AN44" s="357"/>
      <c r="AO44" s="357"/>
      <c r="AP44" s="357"/>
      <c r="AQ44" s="357"/>
      <c r="AR44" s="357"/>
      <c r="AS44" s="362"/>
      <c r="AT44" s="360"/>
      <c r="AU44" s="658"/>
      <c r="AV44" s="357"/>
      <c r="AW44" s="357"/>
      <c r="AX44" s="357"/>
      <c r="AY44" s="360"/>
      <c r="AZ44" s="659"/>
      <c r="BA44" s="357"/>
      <c r="BB44" s="362"/>
      <c r="BC44" s="365">
        <f t="shared" si="0"/>
        <v>0</v>
      </c>
      <c r="BD44" s="659"/>
      <c r="BE44" s="357"/>
      <c r="BF44" s="357"/>
      <c r="BG44" s="357"/>
      <c r="BH44" s="357"/>
      <c r="BI44" s="357"/>
      <c r="BJ44" s="357"/>
      <c r="BK44" s="357"/>
      <c r="BL44" s="357"/>
      <c r="BM44" s="357"/>
      <c r="BN44" s="357"/>
      <c r="BO44" s="357"/>
      <c r="BP44" s="357"/>
      <c r="BQ44" s="357"/>
      <c r="BR44" s="357"/>
      <c r="BS44" s="357"/>
      <c r="BT44" s="357"/>
      <c r="BU44" s="357"/>
      <c r="BV44" s="357"/>
      <c r="BW44" s="357"/>
      <c r="BX44" s="357"/>
      <c r="BY44" s="357"/>
      <c r="BZ44" s="357"/>
      <c r="CA44" s="357"/>
      <c r="CB44" s="357"/>
      <c r="CC44" s="357"/>
      <c r="CD44" s="357"/>
      <c r="CE44" s="357"/>
      <c r="CF44" s="357"/>
      <c r="CG44" s="357"/>
      <c r="CH44" s="357"/>
      <c r="CI44" s="362"/>
      <c r="CJ44" s="362"/>
      <c r="CK44" s="362"/>
      <c r="CL44" s="362"/>
      <c r="CM44" s="362"/>
      <c r="CN44" s="362"/>
      <c r="CO44" s="362"/>
      <c r="CP44" s="362"/>
      <c r="CQ44" s="362"/>
      <c r="CR44" s="362"/>
      <c r="CS44" s="362"/>
      <c r="CT44" s="362"/>
      <c r="CU44" s="362"/>
      <c r="CV44" s="362"/>
      <c r="CW44" s="362"/>
      <c r="CX44" s="362"/>
      <c r="CY44" s="362"/>
      <c r="CZ44" s="362"/>
      <c r="DA44" s="362"/>
      <c r="DB44" s="362"/>
      <c r="DC44" s="362"/>
      <c r="DD44" s="362"/>
      <c r="DE44" s="362"/>
      <c r="DF44" s="362"/>
      <c r="DG44" s="362"/>
      <c r="DH44" s="362"/>
      <c r="DI44" s="362"/>
      <c r="DJ44" s="362"/>
      <c r="DK44" s="362"/>
      <c r="DL44" s="362"/>
      <c r="DM44" s="362"/>
      <c r="DN44" s="362"/>
      <c r="DO44" s="360"/>
      <c r="DP44" s="310">
        <f>CG66</f>
        <v>0</v>
      </c>
      <c r="DQ44" s="310">
        <f>CG99</f>
        <v>3</v>
      </c>
      <c r="DR44" s="310">
        <f>CG153</f>
        <v>1</v>
      </c>
      <c r="DS44" s="310">
        <f>CG165</f>
        <v>0</v>
      </c>
      <c r="DT44" s="310"/>
      <c r="DU44" s="310">
        <f t="shared" si="6"/>
        <v>4</v>
      </c>
      <c r="DV44" s="309" t="s">
        <v>1882</v>
      </c>
      <c r="DW44" s="310"/>
      <c r="DX44" s="372">
        <f>ROUNDUP(CG7*3000,0)</f>
        <v>25245</v>
      </c>
    </row>
    <row r="45" spans="1:128" s="63" customFormat="1">
      <c r="A45" s="376"/>
      <c r="B45" s="368"/>
      <c r="C45" s="357"/>
      <c r="D45" s="357"/>
      <c r="E45" s="357"/>
      <c r="F45" s="357"/>
      <c r="G45" s="357"/>
      <c r="H45" s="357"/>
      <c r="I45" s="357"/>
      <c r="J45" s="357"/>
      <c r="K45" s="357"/>
      <c r="L45" s="357"/>
      <c r="M45" s="357"/>
      <c r="N45" s="357"/>
      <c r="O45" s="357"/>
      <c r="P45" s="362"/>
      <c r="Q45" s="362"/>
      <c r="R45" s="362"/>
      <c r="S45" s="362"/>
      <c r="T45" s="360"/>
      <c r="U45" s="361"/>
      <c r="V45" s="361"/>
      <c r="W45" s="361"/>
      <c r="X45" s="357"/>
      <c r="Y45" s="357"/>
      <c r="Z45" s="357"/>
      <c r="AA45" s="357"/>
      <c r="AB45" s="357"/>
      <c r="AC45" s="357"/>
      <c r="AD45" s="357"/>
      <c r="AE45" s="357"/>
      <c r="AF45" s="357"/>
      <c r="AG45" s="357"/>
      <c r="AH45" s="357"/>
      <c r="AI45" s="357"/>
      <c r="AJ45" s="357"/>
      <c r="AK45" s="357"/>
      <c r="AL45" s="357"/>
      <c r="AM45" s="357"/>
      <c r="AN45" s="357"/>
      <c r="AO45" s="357"/>
      <c r="AP45" s="357"/>
      <c r="AQ45" s="357"/>
      <c r="AR45" s="357"/>
      <c r="AS45" s="362"/>
      <c r="AT45" s="360"/>
      <c r="AU45" s="361"/>
      <c r="AV45" s="357"/>
      <c r="AW45" s="357"/>
      <c r="AX45" s="357"/>
      <c r="AY45" s="360"/>
      <c r="AZ45" s="361"/>
      <c r="BA45" s="357"/>
      <c r="BB45" s="362"/>
      <c r="BC45" s="365">
        <f t="shared" si="0"/>
        <v>0</v>
      </c>
      <c r="BD45" s="361"/>
      <c r="BE45" s="357"/>
      <c r="BF45" s="357"/>
      <c r="BG45" s="357"/>
      <c r="BH45" s="357"/>
      <c r="BI45" s="357"/>
      <c r="BJ45" s="357"/>
      <c r="BK45" s="357"/>
      <c r="BL45" s="357"/>
      <c r="BM45" s="357"/>
      <c r="BN45" s="357"/>
      <c r="BO45" s="357"/>
      <c r="BP45" s="357"/>
      <c r="BQ45" s="357"/>
      <c r="BR45" s="357"/>
      <c r="BS45" s="357"/>
      <c r="BT45" s="357"/>
      <c r="BU45" s="357"/>
      <c r="BV45" s="357"/>
      <c r="BW45" s="357"/>
      <c r="BX45" s="357"/>
      <c r="BY45" s="357"/>
      <c r="BZ45" s="357"/>
      <c r="CA45" s="357"/>
      <c r="CB45" s="357"/>
      <c r="CC45" s="357"/>
      <c r="CD45" s="357"/>
      <c r="CE45" s="357"/>
      <c r="CF45" s="357"/>
      <c r="CG45" s="357"/>
      <c r="CH45" s="357"/>
      <c r="CI45" s="362"/>
      <c r="CJ45" s="362"/>
      <c r="CK45" s="362"/>
      <c r="CL45" s="362"/>
      <c r="CM45" s="362"/>
      <c r="CN45" s="362"/>
      <c r="CO45" s="362"/>
      <c r="CP45" s="362"/>
      <c r="CQ45" s="362"/>
      <c r="CR45" s="362"/>
      <c r="CS45" s="362"/>
      <c r="CT45" s="362"/>
      <c r="CU45" s="362"/>
      <c r="CV45" s="362"/>
      <c r="CW45" s="362"/>
      <c r="CX45" s="362"/>
      <c r="CY45" s="362"/>
      <c r="CZ45" s="362"/>
      <c r="DA45" s="362"/>
      <c r="DB45" s="362"/>
      <c r="DC45" s="362"/>
      <c r="DD45" s="362"/>
      <c r="DE45" s="362"/>
      <c r="DF45" s="362"/>
      <c r="DG45" s="362"/>
      <c r="DH45" s="362"/>
      <c r="DI45" s="362"/>
      <c r="DJ45" s="362"/>
      <c r="DK45" s="362"/>
      <c r="DL45" s="362"/>
      <c r="DM45" s="362"/>
      <c r="DN45" s="362"/>
      <c r="DO45" s="360"/>
      <c r="DP45" s="310">
        <f>CH66</f>
        <v>0</v>
      </c>
      <c r="DQ45" s="310">
        <v>1</v>
      </c>
      <c r="DR45" s="310">
        <v>2</v>
      </c>
      <c r="DS45" s="310">
        <f>CH165</f>
        <v>0</v>
      </c>
      <c r="DT45" s="310"/>
      <c r="DU45" s="310">
        <f t="shared" si="6"/>
        <v>3</v>
      </c>
      <c r="DV45" s="309" t="s">
        <v>1883</v>
      </c>
      <c r="DW45" s="310"/>
      <c r="DX45" s="372">
        <f>ROUNDUP(CH7*3000,0)</f>
        <v>8663</v>
      </c>
    </row>
    <row r="46" spans="1:128" s="63" customFormat="1">
      <c r="A46" s="657"/>
      <c r="B46" s="368" t="s">
        <v>1376</v>
      </c>
      <c r="C46" s="357"/>
      <c r="D46" s="357"/>
      <c r="E46" s="357"/>
      <c r="F46" s="357"/>
      <c r="G46" s="357"/>
      <c r="H46" s="357"/>
      <c r="I46" s="357"/>
      <c r="J46" s="357"/>
      <c r="K46" s="357"/>
      <c r="L46" s="357"/>
      <c r="M46" s="357"/>
      <c r="N46" s="357"/>
      <c r="O46" s="357"/>
      <c r="P46" s="362"/>
      <c r="Q46" s="362"/>
      <c r="R46" s="362"/>
      <c r="S46" s="362"/>
      <c r="T46" s="360"/>
      <c r="U46" s="659"/>
      <c r="V46" s="659"/>
      <c r="W46" s="659"/>
      <c r="X46" s="357"/>
      <c r="Y46" s="357"/>
      <c r="Z46" s="357"/>
      <c r="AA46" s="357"/>
      <c r="AB46" s="357"/>
      <c r="AC46" s="357">
        <f>ROUNDUP(((107*14.1)+((2.2*14.3)*12))-(BD7+BL7+(CB7*22)+(CC7*11)+(CH7*2)+(CW7*2)),0)</f>
        <v>1421</v>
      </c>
      <c r="AD46" s="357"/>
      <c r="AE46" s="357"/>
      <c r="AF46" s="357"/>
      <c r="AG46" s="357"/>
      <c r="AH46" s="357"/>
      <c r="AI46" s="357"/>
      <c r="AJ46" s="357"/>
      <c r="AK46" s="357"/>
      <c r="AL46" s="357"/>
      <c r="AM46" s="357"/>
      <c r="AN46" s="357"/>
      <c r="AO46" s="357"/>
      <c r="AP46" s="357"/>
      <c r="AQ46" s="357"/>
      <c r="AR46" s="357"/>
      <c r="AS46" s="362"/>
      <c r="AT46" s="360"/>
      <c r="AU46" s="659"/>
      <c r="AV46" s="357"/>
      <c r="AW46" s="357"/>
      <c r="AX46" s="357"/>
      <c r="AY46" s="360"/>
      <c r="AZ46" s="659"/>
      <c r="BA46" s="357">
        <f>AC46</f>
        <v>1421</v>
      </c>
      <c r="BB46" s="362"/>
      <c r="BC46" s="365">
        <f t="shared" si="0"/>
        <v>0</v>
      </c>
      <c r="BD46" s="659"/>
      <c r="BE46" s="357"/>
      <c r="BF46" s="357"/>
      <c r="BG46" s="357"/>
      <c r="BH46" s="357"/>
      <c r="BI46" s="357"/>
      <c r="BJ46" s="357"/>
      <c r="BK46" s="357"/>
      <c r="BL46" s="357"/>
      <c r="BM46" s="357"/>
      <c r="BN46" s="357"/>
      <c r="BO46" s="357"/>
      <c r="BP46" s="357"/>
      <c r="BQ46" s="357"/>
      <c r="BR46" s="357"/>
      <c r="BS46" s="357"/>
      <c r="BT46" s="357"/>
      <c r="BU46" s="357"/>
      <c r="BV46" s="357"/>
      <c r="BW46" s="357"/>
      <c r="BX46" s="357"/>
      <c r="BY46" s="357"/>
      <c r="BZ46" s="357"/>
      <c r="CA46" s="357"/>
      <c r="CB46" s="357"/>
      <c r="CC46" s="357"/>
      <c r="CD46" s="357"/>
      <c r="CE46" s="357"/>
      <c r="CF46" s="357"/>
      <c r="CG46" s="357"/>
      <c r="CH46" s="357"/>
      <c r="CI46" s="362"/>
      <c r="CJ46" s="362"/>
      <c r="CK46" s="362"/>
      <c r="CL46" s="362"/>
      <c r="CM46" s="362"/>
      <c r="CN46" s="362"/>
      <c r="CO46" s="362"/>
      <c r="CP46" s="362"/>
      <c r="CQ46" s="362"/>
      <c r="CR46" s="362"/>
      <c r="CS46" s="362"/>
      <c r="CT46" s="362"/>
      <c r="CU46" s="362"/>
      <c r="CV46" s="362"/>
      <c r="CW46" s="362"/>
      <c r="CX46" s="362"/>
      <c r="CY46" s="362"/>
      <c r="CZ46" s="362"/>
      <c r="DA46" s="362"/>
      <c r="DB46" s="362"/>
      <c r="DC46" s="362"/>
      <c r="DD46" s="362"/>
      <c r="DE46" s="362"/>
      <c r="DF46" s="362"/>
      <c r="DG46" s="362"/>
      <c r="DH46" s="362"/>
      <c r="DI46" s="362"/>
      <c r="DJ46" s="362"/>
      <c r="DK46" s="362"/>
      <c r="DL46" s="362"/>
      <c r="DM46" s="362"/>
      <c r="DN46" s="362"/>
      <c r="DO46" s="360"/>
      <c r="DP46" s="310">
        <f>CI66</f>
        <v>1</v>
      </c>
      <c r="DQ46" s="310">
        <f>CI99</f>
        <v>0</v>
      </c>
      <c r="DR46" s="310">
        <f>CI153</f>
        <v>0</v>
      </c>
      <c r="DS46" s="310">
        <f>CI165</f>
        <v>0</v>
      </c>
      <c r="DT46" s="310"/>
      <c r="DU46" s="310">
        <f t="shared" si="6"/>
        <v>1</v>
      </c>
      <c r="DV46" s="309" t="s">
        <v>1884</v>
      </c>
      <c r="DW46" s="310"/>
      <c r="DX46" s="372">
        <f>CI7*3000</f>
        <v>19687.5</v>
      </c>
    </row>
    <row r="47" spans="1:128" s="63" customFormat="1">
      <c r="A47" s="376"/>
      <c r="B47" s="368" t="s">
        <v>1377</v>
      </c>
      <c r="C47" s="357"/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7"/>
      <c r="P47" s="362"/>
      <c r="Q47" s="362"/>
      <c r="R47" s="362"/>
      <c r="S47" s="362"/>
      <c r="T47" s="360"/>
      <c r="U47" s="361"/>
      <c r="V47" s="361"/>
      <c r="W47" s="361"/>
      <c r="X47" s="357"/>
      <c r="Y47" s="357"/>
      <c r="Z47" s="357"/>
      <c r="AA47" s="357"/>
      <c r="AB47" s="357"/>
      <c r="AC47" s="357">
        <f>ROUNDUP((46*14.3)-((BK7*2)+BM7+BO7+(CH7*4)+CI7+CU7+CV7),0)</f>
        <v>614</v>
      </c>
      <c r="AD47" s="357"/>
      <c r="AE47" s="357"/>
      <c r="AF47" s="357"/>
      <c r="AG47" s="357"/>
      <c r="AH47" s="357"/>
      <c r="AI47" s="357"/>
      <c r="AJ47" s="357"/>
      <c r="AK47" s="357"/>
      <c r="AL47" s="357"/>
      <c r="AM47" s="357"/>
      <c r="AN47" s="357"/>
      <c r="AO47" s="357"/>
      <c r="AP47" s="357"/>
      <c r="AQ47" s="357"/>
      <c r="AR47" s="357"/>
      <c r="AS47" s="362"/>
      <c r="AT47" s="360"/>
      <c r="AU47" s="361"/>
      <c r="AV47" s="357"/>
      <c r="AW47" s="357"/>
      <c r="AX47" s="357"/>
      <c r="AY47" s="360"/>
      <c r="AZ47" s="361"/>
      <c r="BA47" s="357">
        <f>AC47</f>
        <v>614</v>
      </c>
      <c r="BB47" s="362"/>
      <c r="BC47" s="365">
        <f t="shared" si="0"/>
        <v>0</v>
      </c>
      <c r="BD47" s="361"/>
      <c r="BE47" s="357"/>
      <c r="BF47" s="357"/>
      <c r="BG47" s="357"/>
      <c r="BH47" s="357"/>
      <c r="BI47" s="357"/>
      <c r="BJ47" s="357"/>
      <c r="BK47" s="357"/>
      <c r="BL47" s="357"/>
      <c r="BM47" s="357"/>
      <c r="BN47" s="357"/>
      <c r="BO47" s="357"/>
      <c r="BP47" s="357"/>
      <c r="BQ47" s="357"/>
      <c r="BR47" s="357"/>
      <c r="BS47" s="357"/>
      <c r="BT47" s="357"/>
      <c r="BU47" s="357"/>
      <c r="BV47" s="357"/>
      <c r="BW47" s="357"/>
      <c r="BX47" s="357"/>
      <c r="BY47" s="357"/>
      <c r="BZ47" s="357"/>
      <c r="CA47" s="357"/>
      <c r="CB47" s="357"/>
      <c r="CC47" s="357"/>
      <c r="CD47" s="357"/>
      <c r="CE47" s="357"/>
      <c r="CF47" s="357"/>
      <c r="CG47" s="357"/>
      <c r="CH47" s="357"/>
      <c r="CI47" s="362"/>
      <c r="CJ47" s="362"/>
      <c r="CK47" s="362"/>
      <c r="CL47" s="362"/>
      <c r="CM47" s="362"/>
      <c r="CN47" s="362"/>
      <c r="CO47" s="362"/>
      <c r="CP47" s="362"/>
      <c r="CQ47" s="362"/>
      <c r="CR47" s="362"/>
      <c r="CS47" s="362"/>
      <c r="CT47" s="362"/>
      <c r="CU47" s="362"/>
      <c r="CV47" s="362"/>
      <c r="CW47" s="362"/>
      <c r="CX47" s="362"/>
      <c r="CY47" s="362"/>
      <c r="CZ47" s="362"/>
      <c r="DA47" s="362"/>
      <c r="DB47" s="362"/>
      <c r="DC47" s="362"/>
      <c r="DD47" s="362"/>
      <c r="DE47" s="362"/>
      <c r="DF47" s="362"/>
      <c r="DG47" s="362"/>
      <c r="DH47" s="362"/>
      <c r="DI47" s="362"/>
      <c r="DJ47" s="362"/>
      <c r="DK47" s="362"/>
      <c r="DL47" s="362"/>
      <c r="DM47" s="362"/>
      <c r="DN47" s="362"/>
      <c r="DO47" s="360"/>
      <c r="DP47" s="310">
        <f>CJ66</f>
        <v>6</v>
      </c>
      <c r="DQ47" s="310">
        <f>CJ99</f>
        <v>0</v>
      </c>
      <c r="DR47" s="310">
        <f>CJ153</f>
        <v>0</v>
      </c>
      <c r="DS47" s="310">
        <f>CJ165</f>
        <v>0</v>
      </c>
      <c r="DT47" s="310"/>
      <c r="DU47" s="310">
        <f t="shared" si="6"/>
        <v>6</v>
      </c>
      <c r="DV47" s="309" t="s">
        <v>1885</v>
      </c>
      <c r="DW47" s="310"/>
      <c r="DX47" s="372">
        <f>ROUNDUP(CJ7*3000,0)</f>
        <v>4485</v>
      </c>
    </row>
    <row r="48" spans="1:128" s="63" customFormat="1">
      <c r="A48" s="657"/>
      <c r="B48" s="368" t="s">
        <v>1378</v>
      </c>
      <c r="C48" s="357"/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7"/>
      <c r="P48" s="362"/>
      <c r="Q48" s="362"/>
      <c r="R48" s="362"/>
      <c r="S48" s="362"/>
      <c r="T48" s="360"/>
      <c r="U48" s="659"/>
      <c r="V48" s="659"/>
      <c r="W48" s="659"/>
      <c r="X48" s="357"/>
      <c r="Y48" s="357"/>
      <c r="Z48" s="357"/>
      <c r="AA48" s="357"/>
      <c r="AB48" s="357"/>
      <c r="AC48" s="357">
        <f>ROUNDUP(((105*14.3)+(13*15.9))-(BW7+(CB7*14)+(CC7*3)+(CG7*2)+(CJ7*6)+(CK7*12)+CL7+(CM7*2)+(CN7*4)+CP7+(CQ7*2)+CR7+(CY7*4)),0)</f>
        <v>1318</v>
      </c>
      <c r="AD48" s="357"/>
      <c r="AE48" s="357"/>
      <c r="AF48" s="357"/>
      <c r="AG48" s="357"/>
      <c r="AH48" s="357"/>
      <c r="AI48" s="357"/>
      <c r="AJ48" s="357"/>
      <c r="AK48" s="357"/>
      <c r="AL48" s="357"/>
      <c r="AM48" s="357"/>
      <c r="AN48" s="357"/>
      <c r="AO48" s="357"/>
      <c r="AP48" s="357"/>
      <c r="AQ48" s="357"/>
      <c r="AR48" s="357"/>
      <c r="AS48" s="362"/>
      <c r="AT48" s="360"/>
      <c r="AU48" s="659"/>
      <c r="AV48" s="357"/>
      <c r="AW48" s="357"/>
      <c r="AX48" s="357"/>
      <c r="AY48" s="360"/>
      <c r="AZ48" s="659"/>
      <c r="BA48" s="357">
        <f>AC48</f>
        <v>1318</v>
      </c>
      <c r="BB48" s="362"/>
      <c r="BC48" s="365">
        <f t="shared" si="0"/>
        <v>0</v>
      </c>
      <c r="BD48" s="659"/>
      <c r="BE48" s="357"/>
      <c r="BF48" s="357"/>
      <c r="BG48" s="357"/>
      <c r="BH48" s="357"/>
      <c r="BI48" s="357"/>
      <c r="BJ48" s="357"/>
      <c r="BK48" s="357"/>
      <c r="BL48" s="357"/>
      <c r="BM48" s="357"/>
      <c r="BN48" s="357"/>
      <c r="BO48" s="357"/>
      <c r="BP48" s="357"/>
      <c r="BQ48" s="357"/>
      <c r="BR48" s="357"/>
      <c r="BS48" s="357"/>
      <c r="BT48" s="357"/>
      <c r="BU48" s="357"/>
      <c r="BV48" s="357"/>
      <c r="BW48" s="357"/>
      <c r="BX48" s="357"/>
      <c r="BY48" s="357"/>
      <c r="BZ48" s="357"/>
      <c r="CA48" s="357"/>
      <c r="CB48" s="357"/>
      <c r="CC48" s="357"/>
      <c r="CD48" s="357"/>
      <c r="CE48" s="357"/>
      <c r="CF48" s="357"/>
      <c r="CG48" s="357"/>
      <c r="CH48" s="357"/>
      <c r="CI48" s="362"/>
      <c r="CJ48" s="362"/>
      <c r="CK48" s="362"/>
      <c r="CL48" s="362"/>
      <c r="CM48" s="362"/>
      <c r="CN48" s="362"/>
      <c r="CO48" s="362"/>
      <c r="CP48" s="362"/>
      <c r="CQ48" s="362"/>
      <c r="CR48" s="362"/>
      <c r="CS48" s="362"/>
      <c r="CT48" s="362"/>
      <c r="CU48" s="362"/>
      <c r="CV48" s="362"/>
      <c r="CW48" s="362"/>
      <c r="CX48" s="362"/>
      <c r="CY48" s="362"/>
      <c r="CZ48" s="362"/>
      <c r="DA48" s="362"/>
      <c r="DB48" s="362"/>
      <c r="DC48" s="362"/>
      <c r="DD48" s="362"/>
      <c r="DE48" s="362"/>
      <c r="DF48" s="362"/>
      <c r="DG48" s="362"/>
      <c r="DH48" s="362"/>
      <c r="DI48" s="362"/>
      <c r="DJ48" s="362"/>
      <c r="DK48" s="362"/>
      <c r="DL48" s="362"/>
      <c r="DM48" s="362"/>
      <c r="DN48" s="362"/>
      <c r="DO48" s="360"/>
      <c r="DP48" s="310">
        <f>CK66</f>
        <v>0</v>
      </c>
      <c r="DQ48" s="310">
        <f>CK99</f>
        <v>6</v>
      </c>
      <c r="DR48" s="310">
        <f>CK153</f>
        <v>6</v>
      </c>
      <c r="DS48" s="310">
        <f>CK165</f>
        <v>0</v>
      </c>
      <c r="DT48" s="310"/>
      <c r="DU48" s="310">
        <f t="shared" si="6"/>
        <v>12</v>
      </c>
      <c r="DV48" s="309" t="s">
        <v>1886</v>
      </c>
      <c r="DW48" s="310"/>
      <c r="DX48" s="372">
        <f>CK7*3500</f>
        <v>6842.4999999999991</v>
      </c>
    </row>
    <row r="49" spans="1:128" s="63" customFormat="1">
      <c r="A49" s="376"/>
      <c r="B49" s="368" t="s">
        <v>1379</v>
      </c>
      <c r="C49" s="357"/>
      <c r="D49" s="357"/>
      <c r="E49" s="357"/>
      <c r="F49" s="357"/>
      <c r="G49" s="357"/>
      <c r="H49" s="357"/>
      <c r="I49" s="357"/>
      <c r="J49" s="357"/>
      <c r="K49" s="357"/>
      <c r="L49" s="357"/>
      <c r="M49" s="357"/>
      <c r="N49" s="357"/>
      <c r="O49" s="357"/>
      <c r="P49" s="362"/>
      <c r="Q49" s="362"/>
      <c r="R49" s="362"/>
      <c r="S49" s="362"/>
      <c r="T49" s="360"/>
      <c r="U49" s="361"/>
      <c r="V49" s="361"/>
      <c r="W49" s="361"/>
      <c r="X49" s="357"/>
      <c r="Y49" s="357"/>
      <c r="Z49" s="357"/>
      <c r="AA49" s="357"/>
      <c r="AB49" s="357"/>
      <c r="AC49" s="357">
        <f>ROUNDUP(((8.7*14.3)+(14*2.4)+80)-(BK7+BR7),0)</f>
        <v>232</v>
      </c>
      <c r="AD49" s="357"/>
      <c r="AE49" s="357"/>
      <c r="AF49" s="357"/>
      <c r="AG49" s="357"/>
      <c r="AH49" s="357"/>
      <c r="AI49" s="357"/>
      <c r="AJ49" s="357"/>
      <c r="AK49" s="357"/>
      <c r="AL49" s="357"/>
      <c r="AM49" s="357"/>
      <c r="AN49" s="357"/>
      <c r="AO49" s="357"/>
      <c r="AP49" s="357"/>
      <c r="AQ49" s="357"/>
      <c r="AR49" s="357"/>
      <c r="AS49" s="362"/>
      <c r="AT49" s="360"/>
      <c r="AU49" s="361"/>
      <c r="AV49" s="357"/>
      <c r="AW49" s="357"/>
      <c r="AX49" s="357"/>
      <c r="AY49" s="360"/>
      <c r="AZ49" s="361"/>
      <c r="BA49" s="357">
        <f>AC49</f>
        <v>232</v>
      </c>
      <c r="BB49" s="362"/>
      <c r="BC49" s="365">
        <f t="shared" si="0"/>
        <v>0</v>
      </c>
      <c r="BD49" s="361"/>
      <c r="BE49" s="357"/>
      <c r="BF49" s="357"/>
      <c r="BG49" s="357"/>
      <c r="BH49" s="357"/>
      <c r="BI49" s="357"/>
      <c r="BJ49" s="357"/>
      <c r="BK49" s="357"/>
      <c r="BL49" s="357"/>
      <c r="BM49" s="357"/>
      <c r="BN49" s="357"/>
      <c r="BO49" s="357"/>
      <c r="BP49" s="357"/>
      <c r="BQ49" s="357"/>
      <c r="BR49" s="357"/>
      <c r="BS49" s="357"/>
      <c r="BT49" s="357"/>
      <c r="BU49" s="357"/>
      <c r="BV49" s="357"/>
      <c r="BW49" s="357"/>
      <c r="BX49" s="357"/>
      <c r="BY49" s="357"/>
      <c r="BZ49" s="357"/>
      <c r="CA49" s="357"/>
      <c r="CB49" s="357"/>
      <c r="CC49" s="357"/>
      <c r="CD49" s="357"/>
      <c r="CE49" s="357"/>
      <c r="CF49" s="357"/>
      <c r="CG49" s="357"/>
      <c r="CH49" s="357"/>
      <c r="CI49" s="362"/>
      <c r="CJ49" s="362"/>
      <c r="CK49" s="362"/>
      <c r="CL49" s="362"/>
      <c r="CM49" s="362"/>
      <c r="CN49" s="362"/>
      <c r="CO49" s="362"/>
      <c r="CP49" s="362"/>
      <c r="CQ49" s="362"/>
      <c r="CR49" s="362"/>
      <c r="CS49" s="362"/>
      <c r="CT49" s="362"/>
      <c r="CU49" s="362"/>
      <c r="CV49" s="362"/>
      <c r="CW49" s="362"/>
      <c r="CX49" s="362"/>
      <c r="CY49" s="362"/>
      <c r="CZ49" s="362"/>
      <c r="DA49" s="362"/>
      <c r="DB49" s="362"/>
      <c r="DC49" s="362"/>
      <c r="DD49" s="362"/>
      <c r="DE49" s="362"/>
      <c r="DF49" s="362"/>
      <c r="DG49" s="362"/>
      <c r="DH49" s="362"/>
      <c r="DI49" s="362"/>
      <c r="DJ49" s="362"/>
      <c r="DK49" s="362"/>
      <c r="DL49" s="362"/>
      <c r="DM49" s="362"/>
      <c r="DN49" s="362"/>
      <c r="DO49" s="360"/>
      <c r="DP49" s="310">
        <f>CL66</f>
        <v>1</v>
      </c>
      <c r="DQ49" s="310">
        <f>CL99</f>
        <v>0</v>
      </c>
      <c r="DR49" s="310">
        <f>CL153</f>
        <v>0</v>
      </c>
      <c r="DS49" s="310">
        <f>CL165</f>
        <v>0</v>
      </c>
      <c r="DT49" s="310"/>
      <c r="DU49" s="310">
        <f t="shared" si="6"/>
        <v>1</v>
      </c>
      <c r="DV49" s="309" t="s">
        <v>1887</v>
      </c>
      <c r="DW49" s="310"/>
      <c r="DX49" s="372">
        <f>ROUNDUP(CL7*3000,0)</f>
        <v>3315</v>
      </c>
    </row>
    <row r="50" spans="1:128" s="63" customFormat="1">
      <c r="A50" s="657"/>
      <c r="B50" s="659"/>
      <c r="C50" s="357"/>
      <c r="D50" s="357"/>
      <c r="E50" s="357"/>
      <c r="F50" s="357"/>
      <c r="G50" s="357"/>
      <c r="H50" s="357"/>
      <c r="I50" s="357"/>
      <c r="J50" s="357"/>
      <c r="K50" s="357"/>
      <c r="L50" s="357"/>
      <c r="M50" s="357"/>
      <c r="N50" s="357"/>
      <c r="O50" s="357"/>
      <c r="P50" s="362"/>
      <c r="Q50" s="362"/>
      <c r="R50" s="362"/>
      <c r="S50" s="362"/>
      <c r="T50" s="360"/>
      <c r="U50" s="659"/>
      <c r="V50" s="659"/>
      <c r="W50" s="659"/>
      <c r="X50" s="357"/>
      <c r="Y50" s="357"/>
      <c r="Z50" s="357"/>
      <c r="AA50" s="357"/>
      <c r="AB50" s="357"/>
      <c r="AC50" s="357"/>
      <c r="AD50" s="357"/>
      <c r="AE50" s="357"/>
      <c r="AF50" s="357"/>
      <c r="AG50" s="357"/>
      <c r="AH50" s="357"/>
      <c r="AI50" s="357"/>
      <c r="AJ50" s="357"/>
      <c r="AK50" s="357"/>
      <c r="AL50" s="357"/>
      <c r="AM50" s="357"/>
      <c r="AN50" s="357"/>
      <c r="AO50" s="357"/>
      <c r="AP50" s="357"/>
      <c r="AQ50" s="357"/>
      <c r="AR50" s="357"/>
      <c r="AS50" s="362"/>
      <c r="AT50" s="360"/>
      <c r="AU50" s="659"/>
      <c r="AV50" s="357"/>
      <c r="AW50" s="357"/>
      <c r="AX50" s="357"/>
      <c r="AY50" s="360"/>
      <c r="AZ50" s="659"/>
      <c r="BA50" s="357"/>
      <c r="BB50" s="362"/>
      <c r="BC50" s="365">
        <f t="shared" si="0"/>
        <v>0</v>
      </c>
      <c r="BD50" s="659"/>
      <c r="BE50" s="357"/>
      <c r="BF50" s="357"/>
      <c r="BG50" s="357"/>
      <c r="BH50" s="357"/>
      <c r="BI50" s="357"/>
      <c r="BJ50" s="357"/>
      <c r="BK50" s="357"/>
      <c r="BL50" s="357"/>
      <c r="BM50" s="357"/>
      <c r="BN50" s="357"/>
      <c r="BO50" s="357"/>
      <c r="BP50" s="357"/>
      <c r="BQ50" s="357"/>
      <c r="BR50" s="357"/>
      <c r="BS50" s="357"/>
      <c r="BT50" s="357"/>
      <c r="BU50" s="357"/>
      <c r="BV50" s="357"/>
      <c r="BW50" s="357"/>
      <c r="BX50" s="357"/>
      <c r="BY50" s="357"/>
      <c r="BZ50" s="357"/>
      <c r="CA50" s="357"/>
      <c r="CB50" s="357"/>
      <c r="CC50" s="357"/>
      <c r="CD50" s="357"/>
      <c r="CE50" s="357"/>
      <c r="CF50" s="357"/>
      <c r="CG50" s="357"/>
      <c r="CH50" s="357"/>
      <c r="CI50" s="362"/>
      <c r="CJ50" s="362"/>
      <c r="CK50" s="362"/>
      <c r="CL50" s="362"/>
      <c r="CM50" s="362"/>
      <c r="CN50" s="362"/>
      <c r="CO50" s="362"/>
      <c r="CP50" s="362"/>
      <c r="CQ50" s="362"/>
      <c r="CR50" s="362"/>
      <c r="CS50" s="362"/>
      <c r="CT50" s="362"/>
      <c r="CU50" s="362"/>
      <c r="CV50" s="362"/>
      <c r="CW50" s="362"/>
      <c r="CX50" s="362"/>
      <c r="CY50" s="362"/>
      <c r="CZ50" s="362"/>
      <c r="DA50" s="362"/>
      <c r="DB50" s="362"/>
      <c r="DC50" s="362"/>
      <c r="DD50" s="362"/>
      <c r="DE50" s="362"/>
      <c r="DF50" s="362"/>
      <c r="DG50" s="362"/>
      <c r="DH50" s="362"/>
      <c r="DI50" s="362"/>
      <c r="DJ50" s="362"/>
      <c r="DK50" s="362"/>
      <c r="DL50" s="362"/>
      <c r="DM50" s="362"/>
      <c r="DN50" s="362"/>
      <c r="DO50" s="360"/>
      <c r="DP50" s="310">
        <f>CM66</f>
        <v>0</v>
      </c>
      <c r="DQ50" s="310">
        <f>CM99</f>
        <v>1</v>
      </c>
      <c r="DR50" s="310">
        <f>CM153</f>
        <v>1</v>
      </c>
      <c r="DS50" s="310">
        <f>CM165</f>
        <v>0</v>
      </c>
      <c r="DT50" s="310"/>
      <c r="DU50" s="310">
        <f t="shared" si="6"/>
        <v>2</v>
      </c>
      <c r="DV50" s="309" t="s">
        <v>1888</v>
      </c>
      <c r="DW50" s="310"/>
      <c r="DX50" s="372">
        <f>CM7*3500</f>
        <v>5057.4999999999991</v>
      </c>
    </row>
    <row r="51" spans="1:128" s="63" customFormat="1">
      <c r="A51" s="373"/>
      <c r="B51" s="379"/>
      <c r="C51" s="357"/>
      <c r="D51" s="357"/>
      <c r="E51" s="357"/>
      <c r="F51" s="357"/>
      <c r="G51" s="357"/>
      <c r="H51" s="357"/>
      <c r="I51" s="357"/>
      <c r="J51" s="357"/>
      <c r="K51" s="357"/>
      <c r="L51" s="357"/>
      <c r="M51" s="357"/>
      <c r="N51" s="357"/>
      <c r="O51" s="357"/>
      <c r="P51" s="362"/>
      <c r="Q51" s="362"/>
      <c r="R51" s="362"/>
      <c r="S51" s="362"/>
      <c r="T51" s="360"/>
      <c r="U51" s="361"/>
      <c r="V51" s="361"/>
      <c r="W51" s="361"/>
      <c r="X51" s="357"/>
      <c r="Y51" s="357"/>
      <c r="Z51" s="357"/>
      <c r="AA51" s="357"/>
      <c r="AB51" s="357"/>
      <c r="AC51" s="357"/>
      <c r="AD51" s="357"/>
      <c r="AE51" s="357"/>
      <c r="AF51" s="357"/>
      <c r="AG51" s="357"/>
      <c r="AH51" s="357"/>
      <c r="AI51" s="357"/>
      <c r="AJ51" s="357"/>
      <c r="AK51" s="357"/>
      <c r="AL51" s="357"/>
      <c r="AM51" s="357"/>
      <c r="AN51" s="357"/>
      <c r="AO51" s="357"/>
      <c r="AP51" s="357"/>
      <c r="AQ51" s="357"/>
      <c r="AR51" s="357"/>
      <c r="AS51" s="362"/>
      <c r="AT51" s="360"/>
      <c r="AU51" s="361"/>
      <c r="AV51" s="357"/>
      <c r="AW51" s="357"/>
      <c r="AX51" s="357"/>
      <c r="AY51" s="360"/>
      <c r="AZ51" s="361"/>
      <c r="BA51" s="357"/>
      <c r="BB51" s="362"/>
      <c r="BC51" s="365">
        <f t="shared" si="0"/>
        <v>0</v>
      </c>
      <c r="BD51" s="361"/>
      <c r="BE51" s="357"/>
      <c r="BF51" s="357"/>
      <c r="BG51" s="357"/>
      <c r="BH51" s="357"/>
      <c r="BI51" s="357"/>
      <c r="BJ51" s="357"/>
      <c r="BK51" s="357"/>
      <c r="BL51" s="357"/>
      <c r="BM51" s="357"/>
      <c r="BN51" s="357"/>
      <c r="BO51" s="357"/>
      <c r="BP51" s="357"/>
      <c r="BQ51" s="357"/>
      <c r="BR51" s="357"/>
      <c r="BS51" s="357"/>
      <c r="BT51" s="357"/>
      <c r="BU51" s="357"/>
      <c r="BV51" s="357"/>
      <c r="BW51" s="357"/>
      <c r="BX51" s="357"/>
      <c r="BY51" s="357"/>
      <c r="BZ51" s="357"/>
      <c r="CA51" s="357"/>
      <c r="CB51" s="357"/>
      <c r="CC51" s="357"/>
      <c r="CD51" s="357"/>
      <c r="CE51" s="357"/>
      <c r="CF51" s="357"/>
      <c r="CG51" s="357"/>
      <c r="CH51" s="357"/>
      <c r="CI51" s="362"/>
      <c r="CJ51" s="362"/>
      <c r="CK51" s="362"/>
      <c r="CL51" s="362"/>
      <c r="CM51" s="362"/>
      <c r="CN51" s="362"/>
      <c r="CO51" s="362"/>
      <c r="CP51" s="362"/>
      <c r="CQ51" s="362"/>
      <c r="CR51" s="362"/>
      <c r="CS51" s="362"/>
      <c r="CT51" s="362"/>
      <c r="CU51" s="362"/>
      <c r="CV51" s="362"/>
      <c r="CW51" s="362"/>
      <c r="CX51" s="362"/>
      <c r="CY51" s="362"/>
      <c r="CZ51" s="362"/>
      <c r="DA51" s="362"/>
      <c r="DB51" s="362"/>
      <c r="DC51" s="362"/>
      <c r="DD51" s="362"/>
      <c r="DE51" s="362"/>
      <c r="DF51" s="362"/>
      <c r="DG51" s="362"/>
      <c r="DH51" s="362"/>
      <c r="DI51" s="362"/>
      <c r="DJ51" s="362"/>
      <c r="DK51" s="362"/>
      <c r="DL51" s="362"/>
      <c r="DM51" s="362"/>
      <c r="DN51" s="362"/>
      <c r="DO51" s="360"/>
      <c r="DP51" s="310">
        <f>CN66</f>
        <v>0</v>
      </c>
      <c r="DQ51" s="310">
        <f>CN99</f>
        <v>0</v>
      </c>
      <c r="DR51" s="310">
        <f>CN153</f>
        <v>4</v>
      </c>
      <c r="DS51" s="310">
        <f>CN165</f>
        <v>0</v>
      </c>
      <c r="DT51" s="310"/>
      <c r="DU51" s="310">
        <f t="shared" si="6"/>
        <v>4</v>
      </c>
      <c r="DV51" s="309" t="s">
        <v>1889</v>
      </c>
      <c r="DW51" s="310"/>
      <c r="DX51" s="372">
        <f>ROUNDUP(CN7*3000,0)</f>
        <v>16929</v>
      </c>
    </row>
    <row r="52" spans="1:128" s="63" customFormat="1">
      <c r="A52" s="373"/>
      <c r="B52" s="361"/>
      <c r="C52" s="357"/>
      <c r="D52" s="357"/>
      <c r="E52" s="357"/>
      <c r="F52" s="357"/>
      <c r="G52" s="357"/>
      <c r="H52" s="357"/>
      <c r="I52" s="357"/>
      <c r="J52" s="357"/>
      <c r="K52" s="357"/>
      <c r="L52" s="357"/>
      <c r="M52" s="357"/>
      <c r="N52" s="357"/>
      <c r="O52" s="357"/>
      <c r="P52" s="362"/>
      <c r="Q52" s="362"/>
      <c r="R52" s="362"/>
      <c r="S52" s="362"/>
      <c r="T52" s="360"/>
      <c r="U52" s="361"/>
      <c r="V52" s="361"/>
      <c r="W52" s="361"/>
      <c r="X52" s="357"/>
      <c r="Y52" s="357"/>
      <c r="Z52" s="357"/>
      <c r="AA52" s="357"/>
      <c r="AB52" s="357"/>
      <c r="AC52" s="357"/>
      <c r="AD52" s="357"/>
      <c r="AE52" s="357"/>
      <c r="AF52" s="357"/>
      <c r="AG52" s="357"/>
      <c r="AH52" s="357"/>
      <c r="AI52" s="357"/>
      <c r="AJ52" s="357"/>
      <c r="AK52" s="357"/>
      <c r="AL52" s="357"/>
      <c r="AM52" s="357"/>
      <c r="AN52" s="357"/>
      <c r="AO52" s="357"/>
      <c r="AP52" s="357"/>
      <c r="AQ52" s="357"/>
      <c r="AR52" s="357"/>
      <c r="AS52" s="362"/>
      <c r="AT52" s="360"/>
      <c r="AU52" s="361"/>
      <c r="AV52" s="357"/>
      <c r="AW52" s="357"/>
      <c r="AX52" s="357"/>
      <c r="AY52" s="360"/>
      <c r="AZ52" s="361"/>
      <c r="BA52" s="357"/>
      <c r="BB52" s="362"/>
      <c r="BC52" s="365">
        <f t="shared" si="0"/>
        <v>0</v>
      </c>
      <c r="BD52" s="361"/>
      <c r="BE52" s="357"/>
      <c r="BF52" s="357"/>
      <c r="BG52" s="357"/>
      <c r="BH52" s="357"/>
      <c r="BI52" s="357"/>
      <c r="BJ52" s="357"/>
      <c r="BK52" s="357"/>
      <c r="BL52" s="357"/>
      <c r="BM52" s="357"/>
      <c r="BN52" s="357"/>
      <c r="BO52" s="357"/>
      <c r="BP52" s="357"/>
      <c r="BQ52" s="357"/>
      <c r="BR52" s="357"/>
      <c r="BS52" s="357"/>
      <c r="BT52" s="357"/>
      <c r="BU52" s="357"/>
      <c r="BV52" s="357"/>
      <c r="BW52" s="357"/>
      <c r="BX52" s="357"/>
      <c r="BY52" s="357"/>
      <c r="BZ52" s="357"/>
      <c r="CA52" s="357"/>
      <c r="CB52" s="357"/>
      <c r="CC52" s="357"/>
      <c r="CD52" s="357"/>
      <c r="CE52" s="357"/>
      <c r="CF52" s="357"/>
      <c r="CG52" s="357"/>
      <c r="CH52" s="357"/>
      <c r="CI52" s="362"/>
      <c r="CJ52" s="362"/>
      <c r="CK52" s="362"/>
      <c r="CL52" s="362"/>
      <c r="CM52" s="362"/>
      <c r="CN52" s="362"/>
      <c r="CO52" s="362"/>
      <c r="CP52" s="362"/>
      <c r="CQ52" s="362"/>
      <c r="CR52" s="362"/>
      <c r="CS52" s="362"/>
      <c r="CT52" s="362"/>
      <c r="CU52" s="362"/>
      <c r="CV52" s="362"/>
      <c r="CW52" s="362"/>
      <c r="CX52" s="362"/>
      <c r="CY52" s="362"/>
      <c r="CZ52" s="362"/>
      <c r="DA52" s="362"/>
      <c r="DB52" s="362"/>
      <c r="DC52" s="362"/>
      <c r="DD52" s="362"/>
      <c r="DE52" s="362"/>
      <c r="DF52" s="362"/>
      <c r="DG52" s="362"/>
      <c r="DH52" s="362"/>
      <c r="DI52" s="362"/>
      <c r="DJ52" s="362"/>
      <c r="DK52" s="362"/>
      <c r="DL52" s="362"/>
      <c r="DM52" s="362"/>
      <c r="DN52" s="362"/>
      <c r="DO52" s="360"/>
      <c r="DP52" s="310">
        <f>CO66</f>
        <v>0</v>
      </c>
      <c r="DQ52" s="310">
        <f>CO99</f>
        <v>0</v>
      </c>
      <c r="DR52" s="310">
        <f>CO153</f>
        <v>4</v>
      </c>
      <c r="DS52" s="310">
        <f>CO165</f>
        <v>0</v>
      </c>
      <c r="DT52" s="310"/>
      <c r="DU52" s="310">
        <f t="shared" si="6"/>
        <v>4</v>
      </c>
      <c r="DV52" s="309" t="s">
        <v>1890</v>
      </c>
      <c r="DW52" s="310"/>
      <c r="DX52" s="372">
        <f>ROUNDUP(CO7*3000,0)</f>
        <v>5700</v>
      </c>
    </row>
    <row r="53" spans="1:128" s="63" customFormat="1">
      <c r="A53" s="373"/>
      <c r="B53" s="361"/>
      <c r="C53" s="357"/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357"/>
      <c r="P53" s="362"/>
      <c r="Q53" s="362"/>
      <c r="R53" s="362"/>
      <c r="S53" s="362"/>
      <c r="T53" s="360"/>
      <c r="U53" s="361"/>
      <c r="V53" s="361"/>
      <c r="W53" s="361"/>
      <c r="X53" s="357"/>
      <c r="Y53" s="357"/>
      <c r="Z53" s="357"/>
      <c r="AA53" s="357"/>
      <c r="AB53" s="357"/>
      <c r="AC53" s="357"/>
      <c r="AD53" s="357"/>
      <c r="AE53" s="357"/>
      <c r="AF53" s="357"/>
      <c r="AG53" s="357"/>
      <c r="AH53" s="357"/>
      <c r="AI53" s="357"/>
      <c r="AJ53" s="357"/>
      <c r="AK53" s="357"/>
      <c r="AL53" s="357"/>
      <c r="AM53" s="357"/>
      <c r="AN53" s="357"/>
      <c r="AO53" s="357"/>
      <c r="AP53" s="357"/>
      <c r="AQ53" s="357"/>
      <c r="AR53" s="357"/>
      <c r="AS53" s="362"/>
      <c r="AT53" s="360"/>
      <c r="AU53" s="361"/>
      <c r="AV53" s="357"/>
      <c r="AW53" s="357"/>
      <c r="AX53" s="357"/>
      <c r="AY53" s="360"/>
      <c r="AZ53" s="361"/>
      <c r="BA53" s="357"/>
      <c r="BB53" s="362"/>
      <c r="BC53" s="365">
        <f t="shared" si="0"/>
        <v>0</v>
      </c>
      <c r="BD53" s="361"/>
      <c r="BE53" s="357"/>
      <c r="BF53" s="357"/>
      <c r="BG53" s="357"/>
      <c r="BH53" s="357"/>
      <c r="BI53" s="357"/>
      <c r="BJ53" s="357"/>
      <c r="BK53" s="357"/>
      <c r="BL53" s="357"/>
      <c r="BM53" s="357"/>
      <c r="BN53" s="357"/>
      <c r="BO53" s="357"/>
      <c r="BP53" s="357"/>
      <c r="BQ53" s="357"/>
      <c r="BR53" s="357"/>
      <c r="BS53" s="357"/>
      <c r="BT53" s="357"/>
      <c r="BU53" s="357"/>
      <c r="BV53" s="357"/>
      <c r="BW53" s="357"/>
      <c r="BX53" s="357"/>
      <c r="BY53" s="357"/>
      <c r="BZ53" s="357"/>
      <c r="CA53" s="357"/>
      <c r="CB53" s="357"/>
      <c r="CC53" s="357"/>
      <c r="CD53" s="357"/>
      <c r="CE53" s="357"/>
      <c r="CF53" s="357"/>
      <c r="CG53" s="357"/>
      <c r="CH53" s="357"/>
      <c r="CI53" s="362"/>
      <c r="CJ53" s="362"/>
      <c r="CK53" s="362"/>
      <c r="CL53" s="362"/>
      <c r="CM53" s="362"/>
      <c r="CN53" s="362"/>
      <c r="CO53" s="362"/>
      <c r="CP53" s="362"/>
      <c r="CQ53" s="362"/>
      <c r="CR53" s="362"/>
      <c r="CS53" s="362"/>
      <c r="CT53" s="362"/>
      <c r="CU53" s="362"/>
      <c r="CV53" s="362"/>
      <c r="CW53" s="362"/>
      <c r="CX53" s="362"/>
      <c r="CY53" s="362"/>
      <c r="CZ53" s="362"/>
      <c r="DA53" s="362"/>
      <c r="DB53" s="362"/>
      <c r="DC53" s="362"/>
      <c r="DD53" s="362"/>
      <c r="DE53" s="362"/>
      <c r="DF53" s="362"/>
      <c r="DG53" s="362"/>
      <c r="DH53" s="362"/>
      <c r="DI53" s="362"/>
      <c r="DJ53" s="362"/>
      <c r="DK53" s="362"/>
      <c r="DL53" s="362"/>
      <c r="DM53" s="362"/>
      <c r="DN53" s="362"/>
      <c r="DO53" s="360"/>
      <c r="DP53" s="310">
        <f>CP66</f>
        <v>1</v>
      </c>
      <c r="DQ53" s="310">
        <f>CP99</f>
        <v>0</v>
      </c>
      <c r="DR53" s="310">
        <f>CP153</f>
        <v>0</v>
      </c>
      <c r="DS53" s="310">
        <f>CP165</f>
        <v>0</v>
      </c>
      <c r="DT53" s="310"/>
      <c r="DU53" s="310">
        <f t="shared" si="6"/>
        <v>1</v>
      </c>
      <c r="DV53" s="309" t="s">
        <v>1891</v>
      </c>
      <c r="DW53" s="310"/>
      <c r="DX53" s="372">
        <f>ROUNDUP(CP7*3000,0)</f>
        <v>21375</v>
      </c>
    </row>
    <row r="54" spans="1:128" s="63" customFormat="1">
      <c r="A54" s="657"/>
      <c r="B54" s="659"/>
      <c r="C54" s="357"/>
      <c r="D54" s="357"/>
      <c r="E54" s="357"/>
      <c r="F54" s="357"/>
      <c r="G54" s="357"/>
      <c r="H54" s="357"/>
      <c r="I54" s="357"/>
      <c r="J54" s="357"/>
      <c r="K54" s="357"/>
      <c r="L54" s="357"/>
      <c r="M54" s="357"/>
      <c r="N54" s="357"/>
      <c r="O54" s="357"/>
      <c r="P54" s="362"/>
      <c r="Q54" s="362"/>
      <c r="R54" s="362"/>
      <c r="S54" s="362"/>
      <c r="T54" s="360"/>
      <c r="U54" s="659"/>
      <c r="V54" s="659"/>
      <c r="W54" s="659"/>
      <c r="X54" s="357"/>
      <c r="Y54" s="357"/>
      <c r="Z54" s="357"/>
      <c r="AA54" s="357"/>
      <c r="AB54" s="357"/>
      <c r="AC54" s="357"/>
      <c r="AD54" s="357"/>
      <c r="AE54" s="357"/>
      <c r="AF54" s="357"/>
      <c r="AG54" s="357"/>
      <c r="AH54" s="357"/>
      <c r="AI54" s="357"/>
      <c r="AJ54" s="357"/>
      <c r="AK54" s="357"/>
      <c r="AL54" s="357"/>
      <c r="AM54" s="357"/>
      <c r="AN54" s="357"/>
      <c r="AO54" s="357"/>
      <c r="AP54" s="357"/>
      <c r="AQ54" s="357"/>
      <c r="AR54" s="357"/>
      <c r="AS54" s="362"/>
      <c r="AT54" s="360"/>
      <c r="AU54" s="659"/>
      <c r="AV54" s="357"/>
      <c r="AW54" s="357"/>
      <c r="AX54" s="357"/>
      <c r="AY54" s="360"/>
      <c r="AZ54" s="659"/>
      <c r="BA54" s="357"/>
      <c r="BB54" s="362"/>
      <c r="BC54" s="360"/>
      <c r="BD54" s="659"/>
      <c r="BE54" s="357"/>
      <c r="BF54" s="357"/>
      <c r="BG54" s="357"/>
      <c r="BH54" s="357"/>
      <c r="BI54" s="357"/>
      <c r="BJ54" s="357"/>
      <c r="BK54" s="357"/>
      <c r="BL54" s="357"/>
      <c r="BM54" s="357"/>
      <c r="BN54" s="357"/>
      <c r="BO54" s="357"/>
      <c r="BP54" s="357"/>
      <c r="BQ54" s="357"/>
      <c r="BR54" s="357"/>
      <c r="BS54" s="357"/>
      <c r="BT54" s="357"/>
      <c r="BU54" s="357"/>
      <c r="BV54" s="357"/>
      <c r="BW54" s="357"/>
      <c r="BX54" s="357"/>
      <c r="BY54" s="357"/>
      <c r="BZ54" s="357"/>
      <c r="CA54" s="357"/>
      <c r="CB54" s="357"/>
      <c r="CC54" s="357"/>
      <c r="CD54" s="357"/>
      <c r="CE54" s="357"/>
      <c r="CF54" s="357"/>
      <c r="CG54" s="357"/>
      <c r="CH54" s="357"/>
      <c r="CI54" s="362"/>
      <c r="CJ54" s="362"/>
      <c r="CK54" s="362"/>
      <c r="CL54" s="362"/>
      <c r="CM54" s="362"/>
      <c r="CN54" s="362"/>
      <c r="CO54" s="362"/>
      <c r="CP54" s="362"/>
      <c r="CQ54" s="362"/>
      <c r="CR54" s="362"/>
      <c r="CS54" s="362"/>
      <c r="CT54" s="362"/>
      <c r="CU54" s="362"/>
      <c r="CV54" s="362"/>
      <c r="CW54" s="362"/>
      <c r="CX54" s="362"/>
      <c r="CY54" s="362"/>
      <c r="CZ54" s="362"/>
      <c r="DA54" s="362"/>
      <c r="DB54" s="362"/>
      <c r="DC54" s="362"/>
      <c r="DD54" s="362"/>
      <c r="DE54" s="362"/>
      <c r="DF54" s="362"/>
      <c r="DG54" s="362"/>
      <c r="DH54" s="362"/>
      <c r="DI54" s="362"/>
      <c r="DJ54" s="362"/>
      <c r="DK54" s="362"/>
      <c r="DL54" s="362"/>
      <c r="DM54" s="362"/>
      <c r="DN54" s="362"/>
      <c r="DO54" s="360"/>
      <c r="DP54" s="310">
        <f>CQ66</f>
        <v>0</v>
      </c>
      <c r="DQ54" s="310">
        <f>CQ99</f>
        <v>1</v>
      </c>
      <c r="DR54" s="310">
        <f>CQ153</f>
        <v>1</v>
      </c>
      <c r="DS54" s="310">
        <f>CQ165</f>
        <v>0</v>
      </c>
      <c r="DT54" s="310"/>
      <c r="DU54" s="310">
        <f t="shared" si="6"/>
        <v>2</v>
      </c>
      <c r="DV54" s="309" t="s">
        <v>1892</v>
      </c>
      <c r="DW54" s="310"/>
      <c r="DX54" s="372">
        <f>CQ7*3000</f>
        <v>9405</v>
      </c>
    </row>
    <row r="55" spans="1:128" s="63" customFormat="1">
      <c r="A55" s="657"/>
      <c r="B55" s="659"/>
      <c r="C55" s="357"/>
      <c r="D55" s="357"/>
      <c r="E55" s="357"/>
      <c r="F55" s="357"/>
      <c r="G55" s="357"/>
      <c r="H55" s="357"/>
      <c r="I55" s="357"/>
      <c r="J55" s="357"/>
      <c r="K55" s="357"/>
      <c r="L55" s="357"/>
      <c r="M55" s="357"/>
      <c r="N55" s="357"/>
      <c r="O55" s="357"/>
      <c r="P55" s="362"/>
      <c r="Q55" s="362"/>
      <c r="R55" s="362"/>
      <c r="S55" s="362"/>
      <c r="T55" s="360"/>
      <c r="U55" s="659"/>
      <c r="V55" s="659"/>
      <c r="W55" s="659"/>
      <c r="X55" s="357"/>
      <c r="Y55" s="357"/>
      <c r="Z55" s="357"/>
      <c r="AA55" s="357"/>
      <c r="AB55" s="357"/>
      <c r="AC55" s="357"/>
      <c r="AD55" s="357"/>
      <c r="AE55" s="357"/>
      <c r="AF55" s="357"/>
      <c r="AG55" s="357"/>
      <c r="AH55" s="357"/>
      <c r="AI55" s="357"/>
      <c r="AJ55" s="357"/>
      <c r="AK55" s="357"/>
      <c r="AL55" s="357"/>
      <c r="AM55" s="357"/>
      <c r="AN55" s="357"/>
      <c r="AO55" s="357"/>
      <c r="AP55" s="357"/>
      <c r="AQ55" s="357"/>
      <c r="AR55" s="357"/>
      <c r="AS55" s="362"/>
      <c r="AT55" s="360"/>
      <c r="AU55" s="659"/>
      <c r="AV55" s="357"/>
      <c r="AW55" s="357"/>
      <c r="AX55" s="357"/>
      <c r="AY55" s="360"/>
      <c r="AZ55" s="659"/>
      <c r="BA55" s="357"/>
      <c r="BB55" s="362"/>
      <c r="BC55" s="360"/>
      <c r="BD55" s="659"/>
      <c r="BE55" s="357"/>
      <c r="BF55" s="357"/>
      <c r="BG55" s="357"/>
      <c r="BH55" s="357"/>
      <c r="BI55" s="357"/>
      <c r="BJ55" s="357"/>
      <c r="BK55" s="357"/>
      <c r="BL55" s="357"/>
      <c r="BM55" s="357"/>
      <c r="BN55" s="357"/>
      <c r="BO55" s="357"/>
      <c r="BP55" s="357"/>
      <c r="BQ55" s="357"/>
      <c r="BR55" s="357"/>
      <c r="BS55" s="357"/>
      <c r="BT55" s="357"/>
      <c r="BU55" s="357"/>
      <c r="BV55" s="357"/>
      <c r="BW55" s="357"/>
      <c r="BX55" s="357"/>
      <c r="BY55" s="357"/>
      <c r="BZ55" s="357"/>
      <c r="CA55" s="357"/>
      <c r="CB55" s="357"/>
      <c r="CC55" s="357"/>
      <c r="CD55" s="357"/>
      <c r="CE55" s="357"/>
      <c r="CF55" s="357"/>
      <c r="CG55" s="357"/>
      <c r="CH55" s="357"/>
      <c r="CI55" s="362"/>
      <c r="CJ55" s="362"/>
      <c r="CK55" s="362"/>
      <c r="CL55" s="362"/>
      <c r="CM55" s="362"/>
      <c r="CN55" s="362"/>
      <c r="CO55" s="362"/>
      <c r="CP55" s="362"/>
      <c r="CQ55" s="362"/>
      <c r="CR55" s="362"/>
      <c r="CS55" s="362"/>
      <c r="CT55" s="362"/>
      <c r="CU55" s="362"/>
      <c r="CV55" s="362"/>
      <c r="CW55" s="362"/>
      <c r="CX55" s="362"/>
      <c r="CY55" s="362"/>
      <c r="CZ55" s="362"/>
      <c r="DA55" s="362"/>
      <c r="DB55" s="362"/>
      <c r="DC55" s="362"/>
      <c r="DD55" s="362"/>
      <c r="DE55" s="362"/>
      <c r="DF55" s="362"/>
      <c r="DG55" s="362"/>
      <c r="DH55" s="362"/>
      <c r="DI55" s="362"/>
      <c r="DJ55" s="362"/>
      <c r="DK55" s="362"/>
      <c r="DL55" s="362"/>
      <c r="DM55" s="362"/>
      <c r="DN55" s="362"/>
      <c r="DO55" s="360"/>
      <c r="DP55" s="310">
        <f>CR66</f>
        <v>0</v>
      </c>
      <c r="DQ55" s="310">
        <f>CR99</f>
        <v>0</v>
      </c>
      <c r="DR55" s="310">
        <f>CR153</f>
        <v>0</v>
      </c>
      <c r="DS55" s="310">
        <f>CR165</f>
        <v>1</v>
      </c>
      <c r="DT55" s="310"/>
      <c r="DU55" s="310">
        <f t="shared" si="6"/>
        <v>1</v>
      </c>
      <c r="DV55" s="309" t="s">
        <v>1893</v>
      </c>
      <c r="DW55" s="310"/>
      <c r="DX55" s="372">
        <f>CR7*3500</f>
        <v>6982.5</v>
      </c>
    </row>
    <row r="56" spans="1:128" s="63" customFormat="1">
      <c r="A56" s="373"/>
      <c r="B56" s="361"/>
      <c r="C56" s="357"/>
      <c r="D56" s="357"/>
      <c r="E56" s="357"/>
      <c r="F56" s="357"/>
      <c r="G56" s="357"/>
      <c r="H56" s="357"/>
      <c r="I56" s="357"/>
      <c r="J56" s="357"/>
      <c r="K56" s="357"/>
      <c r="L56" s="357"/>
      <c r="M56" s="357"/>
      <c r="N56" s="357"/>
      <c r="O56" s="357"/>
      <c r="P56" s="357"/>
      <c r="Q56" s="357"/>
      <c r="R56" s="362"/>
      <c r="S56" s="362"/>
      <c r="T56" s="360"/>
      <c r="U56" s="361"/>
      <c r="V56" s="361"/>
      <c r="W56" s="361"/>
      <c r="X56" s="357"/>
      <c r="Y56" s="357"/>
      <c r="Z56" s="357"/>
      <c r="AA56" s="357"/>
      <c r="AB56" s="357"/>
      <c r="AC56" s="357"/>
      <c r="AD56" s="357"/>
      <c r="AE56" s="357"/>
      <c r="AF56" s="357"/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357"/>
      <c r="AR56" s="357"/>
      <c r="AS56" s="362"/>
      <c r="AT56" s="360"/>
      <c r="AU56" s="361"/>
      <c r="AV56" s="357"/>
      <c r="AW56" s="357"/>
      <c r="AX56" s="357"/>
      <c r="AY56" s="360"/>
      <c r="AZ56" s="361"/>
      <c r="BA56" s="357"/>
      <c r="BB56" s="362"/>
      <c r="BC56" s="360"/>
      <c r="BD56" s="380"/>
      <c r="BE56" s="357"/>
      <c r="BF56" s="381"/>
      <c r="BG56" s="381"/>
      <c r="BH56" s="381"/>
      <c r="BI56" s="381"/>
      <c r="BJ56" s="381"/>
      <c r="BK56" s="381"/>
      <c r="BL56" s="381"/>
      <c r="BM56" s="381"/>
      <c r="BN56" s="381"/>
      <c r="BO56" s="381"/>
      <c r="BP56" s="381"/>
      <c r="BQ56" s="381"/>
      <c r="BR56" s="381"/>
      <c r="BS56" s="381"/>
      <c r="BT56" s="381"/>
      <c r="BU56" s="381"/>
      <c r="BV56" s="381"/>
      <c r="BW56" s="381"/>
      <c r="BX56" s="381"/>
      <c r="BY56" s="381"/>
      <c r="BZ56" s="381"/>
      <c r="CA56" s="381"/>
      <c r="CB56" s="381"/>
      <c r="CC56" s="381"/>
      <c r="CD56" s="381"/>
      <c r="CE56" s="381"/>
      <c r="CF56" s="381"/>
      <c r="CG56" s="381"/>
      <c r="CH56" s="381"/>
      <c r="CI56" s="382"/>
      <c r="CJ56" s="382"/>
      <c r="CK56" s="382"/>
      <c r="CL56" s="382"/>
      <c r="CM56" s="382"/>
      <c r="CN56" s="382"/>
      <c r="CO56" s="382"/>
      <c r="CP56" s="382"/>
      <c r="CQ56" s="382"/>
      <c r="CR56" s="382"/>
      <c r="CS56" s="382"/>
      <c r="CT56" s="382"/>
      <c r="CU56" s="382"/>
      <c r="CV56" s="382"/>
      <c r="CW56" s="382"/>
      <c r="CX56" s="382"/>
      <c r="CY56" s="382"/>
      <c r="CZ56" s="382"/>
      <c r="DA56" s="382"/>
      <c r="DB56" s="382"/>
      <c r="DC56" s="382"/>
      <c r="DD56" s="382"/>
      <c r="DE56" s="382"/>
      <c r="DF56" s="382"/>
      <c r="DG56" s="382"/>
      <c r="DH56" s="382"/>
      <c r="DI56" s="382"/>
      <c r="DJ56" s="382"/>
      <c r="DK56" s="382"/>
      <c r="DL56" s="382"/>
      <c r="DM56" s="382"/>
      <c r="DN56" s="382"/>
      <c r="DO56" s="383"/>
      <c r="DP56" s="310">
        <f>CS66</f>
        <v>0</v>
      </c>
      <c r="DQ56" s="310">
        <f>CS99</f>
        <v>0</v>
      </c>
      <c r="DR56" s="310">
        <f>CS153</f>
        <v>4</v>
      </c>
      <c r="DS56" s="310">
        <f>CS165</f>
        <v>0</v>
      </c>
      <c r="DT56" s="310"/>
      <c r="DU56" s="310">
        <f t="shared" si="6"/>
        <v>4</v>
      </c>
      <c r="DV56" s="309" t="s">
        <v>1894</v>
      </c>
      <c r="DW56" s="310"/>
      <c r="DX56" s="372">
        <f>ROUNDUP(CS7*3000,0)</f>
        <v>8100</v>
      </c>
    </row>
    <row r="57" spans="1:128" s="63" customFormat="1">
      <c r="A57" s="373"/>
      <c r="B57" s="361"/>
      <c r="C57" s="357"/>
      <c r="D57" s="357"/>
      <c r="E57" s="357"/>
      <c r="F57" s="357"/>
      <c r="G57" s="357"/>
      <c r="H57" s="357"/>
      <c r="I57" s="357"/>
      <c r="J57" s="357"/>
      <c r="K57" s="357"/>
      <c r="L57" s="357"/>
      <c r="M57" s="357"/>
      <c r="N57" s="357"/>
      <c r="O57" s="357"/>
      <c r="P57" s="362"/>
      <c r="Q57" s="357"/>
      <c r="R57" s="362"/>
      <c r="S57" s="362"/>
      <c r="T57" s="360"/>
      <c r="U57" s="361"/>
      <c r="V57" s="361"/>
      <c r="W57" s="361"/>
      <c r="X57" s="357"/>
      <c r="Y57" s="357"/>
      <c r="Z57" s="357"/>
      <c r="AA57" s="357"/>
      <c r="AB57" s="357"/>
      <c r="AC57" s="357"/>
      <c r="AD57" s="357"/>
      <c r="AE57" s="357"/>
      <c r="AF57" s="357"/>
      <c r="AG57" s="357"/>
      <c r="AH57" s="357"/>
      <c r="AI57" s="357"/>
      <c r="AJ57" s="357"/>
      <c r="AK57" s="357"/>
      <c r="AL57" s="357"/>
      <c r="AM57" s="357"/>
      <c r="AN57" s="357"/>
      <c r="AO57" s="357"/>
      <c r="AP57" s="357"/>
      <c r="AQ57" s="357"/>
      <c r="AR57" s="357"/>
      <c r="AS57" s="362"/>
      <c r="AT57" s="360"/>
      <c r="AU57" s="361"/>
      <c r="AV57" s="357"/>
      <c r="AW57" s="357"/>
      <c r="AX57" s="357"/>
      <c r="AY57" s="360"/>
      <c r="AZ57" s="361"/>
      <c r="BA57" s="357"/>
      <c r="BB57" s="362"/>
      <c r="BC57" s="360"/>
      <c r="BD57" s="380"/>
      <c r="BE57" s="357"/>
      <c r="BF57" s="381"/>
      <c r="BG57" s="381"/>
      <c r="BH57" s="381"/>
      <c r="BI57" s="381"/>
      <c r="BJ57" s="381"/>
      <c r="BK57" s="381"/>
      <c r="BL57" s="381"/>
      <c r="BM57" s="381"/>
      <c r="BN57" s="381"/>
      <c r="BO57" s="381"/>
      <c r="BP57" s="381"/>
      <c r="BQ57" s="381"/>
      <c r="BR57" s="381"/>
      <c r="BS57" s="381"/>
      <c r="BT57" s="381"/>
      <c r="BU57" s="381"/>
      <c r="BV57" s="381"/>
      <c r="BW57" s="381"/>
      <c r="BX57" s="381"/>
      <c r="BY57" s="381"/>
      <c r="BZ57" s="381"/>
      <c r="CA57" s="381"/>
      <c r="CB57" s="381"/>
      <c r="CC57" s="381"/>
      <c r="CD57" s="381"/>
      <c r="CE57" s="381"/>
      <c r="CF57" s="381"/>
      <c r="CG57" s="381"/>
      <c r="CH57" s="381"/>
      <c r="CI57" s="382"/>
      <c r="CJ57" s="382"/>
      <c r="CK57" s="382"/>
      <c r="CL57" s="382"/>
      <c r="CM57" s="382"/>
      <c r="CN57" s="382"/>
      <c r="CO57" s="382"/>
      <c r="CP57" s="382"/>
      <c r="CQ57" s="382"/>
      <c r="CR57" s="382"/>
      <c r="CS57" s="382"/>
      <c r="CT57" s="382"/>
      <c r="CU57" s="382"/>
      <c r="CV57" s="382"/>
      <c r="CW57" s="382"/>
      <c r="CX57" s="382"/>
      <c r="CY57" s="382"/>
      <c r="CZ57" s="382"/>
      <c r="DA57" s="382"/>
      <c r="DB57" s="382"/>
      <c r="DC57" s="382"/>
      <c r="DD57" s="382"/>
      <c r="DE57" s="382"/>
      <c r="DF57" s="382"/>
      <c r="DG57" s="382"/>
      <c r="DH57" s="382"/>
      <c r="DI57" s="382"/>
      <c r="DJ57" s="382"/>
      <c r="DK57" s="382"/>
      <c r="DL57" s="382"/>
      <c r="DM57" s="382"/>
      <c r="DN57" s="382"/>
      <c r="DO57" s="383"/>
      <c r="DP57" s="310">
        <f>CT66</f>
        <v>1</v>
      </c>
      <c r="DQ57" s="310">
        <f>CT99</f>
        <v>0</v>
      </c>
      <c r="DR57" s="310">
        <f>CT153</f>
        <v>0</v>
      </c>
      <c r="DS57" s="310">
        <f>CT165</f>
        <v>0</v>
      </c>
      <c r="DT57" s="310"/>
      <c r="DU57" s="310">
        <f t="shared" si="6"/>
        <v>1</v>
      </c>
      <c r="DV57" s="309" t="s">
        <v>1895</v>
      </c>
      <c r="DW57" s="310"/>
      <c r="DX57" s="372">
        <f>ROUNDUP(CT7*3000,0)</f>
        <v>64125</v>
      </c>
    </row>
    <row r="58" spans="1:128" s="63" customFormat="1">
      <c r="A58" s="373"/>
      <c r="B58" s="361"/>
      <c r="C58" s="357"/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7"/>
      <c r="P58" s="362"/>
      <c r="Q58" s="362"/>
      <c r="R58" s="357"/>
      <c r="S58" s="362"/>
      <c r="T58" s="360"/>
      <c r="U58" s="361"/>
      <c r="V58" s="361"/>
      <c r="W58" s="361"/>
      <c r="X58" s="357"/>
      <c r="Y58" s="357"/>
      <c r="Z58" s="357"/>
      <c r="AA58" s="357"/>
      <c r="AB58" s="357"/>
      <c r="AC58" s="357"/>
      <c r="AD58" s="357"/>
      <c r="AE58" s="357"/>
      <c r="AF58" s="357"/>
      <c r="AG58" s="357"/>
      <c r="AH58" s="357"/>
      <c r="AI58" s="357"/>
      <c r="AJ58" s="357"/>
      <c r="AK58" s="357"/>
      <c r="AL58" s="357"/>
      <c r="AM58" s="357"/>
      <c r="AN58" s="357"/>
      <c r="AO58" s="357"/>
      <c r="AP58" s="357"/>
      <c r="AQ58" s="357"/>
      <c r="AR58" s="357"/>
      <c r="AS58" s="362"/>
      <c r="AT58" s="360"/>
      <c r="AU58" s="361"/>
      <c r="AV58" s="357"/>
      <c r="AW58" s="357"/>
      <c r="AX58" s="357"/>
      <c r="AY58" s="360"/>
      <c r="AZ58" s="361"/>
      <c r="BA58" s="357"/>
      <c r="BB58" s="362"/>
      <c r="BC58" s="360"/>
      <c r="BD58" s="380"/>
      <c r="BE58" s="381"/>
      <c r="BF58" s="381"/>
      <c r="BG58" s="381"/>
      <c r="BH58" s="381"/>
      <c r="BI58" s="381"/>
      <c r="BJ58" s="381"/>
      <c r="BK58" s="381"/>
      <c r="BL58" s="381"/>
      <c r="BM58" s="381"/>
      <c r="BN58" s="381"/>
      <c r="BO58" s="381"/>
      <c r="BP58" s="381"/>
      <c r="BQ58" s="381"/>
      <c r="BR58" s="381"/>
      <c r="BS58" s="381"/>
      <c r="BT58" s="381"/>
      <c r="BU58" s="381"/>
      <c r="BV58" s="381"/>
      <c r="BW58" s="381"/>
      <c r="BX58" s="381"/>
      <c r="BY58" s="381"/>
      <c r="BZ58" s="381"/>
      <c r="CA58" s="381"/>
      <c r="CB58" s="381"/>
      <c r="CC58" s="381"/>
      <c r="CD58" s="381"/>
      <c r="CE58" s="381"/>
      <c r="CF58" s="381"/>
      <c r="CG58" s="381"/>
      <c r="CH58" s="381"/>
      <c r="CI58" s="382"/>
      <c r="CJ58" s="382"/>
      <c r="CK58" s="382"/>
      <c r="CL58" s="382"/>
      <c r="CM58" s="382"/>
      <c r="CN58" s="382"/>
      <c r="CO58" s="382"/>
      <c r="CP58" s="382"/>
      <c r="CQ58" s="382"/>
      <c r="CR58" s="382"/>
      <c r="CS58" s="382"/>
      <c r="CT58" s="382"/>
      <c r="CU58" s="382"/>
      <c r="CV58" s="382"/>
      <c r="CW58" s="382"/>
      <c r="CX58" s="382"/>
      <c r="CY58" s="382"/>
      <c r="CZ58" s="382"/>
      <c r="DA58" s="382"/>
      <c r="DB58" s="382"/>
      <c r="DC58" s="382"/>
      <c r="DD58" s="382"/>
      <c r="DE58" s="382"/>
      <c r="DF58" s="382"/>
      <c r="DG58" s="382"/>
      <c r="DH58" s="382"/>
      <c r="DI58" s="382"/>
      <c r="DJ58" s="382"/>
      <c r="DK58" s="382"/>
      <c r="DL58" s="382"/>
      <c r="DM58" s="382"/>
      <c r="DN58" s="382"/>
      <c r="DO58" s="383"/>
      <c r="DP58" s="310">
        <f>CU66</f>
        <v>0</v>
      </c>
      <c r="DQ58" s="310">
        <f>CU99</f>
        <v>0</v>
      </c>
      <c r="DR58" s="310">
        <f>CU153</f>
        <v>1</v>
      </c>
      <c r="DS58" s="310">
        <f>CU165</f>
        <v>0</v>
      </c>
      <c r="DT58" s="310"/>
      <c r="DU58" s="310">
        <f t="shared" si="6"/>
        <v>1</v>
      </c>
      <c r="DV58" s="309" t="s">
        <v>1896</v>
      </c>
      <c r="DW58" s="310"/>
      <c r="DX58" s="372">
        <f>ROUNDUP(CU7*3000,0)</f>
        <v>21087</v>
      </c>
    </row>
    <row r="59" spans="1:128" s="63" customFormat="1">
      <c r="A59" s="373"/>
      <c r="B59" s="361"/>
      <c r="C59" s="357"/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7"/>
      <c r="P59" s="362"/>
      <c r="Q59" s="362"/>
      <c r="R59" s="362"/>
      <c r="S59" s="357"/>
      <c r="T59" s="360"/>
      <c r="U59" s="361"/>
      <c r="V59" s="361"/>
      <c r="W59" s="361"/>
      <c r="X59" s="357"/>
      <c r="Y59" s="357"/>
      <c r="Z59" s="357"/>
      <c r="AA59" s="357"/>
      <c r="AB59" s="357"/>
      <c r="AC59" s="357"/>
      <c r="AD59" s="357"/>
      <c r="AE59" s="357"/>
      <c r="AF59" s="357"/>
      <c r="AG59" s="357"/>
      <c r="AH59" s="357"/>
      <c r="AI59" s="357"/>
      <c r="AJ59" s="357"/>
      <c r="AK59" s="357"/>
      <c r="AL59" s="357"/>
      <c r="AM59" s="357"/>
      <c r="AN59" s="357"/>
      <c r="AO59" s="357"/>
      <c r="AP59" s="357"/>
      <c r="AQ59" s="357"/>
      <c r="AR59" s="357"/>
      <c r="AS59" s="362"/>
      <c r="AT59" s="360"/>
      <c r="AU59" s="361"/>
      <c r="AV59" s="357"/>
      <c r="AW59" s="357"/>
      <c r="AX59" s="357"/>
      <c r="AY59" s="360"/>
      <c r="AZ59" s="361"/>
      <c r="BA59" s="357"/>
      <c r="BB59" s="362"/>
      <c r="BC59" s="360"/>
      <c r="BD59" s="380"/>
      <c r="BE59" s="381"/>
      <c r="BF59" s="381"/>
      <c r="BG59" s="381"/>
      <c r="BH59" s="381"/>
      <c r="BI59" s="381"/>
      <c r="BJ59" s="381"/>
      <c r="BK59" s="381"/>
      <c r="BL59" s="381"/>
      <c r="BM59" s="381"/>
      <c r="BN59" s="381"/>
      <c r="BO59" s="381"/>
      <c r="BP59" s="381"/>
      <c r="BQ59" s="381"/>
      <c r="BR59" s="381"/>
      <c r="BS59" s="381"/>
      <c r="BT59" s="381"/>
      <c r="BU59" s="381"/>
      <c r="BV59" s="381"/>
      <c r="BW59" s="381"/>
      <c r="BX59" s="381"/>
      <c r="BY59" s="381"/>
      <c r="BZ59" s="381"/>
      <c r="CA59" s="381"/>
      <c r="CB59" s="381"/>
      <c r="CC59" s="381"/>
      <c r="CD59" s="381"/>
      <c r="CE59" s="381"/>
      <c r="CF59" s="381"/>
      <c r="CG59" s="381"/>
      <c r="CH59" s="381"/>
      <c r="CI59" s="382"/>
      <c r="CJ59" s="382"/>
      <c r="CK59" s="382"/>
      <c r="CL59" s="382"/>
      <c r="CM59" s="382"/>
      <c r="CN59" s="382"/>
      <c r="CO59" s="382"/>
      <c r="CP59" s="382"/>
      <c r="CQ59" s="382"/>
      <c r="CR59" s="382"/>
      <c r="CS59" s="382"/>
      <c r="CT59" s="382"/>
      <c r="CU59" s="382"/>
      <c r="CV59" s="382"/>
      <c r="CW59" s="382"/>
      <c r="CX59" s="382"/>
      <c r="CY59" s="382"/>
      <c r="CZ59" s="382"/>
      <c r="DA59" s="382"/>
      <c r="DB59" s="382"/>
      <c r="DC59" s="382"/>
      <c r="DD59" s="382"/>
      <c r="DE59" s="382"/>
      <c r="DF59" s="382"/>
      <c r="DG59" s="382"/>
      <c r="DH59" s="382"/>
      <c r="DI59" s="382"/>
      <c r="DJ59" s="382"/>
      <c r="DK59" s="382"/>
      <c r="DL59" s="382"/>
      <c r="DM59" s="382"/>
      <c r="DN59" s="382"/>
      <c r="DO59" s="383"/>
      <c r="DP59" s="310">
        <f>CV66</f>
        <v>0</v>
      </c>
      <c r="DQ59" s="310">
        <f>CV99</f>
        <v>0</v>
      </c>
      <c r="DR59" s="310">
        <f>CV153</f>
        <v>1</v>
      </c>
      <c r="DS59" s="310">
        <f>CV165</f>
        <v>0</v>
      </c>
      <c r="DT59" s="310"/>
      <c r="DU59" s="310">
        <f t="shared" si="6"/>
        <v>1</v>
      </c>
      <c r="DV59" s="309" t="s">
        <v>1897</v>
      </c>
      <c r="DW59" s="310"/>
      <c r="DX59" s="372">
        <f>ROUNDUP(CV7*2500,0)</f>
        <v>8250</v>
      </c>
    </row>
    <row r="60" spans="1:128" s="63" customFormat="1">
      <c r="A60" s="373"/>
      <c r="B60" s="361"/>
      <c r="C60" s="357"/>
      <c r="D60" s="357"/>
      <c r="E60" s="357"/>
      <c r="F60" s="357"/>
      <c r="G60" s="357"/>
      <c r="H60" s="357"/>
      <c r="I60" s="357"/>
      <c r="J60" s="357"/>
      <c r="K60" s="357"/>
      <c r="L60" s="357"/>
      <c r="M60" s="357"/>
      <c r="N60" s="357"/>
      <c r="O60" s="357"/>
      <c r="P60" s="362"/>
      <c r="Q60" s="362"/>
      <c r="R60" s="362"/>
      <c r="S60" s="362"/>
      <c r="T60" s="360"/>
      <c r="U60" s="361"/>
      <c r="V60" s="361"/>
      <c r="W60" s="361"/>
      <c r="X60" s="357"/>
      <c r="Y60" s="357"/>
      <c r="Z60" s="357"/>
      <c r="AA60" s="357"/>
      <c r="AB60" s="357"/>
      <c r="AC60" s="357"/>
      <c r="AD60" s="357"/>
      <c r="AE60" s="357"/>
      <c r="AF60" s="357"/>
      <c r="AG60" s="357"/>
      <c r="AH60" s="357"/>
      <c r="AI60" s="357"/>
      <c r="AJ60" s="357"/>
      <c r="AK60" s="357"/>
      <c r="AL60" s="357"/>
      <c r="AM60" s="357"/>
      <c r="AN60" s="357"/>
      <c r="AO60" s="357"/>
      <c r="AP60" s="357"/>
      <c r="AQ60" s="357"/>
      <c r="AR60" s="357"/>
      <c r="AS60" s="362"/>
      <c r="AT60" s="360"/>
      <c r="AU60" s="361"/>
      <c r="AV60" s="357"/>
      <c r="AW60" s="357"/>
      <c r="AX60" s="357"/>
      <c r="AY60" s="360"/>
      <c r="AZ60" s="361"/>
      <c r="BA60" s="357"/>
      <c r="BB60" s="362"/>
      <c r="BC60" s="360"/>
      <c r="BD60" s="380"/>
      <c r="BE60" s="381"/>
      <c r="BF60" s="381"/>
      <c r="BG60" s="381"/>
      <c r="BH60" s="381"/>
      <c r="BI60" s="381"/>
      <c r="BJ60" s="381"/>
      <c r="BK60" s="381"/>
      <c r="BL60" s="381"/>
      <c r="BM60" s="381"/>
      <c r="BN60" s="381"/>
      <c r="BO60" s="381"/>
      <c r="BP60" s="381"/>
      <c r="BQ60" s="381"/>
      <c r="BR60" s="381"/>
      <c r="BS60" s="381"/>
      <c r="BT60" s="381"/>
      <c r="BU60" s="381"/>
      <c r="BV60" s="381"/>
      <c r="BW60" s="381"/>
      <c r="BX60" s="381"/>
      <c r="BY60" s="381"/>
      <c r="BZ60" s="381"/>
      <c r="CA60" s="381"/>
      <c r="CB60" s="381"/>
      <c r="CC60" s="381"/>
      <c r="CD60" s="381"/>
      <c r="CE60" s="381"/>
      <c r="CF60" s="381"/>
      <c r="CG60" s="381"/>
      <c r="CH60" s="381"/>
      <c r="CI60" s="382"/>
      <c r="CJ60" s="382"/>
      <c r="CK60" s="382"/>
      <c r="CL60" s="382"/>
      <c r="CM60" s="382"/>
      <c r="CN60" s="382"/>
      <c r="CO60" s="382"/>
      <c r="CP60" s="382"/>
      <c r="CQ60" s="382"/>
      <c r="CR60" s="382"/>
      <c r="CS60" s="382"/>
      <c r="CT60" s="382"/>
      <c r="CU60" s="382"/>
      <c r="CV60" s="382"/>
      <c r="CW60" s="382"/>
      <c r="CX60" s="382"/>
      <c r="CY60" s="382"/>
      <c r="CZ60" s="382"/>
      <c r="DA60" s="382"/>
      <c r="DB60" s="382"/>
      <c r="DC60" s="382"/>
      <c r="DD60" s="382"/>
      <c r="DE60" s="382"/>
      <c r="DF60" s="382"/>
      <c r="DG60" s="382"/>
      <c r="DH60" s="382"/>
      <c r="DI60" s="382"/>
      <c r="DJ60" s="382"/>
      <c r="DK60" s="382"/>
      <c r="DL60" s="382"/>
      <c r="DM60" s="382"/>
      <c r="DN60" s="382"/>
      <c r="DO60" s="383"/>
      <c r="DP60" s="310">
        <f>CW66</f>
        <v>1</v>
      </c>
      <c r="DQ60" s="310">
        <f>CW99</f>
        <v>0</v>
      </c>
      <c r="DR60" s="310">
        <f>CW153</f>
        <v>1</v>
      </c>
      <c r="DS60" s="310">
        <f>CW165</f>
        <v>0</v>
      </c>
      <c r="DT60" s="310"/>
      <c r="DU60" s="310">
        <f t="shared" si="6"/>
        <v>2</v>
      </c>
      <c r="DV60" s="309" t="s">
        <v>1898</v>
      </c>
      <c r="DW60" s="310"/>
      <c r="DX60" s="372">
        <f>CW7*3000</f>
        <v>46620</v>
      </c>
    </row>
    <row r="61" spans="1:128" s="63" customFormat="1">
      <c r="A61" s="373"/>
      <c r="B61" s="361"/>
      <c r="C61" s="357"/>
      <c r="D61" s="357"/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7"/>
      <c r="P61" s="362"/>
      <c r="Q61" s="362"/>
      <c r="R61" s="362"/>
      <c r="S61" s="362"/>
      <c r="T61" s="360"/>
      <c r="U61" s="361"/>
      <c r="V61" s="361"/>
      <c r="W61" s="361"/>
      <c r="X61" s="357"/>
      <c r="Y61" s="357"/>
      <c r="Z61" s="357"/>
      <c r="AA61" s="357"/>
      <c r="AB61" s="357"/>
      <c r="AC61" s="357"/>
      <c r="AD61" s="357"/>
      <c r="AE61" s="357"/>
      <c r="AF61" s="357"/>
      <c r="AG61" s="357"/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62"/>
      <c r="AT61" s="360"/>
      <c r="AU61" s="361"/>
      <c r="AV61" s="357"/>
      <c r="AW61" s="357"/>
      <c r="AX61" s="357"/>
      <c r="AY61" s="360"/>
      <c r="AZ61" s="361"/>
      <c r="BA61" s="357"/>
      <c r="BB61" s="362"/>
      <c r="BC61" s="360"/>
      <c r="BD61" s="380"/>
      <c r="BE61" s="381"/>
      <c r="BF61" s="381"/>
      <c r="BG61" s="381"/>
      <c r="BH61" s="381"/>
      <c r="BI61" s="381"/>
      <c r="BJ61" s="381"/>
      <c r="BK61" s="381"/>
      <c r="BL61" s="381"/>
      <c r="BM61" s="381"/>
      <c r="BN61" s="381"/>
      <c r="BO61" s="381"/>
      <c r="BP61" s="381"/>
      <c r="BQ61" s="381"/>
      <c r="BR61" s="381"/>
      <c r="BS61" s="381"/>
      <c r="BT61" s="381"/>
      <c r="BU61" s="381"/>
      <c r="BV61" s="381"/>
      <c r="BW61" s="381"/>
      <c r="BX61" s="381"/>
      <c r="BY61" s="381"/>
      <c r="BZ61" s="381"/>
      <c r="CA61" s="381"/>
      <c r="CB61" s="381"/>
      <c r="CC61" s="381"/>
      <c r="CD61" s="381"/>
      <c r="CE61" s="381"/>
      <c r="CF61" s="381"/>
      <c r="CG61" s="381"/>
      <c r="CH61" s="381"/>
      <c r="CI61" s="382"/>
      <c r="CJ61" s="382"/>
      <c r="CK61" s="382"/>
      <c r="CL61" s="382"/>
      <c r="CM61" s="382"/>
      <c r="CN61" s="382"/>
      <c r="CO61" s="382"/>
      <c r="CP61" s="382"/>
      <c r="CQ61" s="382"/>
      <c r="CR61" s="382"/>
      <c r="CS61" s="382"/>
      <c r="CT61" s="382"/>
      <c r="CU61" s="382"/>
      <c r="CV61" s="382"/>
      <c r="CW61" s="382"/>
      <c r="CX61" s="382"/>
      <c r="CY61" s="382"/>
      <c r="CZ61" s="382"/>
      <c r="DA61" s="382"/>
      <c r="DB61" s="382"/>
      <c r="DC61" s="382"/>
      <c r="DD61" s="382"/>
      <c r="DE61" s="382"/>
      <c r="DF61" s="382"/>
      <c r="DG61" s="382"/>
      <c r="DH61" s="382"/>
      <c r="DI61" s="382"/>
      <c r="DJ61" s="382"/>
      <c r="DK61" s="382"/>
      <c r="DL61" s="382"/>
      <c r="DM61" s="382"/>
      <c r="DN61" s="382"/>
      <c r="DO61" s="383"/>
      <c r="DP61" s="310">
        <f>CX66</f>
        <v>1</v>
      </c>
      <c r="DQ61" s="310">
        <f>CX99</f>
        <v>0</v>
      </c>
      <c r="DR61" s="310">
        <f>CX153</f>
        <v>0</v>
      </c>
      <c r="DS61" s="310">
        <f>CX165</f>
        <v>0</v>
      </c>
      <c r="DT61" s="310"/>
      <c r="DU61" s="310">
        <f t="shared" si="6"/>
        <v>1</v>
      </c>
      <c r="DV61" s="309" t="s">
        <v>1899</v>
      </c>
      <c r="DW61" s="310"/>
      <c r="DX61" s="310">
        <f>CX7*3000</f>
        <v>50760.000000000007</v>
      </c>
    </row>
    <row r="62" spans="1:128" s="63" customFormat="1">
      <c r="A62" s="373"/>
      <c r="B62" s="361"/>
      <c r="C62" s="357"/>
      <c r="D62" s="357"/>
      <c r="E62" s="357"/>
      <c r="F62" s="357"/>
      <c r="G62" s="357"/>
      <c r="H62" s="357"/>
      <c r="I62" s="357"/>
      <c r="J62" s="357"/>
      <c r="K62" s="357"/>
      <c r="L62" s="357"/>
      <c r="M62" s="357"/>
      <c r="N62" s="357"/>
      <c r="O62" s="357"/>
      <c r="P62" s="362"/>
      <c r="Q62" s="362"/>
      <c r="R62" s="362"/>
      <c r="S62" s="362"/>
      <c r="T62" s="360"/>
      <c r="U62" s="361"/>
      <c r="V62" s="361"/>
      <c r="W62" s="361"/>
      <c r="X62" s="357"/>
      <c r="Y62" s="357"/>
      <c r="Z62" s="357"/>
      <c r="AA62" s="357"/>
      <c r="AB62" s="357"/>
      <c r="AC62" s="357"/>
      <c r="AD62" s="357"/>
      <c r="AE62" s="357"/>
      <c r="AF62" s="357"/>
      <c r="AG62" s="357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62"/>
      <c r="AT62" s="360"/>
      <c r="AU62" s="361"/>
      <c r="AV62" s="357"/>
      <c r="AW62" s="357"/>
      <c r="AX62" s="357"/>
      <c r="AY62" s="360"/>
      <c r="AZ62" s="361"/>
      <c r="BA62" s="357"/>
      <c r="BB62" s="362"/>
      <c r="BC62" s="360"/>
      <c r="BD62" s="380"/>
      <c r="BE62" s="381"/>
      <c r="BF62" s="381"/>
      <c r="BG62" s="381"/>
      <c r="BH62" s="381"/>
      <c r="BI62" s="381"/>
      <c r="BJ62" s="381"/>
      <c r="BK62" s="381"/>
      <c r="BL62" s="381"/>
      <c r="BM62" s="381"/>
      <c r="BN62" s="381"/>
      <c r="BO62" s="381"/>
      <c r="BP62" s="381"/>
      <c r="BQ62" s="381"/>
      <c r="BR62" s="381"/>
      <c r="BS62" s="381"/>
      <c r="BT62" s="381"/>
      <c r="BU62" s="381"/>
      <c r="BV62" s="381"/>
      <c r="BW62" s="381"/>
      <c r="BX62" s="381"/>
      <c r="BY62" s="381"/>
      <c r="BZ62" s="381"/>
      <c r="CA62" s="381"/>
      <c r="CB62" s="381"/>
      <c r="CC62" s="381"/>
      <c r="CD62" s="381"/>
      <c r="CE62" s="381"/>
      <c r="CF62" s="381"/>
      <c r="CG62" s="381"/>
      <c r="CH62" s="381"/>
      <c r="CI62" s="382"/>
      <c r="CJ62" s="382"/>
      <c r="CK62" s="382"/>
      <c r="CL62" s="382"/>
      <c r="CM62" s="382"/>
      <c r="CN62" s="382"/>
      <c r="CO62" s="382"/>
      <c r="CP62" s="382"/>
      <c r="CQ62" s="382"/>
      <c r="CR62" s="382"/>
      <c r="CS62" s="382"/>
      <c r="CT62" s="382"/>
      <c r="CU62" s="382"/>
      <c r="CV62" s="382"/>
      <c r="CW62" s="382"/>
      <c r="CX62" s="382"/>
      <c r="CY62" s="382"/>
      <c r="CZ62" s="382"/>
      <c r="DA62" s="382"/>
      <c r="DB62" s="382"/>
      <c r="DC62" s="382"/>
      <c r="DD62" s="382"/>
      <c r="DE62" s="382"/>
      <c r="DF62" s="382"/>
      <c r="DG62" s="382"/>
      <c r="DH62" s="382"/>
      <c r="DI62" s="382"/>
      <c r="DJ62" s="382"/>
      <c r="DK62" s="382"/>
      <c r="DL62" s="382"/>
      <c r="DM62" s="382"/>
      <c r="DN62" s="382"/>
      <c r="DO62" s="383"/>
      <c r="DP62" s="310">
        <f>CY66</f>
        <v>0</v>
      </c>
      <c r="DQ62" s="310">
        <f>CY99</f>
        <v>0</v>
      </c>
      <c r="DR62" s="310">
        <f>CY153</f>
        <v>4</v>
      </c>
      <c r="DS62" s="310">
        <f>CY165</f>
        <v>0</v>
      </c>
      <c r="DT62" s="310"/>
      <c r="DU62" s="310">
        <f t="shared" si="6"/>
        <v>4</v>
      </c>
      <c r="DV62" s="309" t="s">
        <v>1900</v>
      </c>
      <c r="DW62" s="310"/>
      <c r="DX62" s="310">
        <f>ROUNDUP(CY7*5500,0)</f>
        <v>8077</v>
      </c>
    </row>
    <row r="63" spans="1:128" s="63" customFormat="1">
      <c r="A63" s="373"/>
      <c r="B63" s="361"/>
      <c r="C63" s="357"/>
      <c r="D63" s="357"/>
      <c r="E63" s="357"/>
      <c r="F63" s="357"/>
      <c r="G63" s="357"/>
      <c r="H63" s="357"/>
      <c r="I63" s="357"/>
      <c r="J63" s="357"/>
      <c r="K63" s="357"/>
      <c r="L63" s="357"/>
      <c r="M63" s="357"/>
      <c r="N63" s="357"/>
      <c r="O63" s="357"/>
      <c r="P63" s="362"/>
      <c r="Q63" s="362"/>
      <c r="R63" s="362"/>
      <c r="S63" s="362"/>
      <c r="T63" s="360"/>
      <c r="U63" s="361"/>
      <c r="V63" s="361"/>
      <c r="W63" s="361"/>
      <c r="X63" s="357"/>
      <c r="Y63" s="357"/>
      <c r="Z63" s="357"/>
      <c r="AA63" s="357"/>
      <c r="AB63" s="357"/>
      <c r="AC63" s="357"/>
      <c r="AD63" s="357"/>
      <c r="AE63" s="357"/>
      <c r="AF63" s="357"/>
      <c r="AG63" s="357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62"/>
      <c r="AT63" s="360"/>
      <c r="AU63" s="361"/>
      <c r="AV63" s="357"/>
      <c r="AW63" s="357"/>
      <c r="AX63" s="357"/>
      <c r="AY63" s="360"/>
      <c r="AZ63" s="361"/>
      <c r="BA63" s="357"/>
      <c r="BB63" s="362"/>
      <c r="BC63" s="360"/>
      <c r="BD63" s="380"/>
      <c r="BE63" s="381"/>
      <c r="BF63" s="381"/>
      <c r="BG63" s="381"/>
      <c r="BH63" s="381"/>
      <c r="BI63" s="381"/>
      <c r="BJ63" s="381"/>
      <c r="BK63" s="381"/>
      <c r="BL63" s="381"/>
      <c r="BM63" s="381"/>
      <c r="BN63" s="381"/>
      <c r="BO63" s="381"/>
      <c r="BP63" s="381"/>
      <c r="BQ63" s="381"/>
      <c r="BR63" s="381"/>
      <c r="BS63" s="381"/>
      <c r="BT63" s="381"/>
      <c r="BU63" s="381"/>
      <c r="BV63" s="381"/>
      <c r="BW63" s="381"/>
      <c r="BX63" s="381"/>
      <c r="BY63" s="381"/>
      <c r="BZ63" s="381"/>
      <c r="CA63" s="381"/>
      <c r="CB63" s="381"/>
      <c r="CC63" s="381"/>
      <c r="CD63" s="381"/>
      <c r="CE63" s="381"/>
      <c r="CF63" s="381"/>
      <c r="CG63" s="381"/>
      <c r="CH63" s="381"/>
      <c r="CI63" s="382"/>
      <c r="CJ63" s="382"/>
      <c r="CK63" s="382"/>
      <c r="CL63" s="382"/>
      <c r="CM63" s="382"/>
      <c r="CN63" s="382"/>
      <c r="CO63" s="382"/>
      <c r="CP63" s="382"/>
      <c r="CQ63" s="382"/>
      <c r="CR63" s="382"/>
      <c r="CS63" s="382"/>
      <c r="CT63" s="382"/>
      <c r="CU63" s="382"/>
      <c r="CV63" s="382"/>
      <c r="CW63" s="382"/>
      <c r="CX63" s="382"/>
      <c r="CY63" s="382"/>
      <c r="CZ63" s="382"/>
      <c r="DA63" s="382"/>
      <c r="DB63" s="382"/>
      <c r="DC63" s="382"/>
      <c r="DD63" s="382"/>
      <c r="DE63" s="382"/>
      <c r="DF63" s="382"/>
      <c r="DG63" s="382"/>
      <c r="DH63" s="382"/>
      <c r="DI63" s="382"/>
      <c r="DJ63" s="382"/>
      <c r="DK63" s="382"/>
      <c r="DL63" s="382"/>
      <c r="DM63" s="382"/>
      <c r="DN63" s="382"/>
      <c r="DO63" s="383"/>
      <c r="DP63" s="310"/>
      <c r="DQ63" s="310"/>
      <c r="DR63" s="310"/>
      <c r="DS63" s="310"/>
      <c r="DT63" s="310"/>
      <c r="DU63" s="310"/>
      <c r="DV63" s="310"/>
      <c r="DW63" s="310"/>
      <c r="DX63" s="310"/>
    </row>
    <row r="64" spans="1:128" s="63" customFormat="1">
      <c r="A64" s="373"/>
      <c r="B64" s="361"/>
      <c r="C64" s="357"/>
      <c r="D64" s="357"/>
      <c r="E64" s="357"/>
      <c r="F64" s="357"/>
      <c r="G64" s="357"/>
      <c r="H64" s="357"/>
      <c r="I64" s="357"/>
      <c r="J64" s="357"/>
      <c r="K64" s="357"/>
      <c r="L64" s="357"/>
      <c r="M64" s="357"/>
      <c r="N64" s="357"/>
      <c r="O64" s="357"/>
      <c r="P64" s="362"/>
      <c r="Q64" s="362"/>
      <c r="R64" s="362"/>
      <c r="S64" s="362"/>
      <c r="T64" s="360"/>
      <c r="U64" s="361"/>
      <c r="V64" s="361"/>
      <c r="W64" s="361"/>
      <c r="X64" s="357"/>
      <c r="Y64" s="357"/>
      <c r="Z64" s="357"/>
      <c r="AA64" s="357"/>
      <c r="AB64" s="357"/>
      <c r="AC64" s="357"/>
      <c r="AD64" s="357"/>
      <c r="AE64" s="357"/>
      <c r="AF64" s="357"/>
      <c r="AG64" s="357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62"/>
      <c r="AT64" s="360"/>
      <c r="AU64" s="361"/>
      <c r="AV64" s="357"/>
      <c r="AW64" s="357"/>
      <c r="AX64" s="357"/>
      <c r="AY64" s="360"/>
      <c r="AZ64" s="361"/>
      <c r="BA64" s="357"/>
      <c r="BB64" s="362"/>
      <c r="BC64" s="360"/>
      <c r="BD64" s="380"/>
      <c r="BE64" s="381"/>
      <c r="BF64" s="381"/>
      <c r="BG64" s="381"/>
      <c r="BH64" s="381"/>
      <c r="BI64" s="381"/>
      <c r="BJ64" s="381"/>
      <c r="BK64" s="381"/>
      <c r="BL64" s="381"/>
      <c r="BM64" s="381"/>
      <c r="BN64" s="381"/>
      <c r="BO64" s="381"/>
      <c r="BP64" s="381"/>
      <c r="BQ64" s="381"/>
      <c r="BR64" s="381"/>
      <c r="BS64" s="381"/>
      <c r="BT64" s="381"/>
      <c r="BU64" s="381"/>
      <c r="BV64" s="381"/>
      <c r="BW64" s="381"/>
      <c r="BX64" s="381"/>
      <c r="BY64" s="381"/>
      <c r="BZ64" s="381"/>
      <c r="CA64" s="381"/>
      <c r="CB64" s="381"/>
      <c r="CC64" s="381"/>
      <c r="CD64" s="381"/>
      <c r="CE64" s="381"/>
      <c r="CF64" s="381"/>
      <c r="CG64" s="381"/>
      <c r="CH64" s="381"/>
      <c r="CI64" s="382"/>
      <c r="CJ64" s="382"/>
      <c r="CK64" s="382"/>
      <c r="CL64" s="382"/>
      <c r="CM64" s="382"/>
      <c r="CN64" s="382"/>
      <c r="CO64" s="382"/>
      <c r="CP64" s="382"/>
      <c r="CQ64" s="382"/>
      <c r="CR64" s="382"/>
      <c r="CS64" s="382"/>
      <c r="CT64" s="382"/>
      <c r="CU64" s="382"/>
      <c r="CV64" s="382"/>
      <c r="CW64" s="382"/>
      <c r="CX64" s="382"/>
      <c r="CY64" s="382"/>
      <c r="CZ64" s="382"/>
      <c r="DA64" s="382"/>
      <c r="DB64" s="382"/>
      <c r="DC64" s="382"/>
      <c r="DD64" s="382"/>
      <c r="DE64" s="382"/>
      <c r="DF64" s="382"/>
      <c r="DG64" s="382"/>
      <c r="DH64" s="382"/>
      <c r="DI64" s="382"/>
      <c r="DJ64" s="382"/>
      <c r="DK64" s="382"/>
      <c r="DL64" s="382"/>
      <c r="DM64" s="382"/>
      <c r="DN64" s="382"/>
      <c r="DO64" s="383"/>
      <c r="DP64" s="310"/>
      <c r="DQ64" s="310"/>
      <c r="DR64" s="310"/>
      <c r="DS64" s="310"/>
      <c r="DT64" s="310"/>
      <c r="DU64" s="310">
        <f>SUM(DU12:DU63)</f>
        <v>220</v>
      </c>
      <c r="DV64" s="310"/>
      <c r="DW64" s="310"/>
      <c r="DX64" s="310"/>
    </row>
    <row r="65" spans="1:128">
      <c r="A65" s="384"/>
      <c r="B65" s="361"/>
      <c r="C65" s="357"/>
      <c r="D65" s="357"/>
      <c r="E65" s="357"/>
      <c r="F65" s="357"/>
      <c r="G65" s="357"/>
      <c r="H65" s="357"/>
      <c r="I65" s="357"/>
      <c r="J65" s="357"/>
      <c r="K65" s="357"/>
      <c r="L65" s="357"/>
      <c r="M65" s="357"/>
      <c r="N65" s="357"/>
      <c r="O65" s="357"/>
      <c r="P65" s="362"/>
      <c r="Q65" s="362"/>
      <c r="R65" s="362"/>
      <c r="S65" s="362"/>
      <c r="T65" s="360">
        <f>SUM(C65:O65)</f>
        <v>0</v>
      </c>
      <c r="U65" s="361"/>
      <c r="V65" s="361"/>
      <c r="W65" s="361"/>
      <c r="X65" s="357"/>
      <c r="Y65" s="357"/>
      <c r="Z65" s="357"/>
      <c r="AA65" s="357"/>
      <c r="AB65" s="357"/>
      <c r="AC65" s="357"/>
      <c r="AD65" s="357"/>
      <c r="AE65" s="357"/>
      <c r="AF65" s="357"/>
      <c r="AG65" s="357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62"/>
      <c r="AT65" s="360"/>
      <c r="AU65" s="361"/>
      <c r="AV65" s="357"/>
      <c r="AW65" s="357"/>
      <c r="AX65" s="357"/>
      <c r="AY65" s="360"/>
      <c r="AZ65" s="361"/>
      <c r="BA65" s="357"/>
      <c r="BB65" s="362"/>
      <c r="BC65" s="360"/>
      <c r="BD65" s="380"/>
      <c r="BE65" s="381"/>
      <c r="BF65" s="381"/>
      <c r="BG65" s="381"/>
      <c r="BH65" s="381"/>
      <c r="BI65" s="381"/>
      <c r="BJ65" s="381"/>
      <c r="BK65" s="381"/>
      <c r="BL65" s="381"/>
      <c r="BM65" s="381"/>
      <c r="BN65" s="381"/>
      <c r="BO65" s="381"/>
      <c r="BP65" s="381"/>
      <c r="BQ65" s="381"/>
      <c r="BR65" s="381"/>
      <c r="BS65" s="381"/>
      <c r="BT65" s="381"/>
      <c r="BU65" s="381"/>
      <c r="BV65" s="381"/>
      <c r="BW65" s="381"/>
      <c r="BX65" s="381"/>
      <c r="BY65" s="381"/>
      <c r="BZ65" s="381"/>
      <c r="CA65" s="381"/>
      <c r="CB65" s="381"/>
      <c r="CC65" s="381"/>
      <c r="CD65" s="381"/>
      <c r="CE65" s="381"/>
      <c r="CF65" s="381"/>
      <c r="CG65" s="381"/>
      <c r="CH65" s="381"/>
      <c r="CI65" s="382"/>
      <c r="CJ65" s="382"/>
      <c r="CK65" s="382"/>
      <c r="CL65" s="382"/>
      <c r="CM65" s="382"/>
      <c r="CN65" s="382"/>
      <c r="CO65" s="382"/>
      <c r="CP65" s="382"/>
      <c r="CQ65" s="382"/>
      <c r="CR65" s="382"/>
      <c r="CS65" s="382"/>
      <c r="CT65" s="382"/>
      <c r="CU65" s="382"/>
      <c r="CV65" s="382"/>
      <c r="CW65" s="382"/>
      <c r="CX65" s="382"/>
      <c r="CY65" s="382"/>
      <c r="CZ65" s="382"/>
      <c r="DA65" s="382"/>
      <c r="DB65" s="382"/>
      <c r="DC65" s="382"/>
      <c r="DD65" s="382"/>
      <c r="DE65" s="382"/>
      <c r="DF65" s="382"/>
      <c r="DG65" s="382"/>
      <c r="DH65" s="382"/>
      <c r="DI65" s="382"/>
      <c r="DJ65" s="382"/>
      <c r="DK65" s="382"/>
      <c r="DL65" s="382"/>
      <c r="DM65" s="382"/>
      <c r="DN65" s="382"/>
      <c r="DO65" s="383"/>
      <c r="DP65" s="310">
        <f>SUM(DP39:DP64)</f>
        <v>34</v>
      </c>
      <c r="DQ65" s="310">
        <f>SUM(DQ39:DQ64)</f>
        <v>32</v>
      </c>
      <c r="DR65" s="310">
        <f>SUM(DR39:DR64)</f>
        <v>47</v>
      </c>
    </row>
    <row r="66" spans="1:128" ht="18.75">
      <c r="A66" s="384"/>
      <c r="B66" s="385" t="s">
        <v>182</v>
      </c>
      <c r="C66" s="386">
        <f>SUM(C13:C65)</f>
        <v>397</v>
      </c>
      <c r="D66" s="386">
        <f t="shared" ref="D66:T66" si="7">SUM(D13:D65)</f>
        <v>2008</v>
      </c>
      <c r="E66" s="386">
        <f t="shared" si="7"/>
        <v>161</v>
      </c>
      <c r="F66" s="386">
        <f t="shared" si="7"/>
        <v>186</v>
      </c>
      <c r="G66" s="386">
        <f t="shared" si="7"/>
        <v>0</v>
      </c>
      <c r="H66" s="386">
        <f t="shared" si="7"/>
        <v>519</v>
      </c>
      <c r="I66" s="386">
        <f t="shared" si="7"/>
        <v>0</v>
      </c>
      <c r="J66" s="386">
        <f t="shared" si="7"/>
        <v>0</v>
      </c>
      <c r="K66" s="386">
        <f t="shared" si="7"/>
        <v>0</v>
      </c>
      <c r="L66" s="386">
        <f t="shared" si="7"/>
        <v>0</v>
      </c>
      <c r="M66" s="386">
        <f t="shared" si="7"/>
        <v>0</v>
      </c>
      <c r="N66" s="386">
        <f t="shared" si="7"/>
        <v>0</v>
      </c>
      <c r="O66" s="386">
        <f t="shared" si="7"/>
        <v>0</v>
      </c>
      <c r="P66" s="386">
        <f t="shared" si="7"/>
        <v>0</v>
      </c>
      <c r="Q66" s="386">
        <f t="shared" si="7"/>
        <v>0</v>
      </c>
      <c r="R66" s="386">
        <f t="shared" si="7"/>
        <v>0</v>
      </c>
      <c r="S66" s="386">
        <f t="shared" si="7"/>
        <v>0</v>
      </c>
      <c r="T66" s="386">
        <f t="shared" si="7"/>
        <v>161</v>
      </c>
      <c r="U66" s="386">
        <f t="shared" ref="U66:Z66" si="8">SUM(U13:U65)</f>
        <v>1772</v>
      </c>
      <c r="V66" s="386">
        <f t="shared" si="8"/>
        <v>194</v>
      </c>
      <c r="W66" s="386">
        <f t="shared" si="8"/>
        <v>0</v>
      </c>
      <c r="X66" s="386">
        <f t="shared" si="8"/>
        <v>0</v>
      </c>
      <c r="Y66" s="386">
        <f t="shared" si="8"/>
        <v>0</v>
      </c>
      <c r="Z66" s="386">
        <f t="shared" si="8"/>
        <v>124</v>
      </c>
      <c r="AA66" s="386"/>
      <c r="AB66" s="386"/>
      <c r="AC66" s="386">
        <f t="shared" ref="AC66:BH66" si="9">SUM(AC13:AC65)</f>
        <v>4103</v>
      </c>
      <c r="AD66" s="386">
        <f t="shared" si="9"/>
        <v>3051</v>
      </c>
      <c r="AE66" s="386">
        <f t="shared" si="9"/>
        <v>0</v>
      </c>
      <c r="AF66" s="386">
        <f t="shared" si="9"/>
        <v>0</v>
      </c>
      <c r="AG66" s="386">
        <f t="shared" si="9"/>
        <v>343</v>
      </c>
      <c r="AH66" s="386">
        <f t="shared" si="9"/>
        <v>0</v>
      </c>
      <c r="AI66" s="386">
        <f t="shared" si="9"/>
        <v>0</v>
      </c>
      <c r="AJ66" s="386">
        <f t="shared" si="9"/>
        <v>0</v>
      </c>
      <c r="AK66" s="386">
        <f t="shared" si="9"/>
        <v>0</v>
      </c>
      <c r="AL66" s="386">
        <f t="shared" si="9"/>
        <v>0</v>
      </c>
      <c r="AM66" s="386">
        <f t="shared" si="9"/>
        <v>0</v>
      </c>
      <c r="AN66" s="386">
        <f t="shared" si="9"/>
        <v>0</v>
      </c>
      <c r="AO66" s="386">
        <f t="shared" si="9"/>
        <v>0</v>
      </c>
      <c r="AP66" s="386">
        <f t="shared" si="9"/>
        <v>0</v>
      </c>
      <c r="AQ66" s="386">
        <f t="shared" si="9"/>
        <v>467.6</v>
      </c>
      <c r="AR66" s="386">
        <f t="shared" si="9"/>
        <v>27.900000000000002</v>
      </c>
      <c r="AS66" s="386">
        <f t="shared" si="9"/>
        <v>0</v>
      </c>
      <c r="AT66" s="386">
        <f t="shared" si="9"/>
        <v>364.29999999999995</v>
      </c>
      <c r="AU66" s="386">
        <f t="shared" si="9"/>
        <v>0</v>
      </c>
      <c r="AV66" s="386">
        <f t="shared" si="9"/>
        <v>161</v>
      </c>
      <c r="AW66" s="386">
        <f t="shared" si="9"/>
        <v>2359</v>
      </c>
      <c r="AX66" s="386">
        <f t="shared" si="9"/>
        <v>0</v>
      </c>
      <c r="AY66" s="386">
        <f t="shared" si="9"/>
        <v>0</v>
      </c>
      <c r="AZ66" s="386">
        <f t="shared" si="9"/>
        <v>2569</v>
      </c>
      <c r="BA66" s="386">
        <f t="shared" si="9"/>
        <v>4103</v>
      </c>
      <c r="BB66" s="386">
        <f t="shared" si="9"/>
        <v>0</v>
      </c>
      <c r="BC66" s="386">
        <f t="shared" si="9"/>
        <v>2520</v>
      </c>
      <c r="BD66" s="386">
        <f t="shared" si="9"/>
        <v>1</v>
      </c>
      <c r="BE66" s="386">
        <f t="shared" si="9"/>
        <v>3</v>
      </c>
      <c r="BF66" s="386">
        <f t="shared" si="9"/>
        <v>1</v>
      </c>
      <c r="BG66" s="386">
        <f t="shared" si="9"/>
        <v>1</v>
      </c>
      <c r="BH66" s="386">
        <f t="shared" si="9"/>
        <v>1</v>
      </c>
      <c r="BI66" s="386">
        <f t="shared" ref="BI66:CN66" si="10">SUM(BI13:BI65)</f>
        <v>2</v>
      </c>
      <c r="BJ66" s="386">
        <f t="shared" si="10"/>
        <v>0</v>
      </c>
      <c r="BK66" s="386">
        <f t="shared" si="10"/>
        <v>2</v>
      </c>
      <c r="BL66" s="386">
        <f t="shared" si="10"/>
        <v>1</v>
      </c>
      <c r="BM66" s="386">
        <f t="shared" si="10"/>
        <v>2</v>
      </c>
      <c r="BN66" s="386">
        <f t="shared" si="10"/>
        <v>0</v>
      </c>
      <c r="BO66" s="386">
        <f t="shared" si="10"/>
        <v>1</v>
      </c>
      <c r="BP66" s="386">
        <f t="shared" si="10"/>
        <v>4</v>
      </c>
      <c r="BQ66" s="386">
        <f t="shared" si="10"/>
        <v>1</v>
      </c>
      <c r="BR66" s="386">
        <f t="shared" si="10"/>
        <v>1</v>
      </c>
      <c r="BS66" s="386">
        <f t="shared" si="10"/>
        <v>0</v>
      </c>
      <c r="BT66" s="386">
        <f t="shared" si="10"/>
        <v>0</v>
      </c>
      <c r="BU66" s="386">
        <f t="shared" si="10"/>
        <v>0</v>
      </c>
      <c r="BV66" s="386">
        <f t="shared" si="10"/>
        <v>0</v>
      </c>
      <c r="BW66" s="386">
        <f t="shared" si="10"/>
        <v>1</v>
      </c>
      <c r="BX66" s="386">
        <f t="shared" si="10"/>
        <v>0</v>
      </c>
      <c r="BY66" s="386">
        <f t="shared" si="10"/>
        <v>0</v>
      </c>
      <c r="BZ66" s="386">
        <f t="shared" si="10"/>
        <v>0</v>
      </c>
      <c r="CA66" s="386">
        <f t="shared" si="10"/>
        <v>0</v>
      </c>
      <c r="CB66" s="386">
        <f t="shared" si="10"/>
        <v>0</v>
      </c>
      <c r="CC66" s="386">
        <f t="shared" si="10"/>
        <v>14</v>
      </c>
      <c r="CD66" s="386">
        <f t="shared" si="10"/>
        <v>5</v>
      </c>
      <c r="CE66" s="386">
        <f t="shared" si="10"/>
        <v>1</v>
      </c>
      <c r="CF66" s="386">
        <f t="shared" si="10"/>
        <v>2</v>
      </c>
      <c r="CG66" s="386">
        <f t="shared" si="10"/>
        <v>0</v>
      </c>
      <c r="CH66" s="386">
        <f t="shared" si="10"/>
        <v>0</v>
      </c>
      <c r="CI66" s="386">
        <f t="shared" si="10"/>
        <v>1</v>
      </c>
      <c r="CJ66" s="386">
        <f t="shared" si="10"/>
        <v>6</v>
      </c>
      <c r="CK66" s="386">
        <f t="shared" si="10"/>
        <v>0</v>
      </c>
      <c r="CL66" s="386">
        <f t="shared" si="10"/>
        <v>1</v>
      </c>
      <c r="CM66" s="386">
        <f t="shared" si="10"/>
        <v>0</v>
      </c>
      <c r="CN66" s="386">
        <f t="shared" si="10"/>
        <v>0</v>
      </c>
      <c r="CO66" s="386">
        <f t="shared" ref="CO66:CX66" si="11">SUM(CO13:CO65)</f>
        <v>0</v>
      </c>
      <c r="CP66" s="386">
        <f t="shared" si="11"/>
        <v>1</v>
      </c>
      <c r="CQ66" s="386">
        <f t="shared" si="11"/>
        <v>0</v>
      </c>
      <c r="CR66" s="386">
        <f t="shared" si="11"/>
        <v>0</v>
      </c>
      <c r="CS66" s="386">
        <f t="shared" si="11"/>
        <v>0</v>
      </c>
      <c r="CT66" s="386">
        <f t="shared" si="11"/>
        <v>1</v>
      </c>
      <c r="CU66" s="386">
        <f t="shared" si="11"/>
        <v>0</v>
      </c>
      <c r="CV66" s="386">
        <f t="shared" si="11"/>
        <v>0</v>
      </c>
      <c r="CW66" s="386">
        <f t="shared" si="11"/>
        <v>1</v>
      </c>
      <c r="CX66" s="386">
        <f t="shared" si="11"/>
        <v>1</v>
      </c>
      <c r="CY66" s="386">
        <f t="shared" ref="CY66:DE66" si="12">SUM(CY13:CY65)</f>
        <v>0</v>
      </c>
      <c r="CZ66" s="386">
        <f t="shared" si="12"/>
        <v>0</v>
      </c>
      <c r="DA66" s="386">
        <f t="shared" si="12"/>
        <v>0</v>
      </c>
      <c r="DB66" s="386">
        <f t="shared" si="12"/>
        <v>0</v>
      </c>
      <c r="DC66" s="386">
        <f t="shared" si="12"/>
        <v>0</v>
      </c>
      <c r="DD66" s="386">
        <f t="shared" si="12"/>
        <v>0</v>
      </c>
      <c r="DE66" s="386">
        <f t="shared" si="12"/>
        <v>0</v>
      </c>
      <c r="DF66" s="386">
        <f t="shared" ref="DF66:DO66" si="13">SUM(DF13:DF65)</f>
        <v>0</v>
      </c>
      <c r="DG66" s="386">
        <f t="shared" si="13"/>
        <v>0</v>
      </c>
      <c r="DH66" s="386">
        <f t="shared" si="13"/>
        <v>0</v>
      </c>
      <c r="DI66" s="386">
        <f t="shared" si="13"/>
        <v>0</v>
      </c>
      <c r="DJ66" s="386">
        <f t="shared" si="13"/>
        <v>0</v>
      </c>
      <c r="DK66" s="386">
        <f t="shared" si="13"/>
        <v>0</v>
      </c>
      <c r="DL66" s="386">
        <f t="shared" si="13"/>
        <v>0</v>
      </c>
      <c r="DM66" s="386">
        <f t="shared" si="13"/>
        <v>0</v>
      </c>
      <c r="DN66" s="386">
        <f t="shared" si="13"/>
        <v>0</v>
      </c>
      <c r="DO66" s="386">
        <f t="shared" si="13"/>
        <v>0</v>
      </c>
    </row>
    <row r="67" spans="1:128" ht="18.75">
      <c r="A67" s="384"/>
      <c r="B67" s="385"/>
      <c r="C67" s="386"/>
      <c r="D67" s="386"/>
      <c r="E67" s="386"/>
      <c r="F67" s="386"/>
      <c r="G67" s="386"/>
      <c r="H67" s="386"/>
      <c r="I67" s="386"/>
      <c r="J67" s="386"/>
      <c r="K67" s="386"/>
      <c r="L67" s="386"/>
      <c r="M67" s="386"/>
      <c r="N67" s="386"/>
      <c r="O67" s="386"/>
      <c r="P67" s="387"/>
      <c r="Q67" s="387"/>
      <c r="R67" s="387"/>
      <c r="S67" s="387"/>
      <c r="T67" s="388"/>
      <c r="U67" s="389"/>
      <c r="V67" s="389"/>
      <c r="W67" s="389"/>
      <c r="X67" s="386"/>
      <c r="Y67" s="386"/>
      <c r="Z67" s="386"/>
      <c r="AA67" s="386"/>
      <c r="AB67" s="386"/>
      <c r="AC67" s="386"/>
      <c r="AD67" s="386"/>
      <c r="AE67" s="386"/>
      <c r="AF67" s="386"/>
      <c r="AG67" s="386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  <c r="AT67" s="388"/>
      <c r="AU67" s="389"/>
      <c r="AV67" s="386"/>
      <c r="AW67" s="386"/>
      <c r="AX67" s="387"/>
      <c r="AY67" s="388"/>
      <c r="AZ67" s="389"/>
      <c r="BA67" s="386"/>
      <c r="BB67" s="387"/>
      <c r="BC67" s="388"/>
      <c r="BD67" s="390"/>
      <c r="BE67" s="391"/>
      <c r="BF67" s="391"/>
      <c r="BG67" s="391"/>
      <c r="BH67" s="391"/>
      <c r="BI67" s="391"/>
      <c r="BJ67" s="391"/>
      <c r="BK67" s="391"/>
      <c r="BL67" s="391"/>
      <c r="BM67" s="391"/>
      <c r="BN67" s="391"/>
      <c r="BO67" s="391"/>
      <c r="BP67" s="391"/>
      <c r="BQ67" s="391"/>
      <c r="BR67" s="391"/>
      <c r="BS67" s="391"/>
      <c r="BT67" s="391"/>
      <c r="BU67" s="391"/>
      <c r="BV67" s="391"/>
      <c r="BW67" s="391"/>
      <c r="BX67" s="391"/>
      <c r="BY67" s="391"/>
      <c r="BZ67" s="391"/>
      <c r="CA67" s="391"/>
      <c r="CB67" s="391"/>
      <c r="CC67" s="391"/>
      <c r="CD67" s="391"/>
      <c r="CE67" s="391"/>
      <c r="CF67" s="391"/>
      <c r="CG67" s="391"/>
      <c r="CH67" s="391"/>
      <c r="CI67" s="392"/>
      <c r="CJ67" s="392"/>
      <c r="CK67" s="392"/>
      <c r="CL67" s="392"/>
      <c r="CM67" s="392"/>
      <c r="CN67" s="392"/>
      <c r="CO67" s="392"/>
      <c r="CP67" s="392"/>
      <c r="CQ67" s="392"/>
      <c r="CR67" s="392"/>
      <c r="CS67" s="392"/>
      <c r="CT67" s="392"/>
      <c r="CU67" s="392"/>
      <c r="CV67" s="392"/>
      <c r="CW67" s="392"/>
      <c r="CX67" s="392"/>
      <c r="CY67" s="392"/>
      <c r="CZ67" s="392"/>
      <c r="DA67" s="392"/>
      <c r="DB67" s="392"/>
      <c r="DC67" s="392"/>
      <c r="DD67" s="392"/>
      <c r="DE67" s="392"/>
      <c r="DF67" s="392"/>
      <c r="DG67" s="392"/>
      <c r="DH67" s="392"/>
      <c r="DI67" s="392"/>
      <c r="DJ67" s="392"/>
      <c r="DK67" s="392"/>
      <c r="DL67" s="392"/>
      <c r="DM67" s="392"/>
      <c r="DN67" s="392"/>
      <c r="DO67" s="393"/>
    </row>
    <row r="68" spans="1:128">
      <c r="A68" s="384"/>
      <c r="B68" s="394" t="s">
        <v>184</v>
      </c>
      <c r="C68" s="357"/>
      <c r="D68" s="357"/>
      <c r="E68" s="357"/>
      <c r="F68" s="357"/>
      <c r="G68" s="357"/>
      <c r="H68" s="357"/>
      <c r="I68" s="357"/>
      <c r="J68" s="357"/>
      <c r="K68" s="357"/>
      <c r="L68" s="357"/>
      <c r="M68" s="357"/>
      <c r="N68" s="357"/>
      <c r="O68" s="357"/>
      <c r="P68" s="362"/>
      <c r="Q68" s="362"/>
      <c r="R68" s="362"/>
      <c r="S68" s="362"/>
      <c r="T68" s="367"/>
      <c r="U68" s="361"/>
      <c r="V68" s="361"/>
      <c r="W68" s="361"/>
      <c r="X68" s="357"/>
      <c r="Y68" s="357"/>
      <c r="Z68" s="357"/>
      <c r="AA68" s="357"/>
      <c r="AB68" s="357"/>
      <c r="AC68" s="357"/>
      <c r="AD68" s="357"/>
      <c r="AE68" s="357"/>
      <c r="AF68" s="357"/>
      <c r="AG68" s="357"/>
      <c r="AH68" s="357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2"/>
      <c r="AT68" s="360"/>
      <c r="AU68" s="363"/>
      <c r="AV68" s="364"/>
      <c r="AW68" s="364"/>
      <c r="AX68" s="395"/>
      <c r="AY68" s="365"/>
      <c r="AZ68" s="361"/>
      <c r="BA68" s="357"/>
      <c r="BB68" s="362"/>
      <c r="BC68" s="360"/>
      <c r="BD68" s="380"/>
      <c r="BE68" s="381"/>
      <c r="BF68" s="381"/>
      <c r="BG68" s="381"/>
      <c r="BH68" s="381"/>
      <c r="BI68" s="381"/>
      <c r="BJ68" s="381"/>
      <c r="BK68" s="381"/>
      <c r="BL68" s="381"/>
      <c r="BM68" s="381"/>
      <c r="BN68" s="381"/>
      <c r="BO68" s="381"/>
      <c r="BP68" s="381"/>
      <c r="BQ68" s="381"/>
      <c r="BR68" s="381"/>
      <c r="BS68" s="381"/>
      <c r="BT68" s="381"/>
      <c r="BU68" s="381"/>
      <c r="BV68" s="381"/>
      <c r="BW68" s="381"/>
      <c r="BX68" s="381"/>
      <c r="BY68" s="381"/>
      <c r="BZ68" s="381"/>
      <c r="CA68" s="381"/>
      <c r="CB68" s="381"/>
      <c r="CC68" s="381"/>
      <c r="CD68" s="381"/>
      <c r="CE68" s="381"/>
      <c r="CF68" s="381"/>
      <c r="CG68" s="381"/>
      <c r="CH68" s="381"/>
      <c r="CI68" s="382"/>
      <c r="CJ68" s="382"/>
      <c r="CK68" s="382"/>
      <c r="CL68" s="382"/>
      <c r="CM68" s="382"/>
      <c r="CN68" s="382"/>
      <c r="CO68" s="382"/>
      <c r="CP68" s="382"/>
      <c r="CQ68" s="382"/>
      <c r="CR68" s="382"/>
      <c r="CS68" s="382"/>
      <c r="CT68" s="382"/>
      <c r="CU68" s="382"/>
      <c r="CV68" s="382"/>
      <c r="CW68" s="382"/>
      <c r="CX68" s="382"/>
      <c r="CY68" s="382"/>
      <c r="CZ68" s="382"/>
      <c r="DA68" s="382"/>
      <c r="DB68" s="382"/>
      <c r="DC68" s="382"/>
      <c r="DD68" s="382"/>
      <c r="DE68" s="382"/>
      <c r="DF68" s="382"/>
      <c r="DG68" s="382"/>
      <c r="DH68" s="382"/>
      <c r="DI68" s="382"/>
      <c r="DJ68" s="382"/>
      <c r="DK68" s="382"/>
      <c r="DL68" s="382"/>
      <c r="DM68" s="382"/>
      <c r="DN68" s="382"/>
      <c r="DO68" s="383"/>
      <c r="DQ68" s="309" t="s">
        <v>1839</v>
      </c>
      <c r="DS68" s="309" t="s">
        <v>1840</v>
      </c>
    </row>
    <row r="69" spans="1:128" s="64" customFormat="1">
      <c r="A69" s="396"/>
      <c r="B69" s="366"/>
      <c r="C69" s="357"/>
      <c r="D69" s="357"/>
      <c r="E69" s="357"/>
      <c r="F69" s="357"/>
      <c r="G69" s="357"/>
      <c r="H69" s="357"/>
      <c r="I69" s="357"/>
      <c r="J69" s="357"/>
      <c r="K69" s="357"/>
      <c r="L69" s="357"/>
      <c r="M69" s="357"/>
      <c r="N69" s="357"/>
      <c r="O69" s="357"/>
      <c r="P69" s="362"/>
      <c r="Q69" s="362"/>
      <c r="R69" s="362"/>
      <c r="S69" s="362"/>
      <c r="T69" s="360"/>
      <c r="U69" s="361"/>
      <c r="V69" s="361"/>
      <c r="W69" s="361"/>
      <c r="X69" s="357"/>
      <c r="Y69" s="357"/>
      <c r="Z69" s="357"/>
      <c r="AA69" s="357"/>
      <c r="AB69" s="357"/>
      <c r="AC69" s="357"/>
      <c r="AD69" s="357"/>
      <c r="AE69" s="357"/>
      <c r="AF69" s="357"/>
      <c r="AG69" s="357"/>
      <c r="AH69" s="357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2"/>
      <c r="AT69" s="360"/>
      <c r="AU69" s="397"/>
      <c r="AV69" s="370"/>
      <c r="AW69" s="370"/>
      <c r="AX69" s="398"/>
      <c r="AY69" s="399"/>
      <c r="AZ69" s="361"/>
      <c r="BA69" s="357"/>
      <c r="BB69" s="362"/>
      <c r="BC69" s="360"/>
      <c r="BD69" s="371"/>
      <c r="BE69" s="369"/>
      <c r="BF69" s="369"/>
      <c r="BG69" s="369"/>
      <c r="BH69" s="369"/>
      <c r="BI69" s="369"/>
      <c r="BJ69" s="369"/>
      <c r="BK69" s="369"/>
      <c r="BL69" s="369"/>
      <c r="BM69" s="369"/>
      <c r="BN69" s="369"/>
      <c r="BO69" s="369"/>
      <c r="BP69" s="369"/>
      <c r="BQ69" s="369"/>
      <c r="BR69" s="369"/>
      <c r="BS69" s="369"/>
      <c r="BT69" s="369"/>
      <c r="BU69" s="369"/>
      <c r="BV69" s="369"/>
      <c r="BW69" s="369"/>
      <c r="BX69" s="369"/>
      <c r="BY69" s="369"/>
      <c r="BZ69" s="369"/>
      <c r="CA69" s="369"/>
      <c r="CB69" s="369"/>
      <c r="CC69" s="369"/>
      <c r="CD69" s="369"/>
      <c r="CE69" s="369"/>
      <c r="CF69" s="369"/>
      <c r="CG69" s="369"/>
      <c r="CH69" s="369"/>
      <c r="CI69" s="400"/>
      <c r="CJ69" s="400"/>
      <c r="CK69" s="400"/>
      <c r="CL69" s="400"/>
      <c r="CM69" s="400"/>
      <c r="CN69" s="400"/>
      <c r="CO69" s="400"/>
      <c r="CP69" s="400"/>
      <c r="CQ69" s="400"/>
      <c r="CR69" s="400"/>
      <c r="CS69" s="400"/>
      <c r="CT69" s="400"/>
      <c r="CU69" s="400"/>
      <c r="CV69" s="400"/>
      <c r="CW69" s="400"/>
      <c r="CX69" s="400"/>
      <c r="CY69" s="400"/>
      <c r="CZ69" s="400"/>
      <c r="DA69" s="400"/>
      <c r="DB69" s="400"/>
      <c r="DC69" s="400"/>
      <c r="DD69" s="400"/>
      <c r="DE69" s="400"/>
      <c r="DF69" s="400"/>
      <c r="DG69" s="400"/>
      <c r="DH69" s="400"/>
      <c r="DI69" s="400"/>
      <c r="DJ69" s="400"/>
      <c r="DK69" s="400"/>
      <c r="DL69" s="400"/>
      <c r="DM69" s="400"/>
      <c r="DN69" s="400"/>
      <c r="DO69" s="401"/>
      <c r="DP69" s="402"/>
      <c r="DQ69" s="1728" t="s">
        <v>1837</v>
      </c>
      <c r="DR69" s="1728"/>
      <c r="DS69" s="1208">
        <v>2550</v>
      </c>
      <c r="DT69" s="402" t="s">
        <v>1836</v>
      </c>
      <c r="DU69" s="402"/>
      <c r="DV69" s="402"/>
      <c r="DW69" s="402"/>
      <c r="DX69" s="402"/>
    </row>
    <row r="70" spans="1:128">
      <c r="A70" s="355"/>
      <c r="B70" s="368" t="s">
        <v>381</v>
      </c>
      <c r="C70" s="357"/>
      <c r="D70" s="375">
        <f>ROUNDUP(570,0)</f>
        <v>570</v>
      </c>
      <c r="E70" s="358"/>
      <c r="F70" s="375"/>
      <c r="G70" s="358"/>
      <c r="H70" s="358"/>
      <c r="I70" s="358"/>
      <c r="J70" s="369"/>
      <c r="K70" s="358"/>
      <c r="L70" s="358"/>
      <c r="M70" s="358"/>
      <c r="N70" s="358"/>
      <c r="O70" s="358"/>
      <c r="P70" s="359"/>
      <c r="Q70" s="359"/>
      <c r="R70" s="359"/>
      <c r="S70" s="359"/>
      <c r="T70" s="360"/>
      <c r="U70" s="361"/>
      <c r="V70" s="361"/>
      <c r="W70" s="361"/>
      <c r="X70" s="357"/>
      <c r="Y70" s="357"/>
      <c r="Z70" s="357"/>
      <c r="AA70" s="357"/>
      <c r="AB70" s="357"/>
      <c r="AC70" s="357"/>
      <c r="AD70" s="357">
        <f>ROUNDUP((237*3.5)-(BJ7+BM7+BO7+(BP7*4)+BQ7+(BR7*2)+(BS7*16)+BT7+(CG7*2)),0)</f>
        <v>732</v>
      </c>
      <c r="AE70" s="357"/>
      <c r="AF70" s="357"/>
      <c r="AG70" s="357"/>
      <c r="AH70" s="357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2"/>
      <c r="AT70" s="360"/>
      <c r="AU70" s="397"/>
      <c r="AV70" s="364"/>
      <c r="AW70" s="370">
        <f>D70</f>
        <v>570</v>
      </c>
      <c r="AX70" s="364"/>
      <c r="AY70" s="365"/>
      <c r="AZ70" s="363">
        <f t="shared" ref="AZ70:AZ85" si="14">AD70</f>
        <v>732</v>
      </c>
      <c r="BA70" s="364"/>
      <c r="BB70" s="395"/>
      <c r="BC70" s="365">
        <f t="shared" ref="BC70:BC98" si="15">SUM(AU70:AW70)</f>
        <v>570</v>
      </c>
      <c r="BD70" s="371"/>
      <c r="BE70" s="358"/>
      <c r="BF70" s="358"/>
      <c r="BG70" s="358"/>
      <c r="BH70" s="358"/>
      <c r="BI70" s="358"/>
      <c r="BJ70" s="358"/>
      <c r="BK70" s="358"/>
      <c r="BL70" s="358"/>
      <c r="BM70" s="358"/>
      <c r="BN70" s="358"/>
      <c r="BO70" s="358"/>
      <c r="BP70" s="358"/>
      <c r="BQ70" s="358"/>
      <c r="BR70" s="358"/>
      <c r="BS70" s="358"/>
      <c r="BT70" s="358"/>
      <c r="BU70" s="358"/>
      <c r="BV70" s="358"/>
      <c r="BW70" s="358"/>
      <c r="BX70" s="358"/>
      <c r="BY70" s="358"/>
      <c r="BZ70" s="358"/>
      <c r="CA70" s="358"/>
      <c r="CB70" s="358"/>
      <c r="CC70" s="358"/>
      <c r="CD70" s="358"/>
      <c r="CE70" s="358"/>
      <c r="CF70" s="358"/>
      <c r="CG70" s="358"/>
      <c r="CH70" s="369">
        <v>1</v>
      </c>
      <c r="CI70" s="400"/>
      <c r="CJ70" s="359"/>
      <c r="CK70" s="359"/>
      <c r="CL70" s="359"/>
      <c r="CM70" s="359"/>
      <c r="CN70" s="359"/>
      <c r="CO70" s="359"/>
      <c r="CP70" s="359"/>
      <c r="CQ70" s="359"/>
      <c r="CR70" s="359"/>
      <c r="CS70" s="359"/>
      <c r="CT70" s="359"/>
      <c r="CU70" s="359"/>
      <c r="CV70" s="359"/>
      <c r="CW70" s="359"/>
      <c r="CX70" s="359"/>
      <c r="CY70" s="359"/>
      <c r="CZ70" s="359"/>
      <c r="DA70" s="359"/>
      <c r="DB70" s="359"/>
      <c r="DC70" s="359"/>
      <c r="DD70" s="359"/>
      <c r="DE70" s="359"/>
      <c r="DF70" s="359"/>
      <c r="DG70" s="359"/>
      <c r="DH70" s="359"/>
      <c r="DI70" s="359"/>
      <c r="DJ70" s="359"/>
      <c r="DK70" s="359"/>
      <c r="DL70" s="359"/>
      <c r="DM70" s="359"/>
      <c r="DN70" s="359"/>
      <c r="DO70" s="367"/>
      <c r="DQ70" s="310">
        <f>BA539+AZ539</f>
        <v>43619</v>
      </c>
      <c r="DR70" s="309" t="s">
        <v>16</v>
      </c>
      <c r="DS70" s="310">
        <f>ROUND(DQ70/15,0)</f>
        <v>2908</v>
      </c>
      <c r="DT70" s="309" t="s">
        <v>1841</v>
      </c>
    </row>
    <row r="71" spans="1:128">
      <c r="A71" s="355"/>
      <c r="B71" s="374" t="s">
        <v>363</v>
      </c>
      <c r="C71" s="375">
        <f>ROUNDUP(72.22,0)</f>
        <v>73</v>
      </c>
      <c r="D71" s="358"/>
      <c r="E71" s="358"/>
      <c r="F71" s="375"/>
      <c r="G71" s="375"/>
      <c r="H71" s="358"/>
      <c r="I71" s="358"/>
      <c r="J71" s="369"/>
      <c r="K71" s="358"/>
      <c r="L71" s="358"/>
      <c r="M71" s="358"/>
      <c r="N71" s="358"/>
      <c r="O71" s="358"/>
      <c r="P71" s="359"/>
      <c r="Q71" s="359"/>
      <c r="R71" s="359"/>
      <c r="S71" s="359"/>
      <c r="T71" s="360"/>
      <c r="U71" s="361">
        <f>ROUNDUP((29*3.5)-(BR7+(CG7*2)+CH7),0)</f>
        <v>80</v>
      </c>
      <c r="V71" s="361">
        <f>ROUNDUP((7.8*3.5),0)</f>
        <v>28</v>
      </c>
      <c r="W71" s="361"/>
      <c r="X71" s="357"/>
      <c r="Y71" s="357"/>
      <c r="Z71" s="357"/>
      <c r="AA71" s="357"/>
      <c r="AB71" s="357"/>
      <c r="AC71" s="357"/>
      <c r="AD71" s="357">
        <f>ROUNDUP(U71+(7.8*3.5),0)</f>
        <v>108</v>
      </c>
      <c r="AE71" s="357"/>
      <c r="AF71" s="357"/>
      <c r="AG71" s="357"/>
      <c r="AH71" s="357"/>
      <c r="AI71" s="357"/>
      <c r="AJ71" s="357"/>
      <c r="AK71" s="357"/>
      <c r="AL71" s="357"/>
      <c r="AM71" s="357"/>
      <c r="AN71" s="357"/>
      <c r="AO71" s="357"/>
      <c r="AP71" s="357"/>
      <c r="AQ71" s="357">
        <f>ROUNDUP(BR9+(CG9*2)+CH9,0)</f>
        <v>9</v>
      </c>
      <c r="AR71" s="357">
        <f>3.5*2</f>
        <v>7</v>
      </c>
      <c r="AS71" s="362"/>
      <c r="AT71" s="360">
        <f>ROUNDUP(BR8+(CG8*2)+CH8,0)</f>
        <v>25</v>
      </c>
      <c r="AU71" s="397"/>
      <c r="AV71" s="364"/>
      <c r="AW71" s="370">
        <f>C71</f>
        <v>73</v>
      </c>
      <c r="AX71" s="364"/>
      <c r="AY71" s="365"/>
      <c r="AZ71" s="363">
        <f t="shared" si="14"/>
        <v>108</v>
      </c>
      <c r="BA71" s="364"/>
      <c r="BB71" s="395"/>
      <c r="BC71" s="365">
        <f t="shared" si="15"/>
        <v>73</v>
      </c>
      <c r="BD71" s="371"/>
      <c r="BE71" s="358"/>
      <c r="BF71" s="358"/>
      <c r="BG71" s="358"/>
      <c r="BH71" s="358"/>
      <c r="BI71" s="358"/>
      <c r="BJ71" s="358"/>
      <c r="BK71" s="358"/>
      <c r="BL71" s="358"/>
      <c r="BM71" s="358"/>
      <c r="BN71" s="358"/>
      <c r="BO71" s="358"/>
      <c r="BP71" s="358"/>
      <c r="BQ71" s="358"/>
      <c r="BR71" s="369">
        <v>1</v>
      </c>
      <c r="BS71" s="358"/>
      <c r="BT71" s="358"/>
      <c r="BU71" s="358"/>
      <c r="BV71" s="358"/>
      <c r="BW71" s="358"/>
      <c r="BX71" s="358"/>
      <c r="BY71" s="358"/>
      <c r="BZ71" s="358"/>
      <c r="CA71" s="358"/>
      <c r="CB71" s="358"/>
      <c r="CC71" s="358"/>
      <c r="CD71" s="358"/>
      <c r="CE71" s="358"/>
      <c r="CF71" s="358"/>
      <c r="CG71" s="358">
        <v>2</v>
      </c>
      <c r="CH71" s="369">
        <v>1</v>
      </c>
      <c r="CI71" s="400"/>
      <c r="CJ71" s="359"/>
      <c r="CK71" s="359"/>
      <c r="CL71" s="359"/>
      <c r="CM71" s="359"/>
      <c r="CN71" s="359"/>
      <c r="CO71" s="359"/>
      <c r="CP71" s="359"/>
      <c r="CQ71" s="359"/>
      <c r="CR71" s="359"/>
      <c r="CS71" s="359"/>
      <c r="CT71" s="359"/>
      <c r="CU71" s="359"/>
      <c r="CV71" s="359"/>
      <c r="CW71" s="359"/>
      <c r="CX71" s="359"/>
      <c r="CY71" s="359"/>
      <c r="CZ71" s="359"/>
      <c r="DA71" s="359"/>
      <c r="DB71" s="359"/>
      <c r="DC71" s="359"/>
      <c r="DD71" s="359"/>
      <c r="DE71" s="359"/>
      <c r="DF71" s="359"/>
      <c r="DG71" s="359"/>
      <c r="DH71" s="359"/>
      <c r="DI71" s="359"/>
      <c r="DJ71" s="359"/>
      <c r="DK71" s="359"/>
      <c r="DL71" s="359"/>
      <c r="DM71" s="359"/>
      <c r="DN71" s="359"/>
      <c r="DO71" s="367"/>
      <c r="DQ71" s="1209" t="s">
        <v>7</v>
      </c>
      <c r="DR71" s="1209" t="s">
        <v>1422</v>
      </c>
    </row>
    <row r="72" spans="1:128" ht="18.75">
      <c r="A72" s="355"/>
      <c r="B72" s="374" t="s">
        <v>406</v>
      </c>
      <c r="C72" s="375">
        <f>ROUNDUP(5.3*5.6,0)</f>
        <v>30</v>
      </c>
      <c r="D72" s="358"/>
      <c r="E72" s="358"/>
      <c r="F72" s="375"/>
      <c r="G72" s="375"/>
      <c r="H72" s="358"/>
      <c r="I72" s="358"/>
      <c r="J72" s="369"/>
      <c r="K72" s="358"/>
      <c r="L72" s="358"/>
      <c r="M72" s="358"/>
      <c r="N72" s="358"/>
      <c r="O72" s="358"/>
      <c r="P72" s="359"/>
      <c r="Q72" s="359"/>
      <c r="R72" s="359"/>
      <c r="S72" s="359"/>
      <c r="T72" s="360"/>
      <c r="U72" s="361">
        <f>ROUNDUP((21.83*3.5)-(BJ7+CG7),0)</f>
        <v>63</v>
      </c>
      <c r="V72" s="361"/>
      <c r="W72" s="361"/>
      <c r="X72" s="357"/>
      <c r="Y72" s="357"/>
      <c r="Z72" s="357"/>
      <c r="AA72" s="357"/>
      <c r="AB72" s="357"/>
      <c r="AC72" s="357">
        <f>ROUNDUP(((6+3.3)*4.7)-CB7,0)</f>
        <v>36</v>
      </c>
      <c r="AD72" s="357">
        <f>U72</f>
        <v>63</v>
      </c>
      <c r="AE72" s="357"/>
      <c r="AF72" s="357"/>
      <c r="AG72" s="357"/>
      <c r="AH72" s="357"/>
      <c r="AI72" s="357"/>
      <c r="AJ72" s="357"/>
      <c r="AK72" s="357"/>
      <c r="AL72" s="357"/>
      <c r="AM72" s="357"/>
      <c r="AN72" s="357"/>
      <c r="AO72" s="357"/>
      <c r="AP72" s="357"/>
      <c r="AQ72" s="357">
        <f>ROUNDUP(BJ9+CG9,0)</f>
        <v>6</v>
      </c>
      <c r="AR72" s="357"/>
      <c r="AS72" s="362"/>
      <c r="AT72" s="360">
        <f>ROUNDUP(BJ8+CG8,0)</f>
        <v>13</v>
      </c>
      <c r="AU72" s="397"/>
      <c r="AV72" s="364"/>
      <c r="AW72" s="370">
        <f>C72</f>
        <v>30</v>
      </c>
      <c r="AX72" s="364"/>
      <c r="AY72" s="365"/>
      <c r="AZ72" s="363">
        <f t="shared" si="14"/>
        <v>63</v>
      </c>
      <c r="BA72" s="364"/>
      <c r="BB72" s="395"/>
      <c r="BC72" s="365">
        <f t="shared" si="15"/>
        <v>30</v>
      </c>
      <c r="BD72" s="371"/>
      <c r="BE72" s="358"/>
      <c r="BF72" s="358"/>
      <c r="BG72" s="358"/>
      <c r="BH72" s="358"/>
      <c r="BI72" s="358"/>
      <c r="BJ72" s="358">
        <v>1</v>
      </c>
      <c r="BK72" s="369"/>
      <c r="BL72" s="358"/>
      <c r="BM72" s="358"/>
      <c r="BN72" s="358"/>
      <c r="BO72" s="358"/>
      <c r="BP72" s="358"/>
      <c r="BQ72" s="358"/>
      <c r="BR72" s="369"/>
      <c r="BS72" s="358"/>
      <c r="BT72" s="358"/>
      <c r="BU72" s="358"/>
      <c r="BV72" s="358"/>
      <c r="BW72" s="358"/>
      <c r="BX72" s="358"/>
      <c r="BY72" s="358"/>
      <c r="BZ72" s="358"/>
      <c r="CA72" s="358"/>
      <c r="CB72" s="358"/>
      <c r="CC72" s="358"/>
      <c r="CD72" s="358"/>
      <c r="CE72" s="358"/>
      <c r="CF72" s="369"/>
      <c r="CG72" s="369">
        <v>1</v>
      </c>
      <c r="CH72" s="369"/>
      <c r="CI72" s="400"/>
      <c r="CJ72" s="359"/>
      <c r="CK72" s="359"/>
      <c r="CL72" s="359"/>
      <c r="CM72" s="359"/>
      <c r="CN72" s="359"/>
      <c r="CO72" s="359"/>
      <c r="CP72" s="359"/>
      <c r="CQ72" s="359"/>
      <c r="CR72" s="359"/>
      <c r="CS72" s="359"/>
      <c r="CT72" s="359"/>
      <c r="CU72" s="359"/>
      <c r="CV72" s="359"/>
      <c r="CW72" s="359"/>
      <c r="CX72" s="359"/>
      <c r="CY72" s="359"/>
      <c r="CZ72" s="359"/>
      <c r="DA72" s="359"/>
      <c r="DB72" s="359"/>
      <c r="DC72" s="359"/>
      <c r="DD72" s="359"/>
      <c r="DE72" s="359"/>
      <c r="DF72" s="359"/>
      <c r="DG72" s="359"/>
      <c r="DH72" s="359"/>
      <c r="DI72" s="359"/>
      <c r="DJ72" s="359"/>
      <c r="DK72" s="359"/>
      <c r="DL72" s="359"/>
      <c r="DM72" s="359"/>
      <c r="DN72" s="359"/>
      <c r="DO72" s="367"/>
      <c r="DQ72" s="708">
        <f>DS70*DS69</f>
        <v>7415400</v>
      </c>
      <c r="DR72" s="310">
        <f>DQ70*50</f>
        <v>2180950</v>
      </c>
      <c r="DS72" s="1729">
        <f>DQ72+DR72</f>
        <v>9596350</v>
      </c>
      <c r="DT72" s="1730"/>
      <c r="DU72" s="309" t="s">
        <v>1302</v>
      </c>
    </row>
    <row r="73" spans="1:128">
      <c r="A73" s="355"/>
      <c r="B73" s="368" t="s">
        <v>404</v>
      </c>
      <c r="C73" s="375">
        <f>ROUNDUP(25.78,0)</f>
        <v>26</v>
      </c>
      <c r="D73" s="375"/>
      <c r="E73" s="358"/>
      <c r="F73" s="375"/>
      <c r="G73" s="358"/>
      <c r="H73" s="358"/>
      <c r="I73" s="358"/>
      <c r="J73" s="369"/>
      <c r="K73" s="358"/>
      <c r="L73" s="358"/>
      <c r="M73" s="358"/>
      <c r="N73" s="358"/>
      <c r="O73" s="358"/>
      <c r="P73" s="359"/>
      <c r="Q73" s="359"/>
      <c r="R73" s="359"/>
      <c r="S73" s="359"/>
      <c r="T73" s="360"/>
      <c r="U73" s="361"/>
      <c r="V73" s="361">
        <f>ROUNDUP((23*5.55)-BO7,0)</f>
        <v>126</v>
      </c>
      <c r="W73" s="361"/>
      <c r="X73" s="357"/>
      <c r="Y73" s="357"/>
      <c r="Z73" s="357"/>
      <c r="AA73" s="357"/>
      <c r="AB73" s="357"/>
      <c r="AC73" s="357">
        <f>ROUNDUP((11.3*4.7)-(BO7+CH7),0)</f>
        <v>48</v>
      </c>
      <c r="AD73" s="357">
        <f>V73</f>
        <v>126</v>
      </c>
      <c r="AE73" s="357"/>
      <c r="AF73" s="357"/>
      <c r="AG73" s="357"/>
      <c r="AH73" s="357"/>
      <c r="AI73" s="357"/>
      <c r="AJ73" s="357"/>
      <c r="AK73" s="357"/>
      <c r="AL73" s="357"/>
      <c r="AM73" s="357"/>
      <c r="AN73" s="357"/>
      <c r="AO73" s="357"/>
      <c r="AP73" s="357"/>
      <c r="AQ73" s="357">
        <f>ROUNDUP((3*4.7)+BO9,0)</f>
        <v>19</v>
      </c>
      <c r="AR73" s="357"/>
      <c r="AS73" s="362"/>
      <c r="AT73" s="360">
        <f>BO8</f>
        <v>1.1000000000000001</v>
      </c>
      <c r="AU73" s="397"/>
      <c r="AV73" s="364"/>
      <c r="AW73" s="370">
        <f>C73</f>
        <v>26</v>
      </c>
      <c r="AX73" s="364"/>
      <c r="AY73" s="365"/>
      <c r="AZ73" s="363">
        <f t="shared" si="14"/>
        <v>126</v>
      </c>
      <c r="BA73" s="364">
        <f>AC73</f>
        <v>48</v>
      </c>
      <c r="BB73" s="395"/>
      <c r="BC73" s="365">
        <f t="shared" si="15"/>
        <v>26</v>
      </c>
      <c r="BD73" s="371"/>
      <c r="BE73" s="358"/>
      <c r="BF73" s="358"/>
      <c r="BG73" s="358"/>
      <c r="BH73" s="358"/>
      <c r="BI73" s="358"/>
      <c r="BJ73" s="358"/>
      <c r="BK73" s="358"/>
      <c r="BL73" s="358"/>
      <c r="BM73" s="358"/>
      <c r="BN73" s="358"/>
      <c r="BO73" s="369">
        <v>1</v>
      </c>
      <c r="BP73" s="358"/>
      <c r="BQ73" s="358"/>
      <c r="BR73" s="358"/>
      <c r="BS73" s="358"/>
      <c r="BT73" s="358"/>
      <c r="BU73" s="358"/>
      <c r="BV73" s="358"/>
      <c r="BW73" s="358"/>
      <c r="BX73" s="358"/>
      <c r="BY73" s="358"/>
      <c r="BZ73" s="358"/>
      <c r="CA73" s="358"/>
      <c r="CB73" s="358"/>
      <c r="CC73" s="358"/>
      <c r="CD73" s="358"/>
      <c r="CE73" s="358"/>
      <c r="CF73" s="358"/>
      <c r="CG73" s="358"/>
      <c r="CH73" s="358"/>
      <c r="CI73" s="359"/>
      <c r="CJ73" s="359"/>
      <c r="CK73" s="359"/>
      <c r="CL73" s="359"/>
      <c r="CM73" s="359"/>
      <c r="CN73" s="359"/>
      <c r="CO73" s="359"/>
      <c r="CP73" s="359"/>
      <c r="CQ73" s="359"/>
      <c r="CR73" s="359"/>
      <c r="CS73" s="359"/>
      <c r="CT73" s="359"/>
      <c r="CU73" s="359"/>
      <c r="CV73" s="359"/>
      <c r="CW73" s="359"/>
      <c r="CX73" s="359"/>
      <c r="CY73" s="359"/>
      <c r="CZ73" s="359"/>
      <c r="DA73" s="359"/>
      <c r="DB73" s="359"/>
      <c r="DC73" s="359"/>
      <c r="DD73" s="359"/>
      <c r="DE73" s="359"/>
      <c r="DF73" s="359"/>
      <c r="DG73" s="359"/>
      <c r="DH73" s="359"/>
      <c r="DI73" s="359"/>
      <c r="DJ73" s="359"/>
      <c r="DK73" s="359"/>
      <c r="DL73" s="359"/>
      <c r="DM73" s="359"/>
      <c r="DN73" s="359"/>
      <c r="DO73" s="367"/>
    </row>
    <row r="74" spans="1:128" s="63" customFormat="1">
      <c r="A74" s="373"/>
      <c r="B74" s="374" t="s">
        <v>388</v>
      </c>
      <c r="C74" s="357"/>
      <c r="D74" s="375">
        <f>ROUNDUP(85.49,0)</f>
        <v>86</v>
      </c>
      <c r="E74" s="375"/>
      <c r="F74" s="357"/>
      <c r="G74" s="357"/>
      <c r="H74" s="357"/>
      <c r="I74" s="357"/>
      <c r="J74" s="357"/>
      <c r="K74" s="357"/>
      <c r="L74" s="357"/>
      <c r="M74" s="357"/>
      <c r="N74" s="357"/>
      <c r="O74" s="357"/>
      <c r="P74" s="362"/>
      <c r="Q74" s="362"/>
      <c r="R74" s="362"/>
      <c r="S74" s="362"/>
      <c r="T74" s="360"/>
      <c r="U74" s="361">
        <f>ROUNDUP(((40+(0.7*5))*3.5)-((BS7*2)+(CB7*2)),0)</f>
        <v>130</v>
      </c>
      <c r="V74" s="361"/>
      <c r="W74" s="361"/>
      <c r="X74" s="357"/>
      <c r="Y74" s="357"/>
      <c r="Z74" s="357"/>
      <c r="AA74" s="357"/>
      <c r="AB74" s="357"/>
      <c r="AC74" s="357"/>
      <c r="AD74" s="357">
        <f t="shared" ref="AD74:AD80" si="16">U74</f>
        <v>130</v>
      </c>
      <c r="AE74" s="357"/>
      <c r="AF74" s="357"/>
      <c r="AG74" s="357"/>
      <c r="AH74" s="357"/>
      <c r="AI74" s="357"/>
      <c r="AJ74" s="357"/>
      <c r="AK74" s="357"/>
      <c r="AL74" s="357"/>
      <c r="AM74" s="357"/>
      <c r="AN74" s="357"/>
      <c r="AO74" s="357"/>
      <c r="AP74" s="357"/>
      <c r="AQ74" s="357">
        <f>ROUNDUP((6*3.5)+((BS9*2)+(CB9*2)),0)</f>
        <v>38</v>
      </c>
      <c r="AR74" s="357"/>
      <c r="AS74" s="362"/>
      <c r="AT74" s="360">
        <f>ROUNDUP((BS8*2)+(CB8*2),0)</f>
        <v>23</v>
      </c>
      <c r="AU74" s="374">
        <f>D74</f>
        <v>86</v>
      </c>
      <c r="AV74" s="357"/>
      <c r="AW74" s="357"/>
      <c r="AX74" s="357"/>
      <c r="AY74" s="360"/>
      <c r="AZ74" s="363">
        <f t="shared" si="14"/>
        <v>130</v>
      </c>
      <c r="BA74" s="357"/>
      <c r="BB74" s="362"/>
      <c r="BC74" s="365">
        <f t="shared" si="15"/>
        <v>86</v>
      </c>
      <c r="BD74" s="361"/>
      <c r="BE74" s="357"/>
      <c r="BF74" s="357"/>
      <c r="BG74" s="357"/>
      <c r="BH74" s="357"/>
      <c r="BI74" s="357"/>
      <c r="BJ74" s="357"/>
      <c r="BK74" s="357"/>
      <c r="BL74" s="357"/>
      <c r="BM74" s="357"/>
      <c r="BN74" s="357"/>
      <c r="BO74" s="357"/>
      <c r="BP74" s="357"/>
      <c r="BQ74" s="357"/>
      <c r="BR74" s="357"/>
      <c r="BS74" s="375">
        <v>2</v>
      </c>
      <c r="BT74" s="375"/>
      <c r="BU74" s="375"/>
      <c r="BV74" s="357"/>
      <c r="BW74" s="357"/>
      <c r="BX74" s="357"/>
      <c r="BY74" s="357"/>
      <c r="BZ74" s="357"/>
      <c r="CA74" s="357"/>
      <c r="CB74" s="375">
        <v>2</v>
      </c>
      <c r="CC74" s="375"/>
      <c r="CD74" s="357"/>
      <c r="CE74" s="357"/>
      <c r="CF74" s="357"/>
      <c r="CG74" s="357"/>
      <c r="CH74" s="357"/>
      <c r="CI74" s="362"/>
      <c r="CJ74" s="362"/>
      <c r="CK74" s="362"/>
      <c r="CL74" s="362"/>
      <c r="CM74" s="362"/>
      <c r="CN74" s="362"/>
      <c r="CO74" s="362"/>
      <c r="CP74" s="362"/>
      <c r="CQ74" s="362"/>
      <c r="CR74" s="362"/>
      <c r="CS74" s="362"/>
      <c r="CT74" s="362"/>
      <c r="CU74" s="362"/>
      <c r="CV74" s="362"/>
      <c r="CW74" s="362"/>
      <c r="CX74" s="362"/>
      <c r="CY74" s="362"/>
      <c r="CZ74" s="362"/>
      <c r="DA74" s="362"/>
      <c r="DB74" s="362"/>
      <c r="DC74" s="362"/>
      <c r="DD74" s="362"/>
      <c r="DE74" s="362"/>
      <c r="DF74" s="362"/>
      <c r="DG74" s="362"/>
      <c r="DH74" s="362"/>
      <c r="DI74" s="362"/>
      <c r="DJ74" s="362"/>
      <c r="DK74" s="362"/>
      <c r="DL74" s="362"/>
      <c r="DM74" s="362"/>
      <c r="DN74" s="362"/>
      <c r="DO74" s="360"/>
      <c r="DP74" s="310"/>
      <c r="DQ74" s="310"/>
      <c r="DR74" s="310"/>
      <c r="DS74" s="310"/>
      <c r="DT74" s="310"/>
      <c r="DU74" s="310"/>
      <c r="DV74" s="310"/>
      <c r="DW74" s="310"/>
      <c r="DX74" s="310"/>
    </row>
    <row r="75" spans="1:128" s="63" customFormat="1">
      <c r="A75" s="373"/>
      <c r="B75" s="374" t="s">
        <v>389</v>
      </c>
      <c r="C75" s="357"/>
      <c r="D75" s="375">
        <f>ROUNDUP(84.33,0)</f>
        <v>85</v>
      </c>
      <c r="E75" s="375"/>
      <c r="F75" s="357"/>
      <c r="G75" s="357"/>
      <c r="H75" s="357"/>
      <c r="I75" s="357"/>
      <c r="J75" s="357"/>
      <c r="K75" s="357"/>
      <c r="L75" s="357"/>
      <c r="M75" s="357"/>
      <c r="N75" s="357"/>
      <c r="O75" s="357"/>
      <c r="P75" s="362"/>
      <c r="Q75" s="362"/>
      <c r="R75" s="362"/>
      <c r="S75" s="362"/>
      <c r="T75" s="360"/>
      <c r="U75" s="361">
        <f>ROUNDUP(((38.31+(0.7*4))*3.5)-((BS7*2)+(CB7*2)),0)</f>
        <v>122</v>
      </c>
      <c r="V75" s="361"/>
      <c r="W75" s="361"/>
      <c r="X75" s="357"/>
      <c r="Y75" s="357"/>
      <c r="Z75" s="357"/>
      <c r="AA75" s="357"/>
      <c r="AB75" s="357"/>
      <c r="AC75" s="357"/>
      <c r="AD75" s="357">
        <f t="shared" si="16"/>
        <v>122</v>
      </c>
      <c r="AE75" s="357"/>
      <c r="AF75" s="357"/>
      <c r="AG75" s="357"/>
      <c r="AH75" s="357"/>
      <c r="AI75" s="357"/>
      <c r="AJ75" s="357"/>
      <c r="AK75" s="357"/>
      <c r="AL75" s="357"/>
      <c r="AM75" s="357"/>
      <c r="AN75" s="357"/>
      <c r="AO75" s="357"/>
      <c r="AP75" s="357"/>
      <c r="AQ75" s="357">
        <f>ROUNDUP((6*3.5)+((BS9*2)+(CB9*2)),0)</f>
        <v>38</v>
      </c>
      <c r="AR75" s="357"/>
      <c r="AS75" s="362"/>
      <c r="AT75" s="360">
        <f>ROUNDUP((BS8*2)+(CB8*2),0)</f>
        <v>23</v>
      </c>
      <c r="AU75" s="374">
        <f t="shared" ref="AU75:AU83" si="17">D75</f>
        <v>85</v>
      </c>
      <c r="AV75" s="357"/>
      <c r="AW75" s="357"/>
      <c r="AX75" s="357"/>
      <c r="AY75" s="360"/>
      <c r="AZ75" s="363">
        <f t="shared" si="14"/>
        <v>122</v>
      </c>
      <c r="BA75" s="357"/>
      <c r="BB75" s="362"/>
      <c r="BC75" s="365">
        <f t="shared" si="15"/>
        <v>85</v>
      </c>
      <c r="BD75" s="361"/>
      <c r="BE75" s="375">
        <v>2</v>
      </c>
      <c r="BF75" s="375"/>
      <c r="BG75" s="375">
        <v>1</v>
      </c>
      <c r="BH75" s="357"/>
      <c r="BI75" s="357"/>
      <c r="BJ75" s="357"/>
      <c r="BK75" s="357"/>
      <c r="BL75" s="357"/>
      <c r="BM75" s="357"/>
      <c r="BN75" s="357"/>
      <c r="BO75" s="357"/>
      <c r="BP75" s="357"/>
      <c r="BQ75" s="357"/>
      <c r="BR75" s="357"/>
      <c r="BS75" s="375">
        <v>2</v>
      </c>
      <c r="BT75" s="357"/>
      <c r="BU75" s="357"/>
      <c r="BV75" s="357"/>
      <c r="BW75" s="357"/>
      <c r="BX75" s="357"/>
      <c r="BY75" s="357"/>
      <c r="BZ75" s="357"/>
      <c r="CA75" s="357"/>
      <c r="CB75" s="375">
        <v>2</v>
      </c>
      <c r="CC75" s="375"/>
      <c r="CD75" s="375"/>
      <c r="CE75" s="357"/>
      <c r="CF75" s="357"/>
      <c r="CG75" s="357"/>
      <c r="CH75" s="357"/>
      <c r="CI75" s="362"/>
      <c r="CJ75" s="362"/>
      <c r="CK75" s="362"/>
      <c r="CL75" s="362"/>
      <c r="CM75" s="362"/>
      <c r="CN75" s="362"/>
      <c r="CO75" s="362"/>
      <c r="CP75" s="362"/>
      <c r="CQ75" s="362"/>
      <c r="CR75" s="362"/>
      <c r="CS75" s="362"/>
      <c r="CT75" s="362"/>
      <c r="CU75" s="362"/>
      <c r="CV75" s="362"/>
      <c r="CW75" s="362"/>
      <c r="CX75" s="362"/>
      <c r="CY75" s="362"/>
      <c r="CZ75" s="362"/>
      <c r="DA75" s="362"/>
      <c r="DB75" s="362"/>
      <c r="DC75" s="362"/>
      <c r="DD75" s="362"/>
      <c r="DE75" s="362"/>
      <c r="DF75" s="362"/>
      <c r="DG75" s="362"/>
      <c r="DH75" s="362"/>
      <c r="DI75" s="362"/>
      <c r="DJ75" s="362"/>
      <c r="DK75" s="362"/>
      <c r="DL75" s="362"/>
      <c r="DM75" s="362"/>
      <c r="DN75" s="362"/>
      <c r="DO75" s="360"/>
      <c r="DP75" s="310"/>
      <c r="DQ75" s="310"/>
      <c r="DR75" s="310"/>
      <c r="DS75" s="310"/>
      <c r="DT75" s="310"/>
      <c r="DU75" s="310"/>
      <c r="DV75" s="310"/>
      <c r="DW75" s="310"/>
      <c r="DX75" s="310"/>
    </row>
    <row r="76" spans="1:128" s="63" customFormat="1">
      <c r="A76" s="373"/>
      <c r="B76" s="374" t="s">
        <v>390</v>
      </c>
      <c r="C76" s="357"/>
      <c r="D76" s="375">
        <f>ROUNDUP(79.68,0)</f>
        <v>80</v>
      </c>
      <c r="E76" s="375"/>
      <c r="F76" s="357"/>
      <c r="G76" s="357"/>
      <c r="H76" s="357"/>
      <c r="I76" s="357"/>
      <c r="J76" s="357"/>
      <c r="K76" s="357"/>
      <c r="L76" s="357"/>
      <c r="M76" s="357"/>
      <c r="N76" s="357"/>
      <c r="O76" s="357"/>
      <c r="P76" s="362"/>
      <c r="Q76" s="362"/>
      <c r="R76" s="362"/>
      <c r="S76" s="362"/>
      <c r="T76" s="360"/>
      <c r="U76" s="361">
        <f>ROUNDUP(((38+(0.7*3)+1.42)*3.5)-((BS7*2)+(CB7*2)),0)</f>
        <v>123</v>
      </c>
      <c r="V76" s="361"/>
      <c r="W76" s="361"/>
      <c r="X76" s="357"/>
      <c r="Y76" s="357"/>
      <c r="Z76" s="357"/>
      <c r="AA76" s="357"/>
      <c r="AB76" s="357"/>
      <c r="AC76" s="357">
        <f>ROUNDUP(((0.3+1.5+5.6+1.5+0.3+2.22+6)*3.8)-(CB7*2),0)</f>
        <v>50</v>
      </c>
      <c r="AD76" s="357">
        <f t="shared" si="16"/>
        <v>123</v>
      </c>
      <c r="AE76" s="357"/>
      <c r="AF76" s="357"/>
      <c r="AG76" s="357"/>
      <c r="AH76" s="357"/>
      <c r="AI76" s="357"/>
      <c r="AJ76" s="357"/>
      <c r="AK76" s="357"/>
      <c r="AL76" s="357"/>
      <c r="AM76" s="357"/>
      <c r="AN76" s="357"/>
      <c r="AO76" s="357"/>
      <c r="AP76" s="357"/>
      <c r="AQ76" s="357">
        <f>ROUNDUP((5*3.5)+(BS7*2)+(CB7*2),0)</f>
        <v>40</v>
      </c>
      <c r="AR76" s="357"/>
      <c r="AS76" s="362"/>
      <c r="AT76" s="360">
        <f>ROUNDUP((BS8*2)+(CB8*2),0)</f>
        <v>23</v>
      </c>
      <c r="AU76" s="374">
        <f t="shared" si="17"/>
        <v>80</v>
      </c>
      <c r="AV76" s="357"/>
      <c r="AW76" s="357"/>
      <c r="AX76" s="357"/>
      <c r="AY76" s="360"/>
      <c r="AZ76" s="363">
        <f t="shared" si="14"/>
        <v>123</v>
      </c>
      <c r="BA76" s="357">
        <f t="shared" ref="BA76:BA85" si="18">AC76</f>
        <v>50</v>
      </c>
      <c r="BB76" s="362"/>
      <c r="BC76" s="365">
        <f t="shared" si="15"/>
        <v>80</v>
      </c>
      <c r="BD76" s="361"/>
      <c r="BE76" s="357"/>
      <c r="BF76" s="375">
        <v>1</v>
      </c>
      <c r="BG76" s="357"/>
      <c r="BH76" s="357"/>
      <c r="BI76" s="357"/>
      <c r="BJ76" s="357"/>
      <c r="BK76" s="357"/>
      <c r="BL76" s="357"/>
      <c r="BM76" s="357"/>
      <c r="BN76" s="357"/>
      <c r="BO76" s="357"/>
      <c r="BP76" s="357"/>
      <c r="BQ76" s="357"/>
      <c r="BR76" s="357"/>
      <c r="BS76" s="375">
        <v>2</v>
      </c>
      <c r="BT76" s="357"/>
      <c r="BU76" s="357"/>
      <c r="BV76" s="357"/>
      <c r="BW76" s="357"/>
      <c r="BX76" s="357"/>
      <c r="BY76" s="357"/>
      <c r="BZ76" s="357"/>
      <c r="CA76" s="357"/>
      <c r="CB76" s="375">
        <v>2</v>
      </c>
      <c r="CC76" s="375"/>
      <c r="CD76" s="375"/>
      <c r="CE76" s="357"/>
      <c r="CF76" s="357"/>
      <c r="CG76" s="357"/>
      <c r="CH76" s="357"/>
      <c r="CI76" s="362"/>
      <c r="CJ76" s="362"/>
      <c r="CK76" s="362"/>
      <c r="CL76" s="362"/>
      <c r="CM76" s="362"/>
      <c r="CN76" s="362"/>
      <c r="CO76" s="362"/>
      <c r="CP76" s="362"/>
      <c r="CQ76" s="362"/>
      <c r="CR76" s="362"/>
      <c r="CS76" s="362"/>
      <c r="CT76" s="362"/>
      <c r="CU76" s="362"/>
      <c r="CV76" s="362"/>
      <c r="CW76" s="362"/>
      <c r="CX76" s="362"/>
      <c r="CY76" s="362"/>
      <c r="CZ76" s="362"/>
      <c r="DA76" s="362"/>
      <c r="DB76" s="362"/>
      <c r="DC76" s="362"/>
      <c r="DD76" s="362"/>
      <c r="DE76" s="362"/>
      <c r="DF76" s="362"/>
      <c r="DG76" s="362"/>
      <c r="DH76" s="362"/>
      <c r="DI76" s="362"/>
      <c r="DJ76" s="362"/>
      <c r="DK76" s="362"/>
      <c r="DL76" s="362"/>
      <c r="DM76" s="362"/>
      <c r="DN76" s="362"/>
      <c r="DO76" s="360"/>
      <c r="DP76" s="310"/>
      <c r="DQ76" s="310"/>
      <c r="DR76" s="310"/>
      <c r="DS76" s="310"/>
      <c r="DT76" s="310"/>
      <c r="DU76" s="310"/>
      <c r="DV76" s="310"/>
      <c r="DW76" s="310"/>
      <c r="DX76" s="310"/>
    </row>
    <row r="77" spans="1:128" s="63" customFormat="1">
      <c r="A77" s="373"/>
      <c r="B77" s="374" t="s">
        <v>391</v>
      </c>
      <c r="C77" s="357"/>
      <c r="D77" s="375">
        <f>ROUNDUP(75.77,0)</f>
        <v>76</v>
      </c>
      <c r="E77" s="375"/>
      <c r="F77" s="357"/>
      <c r="G77" s="357"/>
      <c r="H77" s="357"/>
      <c r="I77" s="357"/>
      <c r="J77" s="357"/>
      <c r="K77" s="357"/>
      <c r="L77" s="357"/>
      <c r="M77" s="357"/>
      <c r="N77" s="357"/>
      <c r="O77" s="357"/>
      <c r="P77" s="362"/>
      <c r="Q77" s="362"/>
      <c r="R77" s="362"/>
      <c r="S77" s="362"/>
      <c r="T77" s="360"/>
      <c r="U77" s="361">
        <f>ROUNDUP((39*3.5)-((BS7*2)+(CB7*2)),0)</f>
        <v>115</v>
      </c>
      <c r="V77" s="361"/>
      <c r="W77" s="361"/>
      <c r="X77" s="357"/>
      <c r="Y77" s="357"/>
      <c r="Z77" s="357"/>
      <c r="AA77" s="357"/>
      <c r="AB77" s="357"/>
      <c r="AC77" s="357">
        <f>ROUNDUP((12*3.8)-(CB7*2),0)</f>
        <v>29</v>
      </c>
      <c r="AD77" s="357">
        <f t="shared" si="16"/>
        <v>115</v>
      </c>
      <c r="AE77" s="357"/>
      <c r="AF77" s="357"/>
      <c r="AG77" s="357"/>
      <c r="AH77" s="357"/>
      <c r="AI77" s="357"/>
      <c r="AJ77" s="357"/>
      <c r="AK77" s="357"/>
      <c r="AL77" s="357"/>
      <c r="AM77" s="357"/>
      <c r="AN77" s="357"/>
      <c r="AO77" s="357"/>
      <c r="AP77" s="357"/>
      <c r="AQ77" s="357">
        <f>ROUNDUP(BS9+CB9,0)</f>
        <v>9</v>
      </c>
      <c r="AR77" s="357"/>
      <c r="AS77" s="362"/>
      <c r="AT77" s="360">
        <f>ROUNDUP(BS8+CB8,0)</f>
        <v>12</v>
      </c>
      <c r="AU77" s="374">
        <f t="shared" si="17"/>
        <v>76</v>
      </c>
      <c r="AV77" s="357"/>
      <c r="AW77" s="357"/>
      <c r="AX77" s="357"/>
      <c r="AY77" s="360"/>
      <c r="AZ77" s="363">
        <f t="shared" si="14"/>
        <v>115</v>
      </c>
      <c r="BA77" s="357">
        <f t="shared" si="18"/>
        <v>29</v>
      </c>
      <c r="BB77" s="362"/>
      <c r="BC77" s="365">
        <f t="shared" si="15"/>
        <v>76</v>
      </c>
      <c r="BD77" s="361"/>
      <c r="BE77" s="375">
        <v>1</v>
      </c>
      <c r="BF77" s="357"/>
      <c r="BG77" s="357"/>
      <c r="BH77" s="357"/>
      <c r="BI77" s="357"/>
      <c r="BJ77" s="357"/>
      <c r="BK77" s="357"/>
      <c r="BL77" s="357"/>
      <c r="BM77" s="357"/>
      <c r="BN77" s="357"/>
      <c r="BO77" s="357"/>
      <c r="BP77" s="357"/>
      <c r="BQ77" s="357"/>
      <c r="BR77" s="357"/>
      <c r="BS77" s="375">
        <v>2</v>
      </c>
      <c r="BT77" s="357"/>
      <c r="BU77" s="357"/>
      <c r="BV77" s="357"/>
      <c r="BW77" s="357"/>
      <c r="BX77" s="357"/>
      <c r="BY77" s="357"/>
      <c r="BZ77" s="357"/>
      <c r="CA77" s="357"/>
      <c r="CB77" s="375">
        <v>2</v>
      </c>
      <c r="CC77" s="375"/>
      <c r="CD77" s="375"/>
      <c r="CE77" s="375"/>
      <c r="CF77" s="357"/>
      <c r="CG77" s="357"/>
      <c r="CH77" s="357"/>
      <c r="CI77" s="362"/>
      <c r="CJ77" s="362"/>
      <c r="CK77" s="362"/>
      <c r="CL77" s="362"/>
      <c r="CM77" s="362"/>
      <c r="CN77" s="362"/>
      <c r="CO77" s="362"/>
      <c r="CP77" s="362"/>
      <c r="CQ77" s="362"/>
      <c r="CR77" s="362"/>
      <c r="CS77" s="362"/>
      <c r="CT77" s="362"/>
      <c r="CU77" s="362"/>
      <c r="CV77" s="362"/>
      <c r="CW77" s="362"/>
      <c r="CX77" s="362"/>
      <c r="CY77" s="362"/>
      <c r="CZ77" s="362"/>
      <c r="DA77" s="362"/>
      <c r="DB77" s="362"/>
      <c r="DC77" s="362"/>
      <c r="DD77" s="362"/>
      <c r="DE77" s="362"/>
      <c r="DF77" s="362"/>
      <c r="DG77" s="362"/>
      <c r="DH77" s="362"/>
      <c r="DI77" s="362"/>
      <c r="DJ77" s="362"/>
      <c r="DK77" s="362"/>
      <c r="DL77" s="362"/>
      <c r="DM77" s="362"/>
      <c r="DN77" s="362"/>
      <c r="DO77" s="360"/>
      <c r="DP77" s="310"/>
      <c r="DQ77" s="310"/>
      <c r="DR77" s="310"/>
      <c r="DS77" s="310"/>
      <c r="DT77" s="310"/>
      <c r="DU77" s="310"/>
      <c r="DV77" s="310"/>
      <c r="DW77" s="310"/>
      <c r="DX77" s="310"/>
    </row>
    <row r="78" spans="1:128" s="63" customFormat="1">
      <c r="A78" s="376"/>
      <c r="B78" s="374" t="s">
        <v>392</v>
      </c>
      <c r="C78" s="357"/>
      <c r="D78" s="375">
        <f>ROUNDUP(75.79,0)</f>
        <v>76</v>
      </c>
      <c r="E78" s="375"/>
      <c r="F78" s="357"/>
      <c r="G78" s="357"/>
      <c r="H78" s="357"/>
      <c r="I78" s="357"/>
      <c r="J78" s="357"/>
      <c r="K78" s="357"/>
      <c r="L78" s="357"/>
      <c r="M78" s="357"/>
      <c r="N78" s="357"/>
      <c r="O78" s="357"/>
      <c r="P78" s="362"/>
      <c r="Q78" s="362"/>
      <c r="R78" s="362"/>
      <c r="S78" s="362"/>
      <c r="T78" s="360"/>
      <c r="U78" s="361">
        <f>ROUNDUP((39*3.5)-((BS7*2)+(CB7*2)),0)</f>
        <v>115</v>
      </c>
      <c r="V78" s="361"/>
      <c r="W78" s="361"/>
      <c r="X78" s="357"/>
      <c r="Y78" s="357"/>
      <c r="Z78" s="357"/>
      <c r="AA78" s="357"/>
      <c r="AB78" s="357"/>
      <c r="AC78" s="357">
        <f>ROUNDUP((12*3.8)-(CB7*2),0)</f>
        <v>29</v>
      </c>
      <c r="AD78" s="357">
        <f t="shared" si="16"/>
        <v>115</v>
      </c>
      <c r="AE78" s="357"/>
      <c r="AF78" s="357"/>
      <c r="AG78" s="357"/>
      <c r="AH78" s="357"/>
      <c r="AI78" s="357"/>
      <c r="AJ78" s="357"/>
      <c r="AK78" s="357"/>
      <c r="AL78" s="357"/>
      <c r="AM78" s="357"/>
      <c r="AN78" s="357"/>
      <c r="AO78" s="357"/>
      <c r="AP78" s="357"/>
      <c r="AQ78" s="357">
        <f>ROUNDUP(BS9+CB9,0)</f>
        <v>9</v>
      </c>
      <c r="AR78" s="357"/>
      <c r="AS78" s="362"/>
      <c r="AT78" s="360">
        <f>ROUNDUP(BS8+CB8,0)</f>
        <v>12</v>
      </c>
      <c r="AU78" s="374">
        <f t="shared" si="17"/>
        <v>76</v>
      </c>
      <c r="AV78" s="357"/>
      <c r="AW78" s="357"/>
      <c r="AX78" s="357"/>
      <c r="AY78" s="360"/>
      <c r="AZ78" s="363">
        <f t="shared" si="14"/>
        <v>115</v>
      </c>
      <c r="BA78" s="357">
        <f t="shared" si="18"/>
        <v>29</v>
      </c>
      <c r="BB78" s="362"/>
      <c r="BC78" s="365">
        <f t="shared" si="15"/>
        <v>76</v>
      </c>
      <c r="BD78" s="361"/>
      <c r="BE78" s="357"/>
      <c r="BF78" s="357"/>
      <c r="BG78" s="357"/>
      <c r="BH78" s="357"/>
      <c r="BI78" s="357"/>
      <c r="BJ78" s="357"/>
      <c r="BK78" s="375"/>
      <c r="BL78" s="357"/>
      <c r="BM78" s="357"/>
      <c r="BN78" s="357"/>
      <c r="BO78" s="357"/>
      <c r="BP78" s="357"/>
      <c r="BQ78" s="357"/>
      <c r="BR78" s="357"/>
      <c r="BS78" s="375">
        <v>2</v>
      </c>
      <c r="BT78" s="357"/>
      <c r="BU78" s="357"/>
      <c r="BV78" s="357"/>
      <c r="BW78" s="357"/>
      <c r="BX78" s="357"/>
      <c r="BY78" s="357"/>
      <c r="BZ78" s="357"/>
      <c r="CA78" s="357"/>
      <c r="CB78" s="375">
        <v>2</v>
      </c>
      <c r="CC78" s="375"/>
      <c r="CD78" s="357"/>
      <c r="CE78" s="357"/>
      <c r="CF78" s="357"/>
      <c r="CG78" s="357"/>
      <c r="CH78" s="357"/>
      <c r="CI78" s="362"/>
      <c r="CJ78" s="362"/>
      <c r="CK78" s="362"/>
      <c r="CL78" s="362"/>
      <c r="CM78" s="362"/>
      <c r="CN78" s="362"/>
      <c r="CO78" s="362"/>
      <c r="CP78" s="362"/>
      <c r="CQ78" s="362"/>
      <c r="CR78" s="362"/>
      <c r="CS78" s="362"/>
      <c r="CT78" s="362"/>
      <c r="CU78" s="362"/>
      <c r="CV78" s="362"/>
      <c r="CW78" s="362"/>
      <c r="CX78" s="362"/>
      <c r="CY78" s="362"/>
      <c r="CZ78" s="362"/>
      <c r="DA78" s="362"/>
      <c r="DB78" s="362"/>
      <c r="DC78" s="362"/>
      <c r="DD78" s="362"/>
      <c r="DE78" s="362"/>
      <c r="DF78" s="362"/>
      <c r="DG78" s="362"/>
      <c r="DH78" s="362"/>
      <c r="DI78" s="362"/>
      <c r="DJ78" s="362"/>
      <c r="DK78" s="362"/>
      <c r="DL78" s="362"/>
      <c r="DM78" s="362"/>
      <c r="DN78" s="362"/>
      <c r="DO78" s="360"/>
      <c r="DP78" s="310"/>
      <c r="DQ78" s="310"/>
      <c r="DR78" s="310"/>
      <c r="DS78" s="310"/>
      <c r="DT78" s="310"/>
      <c r="DU78" s="310"/>
      <c r="DV78" s="310"/>
      <c r="DW78" s="310"/>
      <c r="DX78" s="310"/>
    </row>
    <row r="79" spans="1:128" s="63" customFormat="1">
      <c r="A79" s="373"/>
      <c r="B79" s="374" t="s">
        <v>393</v>
      </c>
      <c r="C79" s="357"/>
      <c r="D79" s="375">
        <f>ROUNDUP(51.26,0)</f>
        <v>52</v>
      </c>
      <c r="E79" s="375"/>
      <c r="F79" s="357"/>
      <c r="G79" s="357"/>
      <c r="H79" s="357"/>
      <c r="I79" s="357"/>
      <c r="J79" s="357"/>
      <c r="K79" s="357"/>
      <c r="L79" s="357"/>
      <c r="M79" s="357"/>
      <c r="N79" s="357"/>
      <c r="O79" s="357"/>
      <c r="P79" s="362"/>
      <c r="Q79" s="362"/>
      <c r="R79" s="362"/>
      <c r="S79" s="362"/>
      <c r="T79" s="360"/>
      <c r="U79" s="361">
        <f>ROUNDUP((30*3.5)-(BS7+CB7),0)</f>
        <v>94</v>
      </c>
      <c r="V79" s="361"/>
      <c r="W79" s="361"/>
      <c r="X79" s="357"/>
      <c r="Y79" s="357"/>
      <c r="Z79" s="357"/>
      <c r="AA79" s="357"/>
      <c r="AB79" s="357"/>
      <c r="AC79" s="357">
        <f>ROUNDUP(((6.88+6.37)*3.8)-CB7,0)</f>
        <v>42</v>
      </c>
      <c r="AD79" s="357">
        <f t="shared" si="16"/>
        <v>94</v>
      </c>
      <c r="AE79" s="357"/>
      <c r="AF79" s="357"/>
      <c r="AG79" s="357"/>
      <c r="AH79" s="357"/>
      <c r="AI79" s="357"/>
      <c r="AJ79" s="357"/>
      <c r="AK79" s="357"/>
      <c r="AL79" s="357"/>
      <c r="AM79" s="357"/>
      <c r="AN79" s="357"/>
      <c r="AO79" s="357"/>
      <c r="AP79" s="357"/>
      <c r="AQ79" s="357">
        <f>ROUNDUP(BS9+CB9,0)</f>
        <v>9</v>
      </c>
      <c r="AR79" s="357"/>
      <c r="AS79" s="362"/>
      <c r="AT79" s="360">
        <f>ROUNDUP(BS8+CB8,0)</f>
        <v>12</v>
      </c>
      <c r="AU79" s="374">
        <f t="shared" si="17"/>
        <v>52</v>
      </c>
      <c r="AV79" s="357"/>
      <c r="AW79" s="357"/>
      <c r="AX79" s="357"/>
      <c r="AY79" s="360"/>
      <c r="AZ79" s="363">
        <f t="shared" si="14"/>
        <v>94</v>
      </c>
      <c r="BA79" s="357">
        <f t="shared" si="18"/>
        <v>42</v>
      </c>
      <c r="BB79" s="362"/>
      <c r="BC79" s="365">
        <f t="shared" si="15"/>
        <v>52</v>
      </c>
      <c r="BD79" s="361"/>
      <c r="BE79" s="357"/>
      <c r="BF79" s="357"/>
      <c r="BG79" s="357"/>
      <c r="BH79" s="357"/>
      <c r="BI79" s="357"/>
      <c r="BJ79" s="357"/>
      <c r="BK79" s="375"/>
      <c r="BL79" s="357"/>
      <c r="BM79" s="357"/>
      <c r="BN79" s="357"/>
      <c r="BO79" s="357"/>
      <c r="BP79" s="357"/>
      <c r="BQ79" s="357"/>
      <c r="BR79" s="357"/>
      <c r="BS79" s="375">
        <v>1</v>
      </c>
      <c r="BT79" s="357"/>
      <c r="BU79" s="357"/>
      <c r="BV79" s="357"/>
      <c r="BW79" s="357"/>
      <c r="BX79" s="357"/>
      <c r="BY79" s="357"/>
      <c r="BZ79" s="357"/>
      <c r="CA79" s="357"/>
      <c r="CB79" s="375">
        <v>1</v>
      </c>
      <c r="CC79" s="375"/>
      <c r="CD79" s="357"/>
      <c r="CE79" s="357"/>
      <c r="CF79" s="357"/>
      <c r="CG79" s="357"/>
      <c r="CH79" s="357"/>
      <c r="CI79" s="362"/>
      <c r="CJ79" s="362"/>
      <c r="CK79" s="362"/>
      <c r="CL79" s="362"/>
      <c r="CM79" s="362"/>
      <c r="CN79" s="362"/>
      <c r="CO79" s="362"/>
      <c r="CP79" s="362"/>
      <c r="CQ79" s="362"/>
      <c r="CR79" s="362"/>
      <c r="CS79" s="362"/>
      <c r="CT79" s="362"/>
      <c r="CU79" s="362"/>
      <c r="CV79" s="362"/>
      <c r="CW79" s="362"/>
      <c r="CX79" s="362"/>
      <c r="CY79" s="362"/>
      <c r="CZ79" s="362"/>
      <c r="DA79" s="362"/>
      <c r="DB79" s="362"/>
      <c r="DC79" s="362"/>
      <c r="DD79" s="362"/>
      <c r="DE79" s="362"/>
      <c r="DF79" s="362"/>
      <c r="DG79" s="362"/>
      <c r="DH79" s="362"/>
      <c r="DI79" s="362"/>
      <c r="DJ79" s="362"/>
      <c r="DK79" s="362"/>
      <c r="DL79" s="362"/>
      <c r="DM79" s="362"/>
      <c r="DN79" s="362"/>
      <c r="DO79" s="360"/>
      <c r="DP79" s="310"/>
      <c r="DQ79" s="310"/>
      <c r="DR79" s="310"/>
      <c r="DS79" s="310"/>
      <c r="DT79" s="310"/>
      <c r="DU79" s="310"/>
      <c r="DV79" s="310"/>
      <c r="DW79" s="310"/>
      <c r="DX79" s="310"/>
    </row>
    <row r="80" spans="1:128" s="63" customFormat="1">
      <c r="A80" s="373"/>
      <c r="B80" s="374" t="s">
        <v>394</v>
      </c>
      <c r="C80" s="357"/>
      <c r="D80" s="375">
        <f>ROUNDUP(40.82,0)</f>
        <v>41</v>
      </c>
      <c r="E80" s="375"/>
      <c r="F80" s="357"/>
      <c r="G80" s="357"/>
      <c r="H80" s="357"/>
      <c r="I80" s="357"/>
      <c r="J80" s="357"/>
      <c r="K80" s="357"/>
      <c r="L80" s="357"/>
      <c r="M80" s="357"/>
      <c r="N80" s="357"/>
      <c r="O80" s="357"/>
      <c r="P80" s="362"/>
      <c r="Q80" s="362"/>
      <c r="R80" s="362"/>
      <c r="S80" s="362"/>
      <c r="T80" s="360"/>
      <c r="U80" s="361">
        <f>ROUNDUP(((26+1.4)*3.5)-(BS7+CB7),0)</f>
        <v>85</v>
      </c>
      <c r="V80" s="361"/>
      <c r="W80" s="361"/>
      <c r="X80" s="357"/>
      <c r="Y80" s="357"/>
      <c r="Z80" s="357"/>
      <c r="AA80" s="357"/>
      <c r="AB80" s="357"/>
      <c r="AC80" s="357">
        <f>ROUNDUP(((5.6+(1.5*2)+(0.3*2))*3.8)-CB7,0)</f>
        <v>27</v>
      </c>
      <c r="AD80" s="357">
        <f t="shared" si="16"/>
        <v>85</v>
      </c>
      <c r="AE80" s="357"/>
      <c r="AF80" s="357"/>
      <c r="AG80" s="357"/>
      <c r="AH80" s="357"/>
      <c r="AI80" s="357"/>
      <c r="AJ80" s="357"/>
      <c r="AK80" s="357"/>
      <c r="AL80" s="357"/>
      <c r="AM80" s="357"/>
      <c r="AN80" s="357"/>
      <c r="AO80" s="357"/>
      <c r="AP80" s="357"/>
      <c r="AQ80" s="357">
        <f>ROUNDUP((BS9+CB9)+(3.5*3),0)</f>
        <v>19</v>
      </c>
      <c r="AR80" s="357"/>
      <c r="AS80" s="362"/>
      <c r="AT80" s="360">
        <f>ROUNDUP(BS8+CB8,0)</f>
        <v>12</v>
      </c>
      <c r="AU80" s="374">
        <f t="shared" si="17"/>
        <v>41</v>
      </c>
      <c r="AV80" s="357"/>
      <c r="AW80" s="357"/>
      <c r="AX80" s="357"/>
      <c r="AY80" s="360"/>
      <c r="AZ80" s="363">
        <f t="shared" si="14"/>
        <v>85</v>
      </c>
      <c r="BA80" s="357">
        <f t="shared" si="18"/>
        <v>27</v>
      </c>
      <c r="BB80" s="362"/>
      <c r="BC80" s="365">
        <f t="shared" si="15"/>
        <v>41</v>
      </c>
      <c r="BD80" s="361"/>
      <c r="BE80" s="357"/>
      <c r="BF80" s="357"/>
      <c r="BG80" s="357"/>
      <c r="BH80" s="357"/>
      <c r="BI80" s="357"/>
      <c r="BJ80" s="357"/>
      <c r="BK80" s="375"/>
      <c r="BL80" s="357"/>
      <c r="BM80" s="357"/>
      <c r="BN80" s="357"/>
      <c r="BO80" s="357"/>
      <c r="BP80" s="357"/>
      <c r="BQ80" s="357"/>
      <c r="BR80" s="357"/>
      <c r="BS80" s="375">
        <v>1</v>
      </c>
      <c r="BT80" s="357"/>
      <c r="BU80" s="357"/>
      <c r="BV80" s="357"/>
      <c r="BW80" s="357"/>
      <c r="BX80" s="357"/>
      <c r="BY80" s="357"/>
      <c r="BZ80" s="357"/>
      <c r="CA80" s="357"/>
      <c r="CB80" s="375">
        <v>1</v>
      </c>
      <c r="CC80" s="375"/>
      <c r="CD80" s="357"/>
      <c r="CE80" s="357"/>
      <c r="CF80" s="357"/>
      <c r="CG80" s="357"/>
      <c r="CH80" s="357"/>
      <c r="CI80" s="362"/>
      <c r="CJ80" s="362"/>
      <c r="CK80" s="362"/>
      <c r="CL80" s="362"/>
      <c r="CM80" s="362"/>
      <c r="CN80" s="362"/>
      <c r="CO80" s="362"/>
      <c r="CP80" s="362"/>
      <c r="CQ80" s="362"/>
      <c r="CR80" s="362"/>
      <c r="CS80" s="362"/>
      <c r="CT80" s="362"/>
      <c r="CU80" s="362"/>
      <c r="CV80" s="362"/>
      <c r="CW80" s="362"/>
      <c r="CX80" s="362"/>
      <c r="CY80" s="362"/>
      <c r="CZ80" s="362"/>
      <c r="DA80" s="362"/>
      <c r="DB80" s="362"/>
      <c r="DC80" s="362"/>
      <c r="DD80" s="362"/>
      <c r="DE80" s="362"/>
      <c r="DF80" s="362"/>
      <c r="DG80" s="362"/>
      <c r="DH80" s="362"/>
      <c r="DI80" s="362"/>
      <c r="DJ80" s="362"/>
      <c r="DK80" s="362"/>
      <c r="DL80" s="362"/>
      <c r="DM80" s="362"/>
      <c r="DN80" s="362"/>
      <c r="DO80" s="360"/>
      <c r="DP80" s="310"/>
      <c r="DQ80" s="310"/>
      <c r="DR80" s="310"/>
      <c r="DS80" s="310"/>
      <c r="DT80" s="310"/>
      <c r="DU80" s="310"/>
      <c r="DV80" s="310"/>
      <c r="DW80" s="310"/>
      <c r="DX80" s="310"/>
    </row>
    <row r="81" spans="1:128" s="63" customFormat="1">
      <c r="A81" s="373"/>
      <c r="B81" s="374" t="s">
        <v>395</v>
      </c>
      <c r="C81" s="357"/>
      <c r="D81" s="375">
        <f>ROUNDUP(41.88,0)</f>
        <v>42</v>
      </c>
      <c r="E81" s="375"/>
      <c r="F81" s="357"/>
      <c r="G81" s="357"/>
      <c r="H81" s="357"/>
      <c r="I81" s="357"/>
      <c r="J81" s="357"/>
      <c r="K81" s="357"/>
      <c r="L81" s="357"/>
      <c r="M81" s="357"/>
      <c r="N81" s="357"/>
      <c r="O81" s="357"/>
      <c r="P81" s="362"/>
      <c r="Q81" s="362"/>
      <c r="R81" s="362"/>
      <c r="S81" s="362"/>
      <c r="T81" s="360"/>
      <c r="U81" s="361">
        <f>ROUNDUP(((16+1.4)*3.5)-(BS7+CB7),0)</f>
        <v>50</v>
      </c>
      <c r="V81" s="361"/>
      <c r="W81" s="361"/>
      <c r="X81" s="357"/>
      <c r="Y81" s="357"/>
      <c r="Z81" s="357"/>
      <c r="AA81" s="357"/>
      <c r="AB81" s="357"/>
      <c r="AC81" s="357">
        <f>ROUNDUP(((5.6+(1.5*2)+(0.3*2))*3.8)-CB7,0)</f>
        <v>27</v>
      </c>
      <c r="AD81" s="361">
        <f>ROUNDUP((27.4*3.5)-(BS7+CB7),0)</f>
        <v>85</v>
      </c>
      <c r="AE81" s="357"/>
      <c r="AF81" s="357"/>
      <c r="AG81" s="357"/>
      <c r="AH81" s="357"/>
      <c r="AI81" s="357"/>
      <c r="AJ81" s="357"/>
      <c r="AK81" s="357"/>
      <c r="AL81" s="357"/>
      <c r="AM81" s="357"/>
      <c r="AN81" s="357"/>
      <c r="AO81" s="357"/>
      <c r="AP81" s="357"/>
      <c r="AQ81" s="357">
        <f>ROUNDUP((BS9+CB9)+(3.5*2),0)</f>
        <v>16</v>
      </c>
      <c r="AR81" s="357"/>
      <c r="AS81" s="362"/>
      <c r="AT81" s="360">
        <f>ROUNDUP(BS8+CB8,0)</f>
        <v>12</v>
      </c>
      <c r="AU81" s="374">
        <f t="shared" si="17"/>
        <v>42</v>
      </c>
      <c r="AV81" s="357"/>
      <c r="AW81" s="357"/>
      <c r="AX81" s="357"/>
      <c r="AY81" s="360"/>
      <c r="AZ81" s="363">
        <f t="shared" si="14"/>
        <v>85</v>
      </c>
      <c r="BA81" s="357">
        <f t="shared" si="18"/>
        <v>27</v>
      </c>
      <c r="BB81" s="362"/>
      <c r="BC81" s="365">
        <f t="shared" si="15"/>
        <v>42</v>
      </c>
      <c r="BD81" s="361"/>
      <c r="BE81" s="357"/>
      <c r="BF81" s="357"/>
      <c r="BG81" s="357"/>
      <c r="BH81" s="357"/>
      <c r="BI81" s="357"/>
      <c r="BJ81" s="357"/>
      <c r="BK81" s="375"/>
      <c r="BL81" s="357"/>
      <c r="BM81" s="357"/>
      <c r="BN81" s="357"/>
      <c r="BO81" s="357"/>
      <c r="BP81" s="357"/>
      <c r="BQ81" s="357"/>
      <c r="BR81" s="357"/>
      <c r="BS81" s="375">
        <v>1</v>
      </c>
      <c r="BT81" s="357"/>
      <c r="BU81" s="357"/>
      <c r="BV81" s="357"/>
      <c r="BW81" s="357"/>
      <c r="BX81" s="357"/>
      <c r="BY81" s="357"/>
      <c r="BZ81" s="357"/>
      <c r="CA81" s="357"/>
      <c r="CB81" s="375">
        <v>1</v>
      </c>
      <c r="CC81" s="375"/>
      <c r="CD81" s="357"/>
      <c r="CE81" s="357"/>
      <c r="CF81" s="357"/>
      <c r="CG81" s="357"/>
      <c r="CH81" s="357"/>
      <c r="CI81" s="362"/>
      <c r="CJ81" s="362"/>
      <c r="CK81" s="362"/>
      <c r="CL81" s="362"/>
      <c r="CM81" s="362"/>
      <c r="CN81" s="362"/>
      <c r="CO81" s="362"/>
      <c r="CP81" s="362"/>
      <c r="CQ81" s="362"/>
      <c r="CR81" s="362"/>
      <c r="CS81" s="362"/>
      <c r="CT81" s="362"/>
      <c r="CU81" s="362"/>
      <c r="CV81" s="362"/>
      <c r="CW81" s="362"/>
      <c r="CX81" s="362"/>
      <c r="CY81" s="362"/>
      <c r="CZ81" s="362"/>
      <c r="DA81" s="362"/>
      <c r="DB81" s="362"/>
      <c r="DC81" s="362"/>
      <c r="DD81" s="362"/>
      <c r="DE81" s="362"/>
      <c r="DF81" s="362"/>
      <c r="DG81" s="362"/>
      <c r="DH81" s="362"/>
      <c r="DI81" s="362"/>
      <c r="DJ81" s="362"/>
      <c r="DK81" s="362"/>
      <c r="DL81" s="362"/>
      <c r="DM81" s="362"/>
      <c r="DN81" s="362"/>
      <c r="DO81" s="360"/>
      <c r="DP81" s="310"/>
      <c r="DQ81" s="310"/>
      <c r="DR81" s="310"/>
      <c r="DS81" s="310"/>
      <c r="DT81" s="310"/>
      <c r="DU81" s="310"/>
      <c r="DV81" s="310"/>
      <c r="DW81" s="310"/>
      <c r="DX81" s="310"/>
    </row>
    <row r="82" spans="1:128" s="63" customFormat="1">
      <c r="A82" s="376"/>
      <c r="B82" s="374" t="s">
        <v>396</v>
      </c>
      <c r="C82" s="357"/>
      <c r="D82" s="375">
        <f>ROUNDUP(41.8,0)</f>
        <v>42</v>
      </c>
      <c r="E82" s="375"/>
      <c r="F82" s="357"/>
      <c r="G82" s="357"/>
      <c r="H82" s="357"/>
      <c r="I82" s="357"/>
      <c r="J82" s="357"/>
      <c r="K82" s="357"/>
      <c r="L82" s="357"/>
      <c r="M82" s="357"/>
      <c r="N82" s="357"/>
      <c r="O82" s="357"/>
      <c r="P82" s="362"/>
      <c r="Q82" s="362"/>
      <c r="R82" s="362"/>
      <c r="S82" s="362"/>
      <c r="T82" s="360"/>
      <c r="U82" s="361">
        <f>ROUNDUP(((16+1.4)*3.5)-(BS7+CB7),0)</f>
        <v>50</v>
      </c>
      <c r="V82" s="361"/>
      <c r="W82" s="361"/>
      <c r="X82" s="357"/>
      <c r="Y82" s="357"/>
      <c r="Z82" s="357"/>
      <c r="AA82" s="357"/>
      <c r="AB82" s="357"/>
      <c r="AC82" s="357">
        <f>ROUNDUP(((5.6+(1.5*2)+(0.3*2))*3.8)-CB7,0)</f>
        <v>27</v>
      </c>
      <c r="AD82" s="361">
        <f>ROUNDUP((27.4*3.5)-(BS7+CB7),0)</f>
        <v>85</v>
      </c>
      <c r="AE82" s="357"/>
      <c r="AF82" s="357"/>
      <c r="AG82" s="357"/>
      <c r="AH82" s="357"/>
      <c r="AI82" s="357"/>
      <c r="AJ82" s="357"/>
      <c r="AK82" s="357"/>
      <c r="AL82" s="357"/>
      <c r="AM82" s="357"/>
      <c r="AN82" s="357"/>
      <c r="AO82" s="357"/>
      <c r="AP82" s="357"/>
      <c r="AQ82" s="357">
        <f>ROUNDUP((BS9+CB9)+(3.5*2),0)</f>
        <v>16</v>
      </c>
      <c r="AR82" s="357"/>
      <c r="AS82" s="362"/>
      <c r="AT82" s="360">
        <f>ROUNDUP(BS8+CB8,0)</f>
        <v>12</v>
      </c>
      <c r="AU82" s="374">
        <f>D82</f>
        <v>42</v>
      </c>
      <c r="AV82" s="357"/>
      <c r="AW82" s="357"/>
      <c r="AX82" s="357"/>
      <c r="AY82" s="360"/>
      <c r="AZ82" s="363">
        <f t="shared" si="14"/>
        <v>85</v>
      </c>
      <c r="BA82" s="357">
        <f t="shared" si="18"/>
        <v>27</v>
      </c>
      <c r="BB82" s="362"/>
      <c r="BC82" s="365">
        <f t="shared" si="15"/>
        <v>42</v>
      </c>
      <c r="BD82" s="361"/>
      <c r="BE82" s="357"/>
      <c r="BF82" s="357"/>
      <c r="BG82" s="357"/>
      <c r="BH82" s="357"/>
      <c r="BI82" s="357"/>
      <c r="BJ82" s="357"/>
      <c r="BK82" s="375"/>
      <c r="BL82" s="357"/>
      <c r="BM82" s="357"/>
      <c r="BN82" s="357"/>
      <c r="BO82" s="357"/>
      <c r="BP82" s="357"/>
      <c r="BQ82" s="357"/>
      <c r="BR82" s="357"/>
      <c r="BS82" s="375">
        <v>1</v>
      </c>
      <c r="BT82" s="357"/>
      <c r="BU82" s="357"/>
      <c r="BV82" s="357"/>
      <c r="BW82" s="357"/>
      <c r="BX82" s="357"/>
      <c r="BY82" s="357"/>
      <c r="BZ82" s="357"/>
      <c r="CA82" s="357"/>
      <c r="CB82" s="375">
        <v>1</v>
      </c>
      <c r="CC82" s="375"/>
      <c r="CD82" s="357"/>
      <c r="CE82" s="357"/>
      <c r="CF82" s="357"/>
      <c r="CG82" s="357"/>
      <c r="CH82" s="357"/>
      <c r="CI82" s="362"/>
      <c r="CJ82" s="362"/>
      <c r="CK82" s="362"/>
      <c r="CL82" s="362"/>
      <c r="CM82" s="362"/>
      <c r="CN82" s="362"/>
      <c r="CO82" s="362"/>
      <c r="CP82" s="362"/>
      <c r="CQ82" s="362"/>
      <c r="CR82" s="362"/>
      <c r="CS82" s="362"/>
      <c r="CT82" s="362"/>
      <c r="CU82" s="362"/>
      <c r="CV82" s="362"/>
      <c r="CW82" s="362"/>
      <c r="CX82" s="362"/>
      <c r="CY82" s="362"/>
      <c r="CZ82" s="362"/>
      <c r="DA82" s="362"/>
      <c r="DB82" s="362"/>
      <c r="DC82" s="362"/>
      <c r="DD82" s="362"/>
      <c r="DE82" s="362"/>
      <c r="DF82" s="362"/>
      <c r="DG82" s="362"/>
      <c r="DH82" s="362"/>
      <c r="DI82" s="362"/>
      <c r="DJ82" s="362"/>
      <c r="DK82" s="362"/>
      <c r="DL82" s="362"/>
      <c r="DM82" s="362"/>
      <c r="DN82" s="362"/>
      <c r="DO82" s="360"/>
      <c r="DP82" s="310"/>
      <c r="DQ82" s="310"/>
      <c r="DR82" s="310"/>
      <c r="DS82" s="310"/>
      <c r="DT82" s="310"/>
      <c r="DU82" s="310"/>
      <c r="DV82" s="310"/>
      <c r="DW82" s="310"/>
      <c r="DX82" s="310"/>
    </row>
    <row r="83" spans="1:128" s="63" customFormat="1">
      <c r="A83" s="376"/>
      <c r="B83" s="374" t="s">
        <v>397</v>
      </c>
      <c r="C83" s="357"/>
      <c r="D83" s="375">
        <f>ROUNDUP(41.89,0)</f>
        <v>42</v>
      </c>
      <c r="E83" s="375"/>
      <c r="F83" s="357"/>
      <c r="G83" s="357"/>
      <c r="H83" s="357"/>
      <c r="I83" s="357"/>
      <c r="J83" s="357"/>
      <c r="K83" s="357"/>
      <c r="L83" s="357"/>
      <c r="M83" s="357"/>
      <c r="N83" s="357"/>
      <c r="O83" s="357"/>
      <c r="P83" s="362"/>
      <c r="Q83" s="362"/>
      <c r="R83" s="362"/>
      <c r="S83" s="362"/>
      <c r="T83" s="360"/>
      <c r="U83" s="361">
        <f>ROUNDUP(((16+1.4)*3.5)-(BS7+CB7),0)</f>
        <v>50</v>
      </c>
      <c r="V83" s="361"/>
      <c r="W83" s="361"/>
      <c r="X83" s="357"/>
      <c r="Y83" s="357"/>
      <c r="Z83" s="357"/>
      <c r="AA83" s="357"/>
      <c r="AB83" s="357"/>
      <c r="AC83" s="357">
        <f>ROUNDUP(((5.6+(1.5*2)+(0.3*2))*3.8)-CB7,0)</f>
        <v>27</v>
      </c>
      <c r="AD83" s="361">
        <f>ROUNDUP((27.4*3.5)-(BS7+CB7),0)</f>
        <v>85</v>
      </c>
      <c r="AE83" s="357"/>
      <c r="AF83" s="357"/>
      <c r="AG83" s="357"/>
      <c r="AH83" s="357"/>
      <c r="AI83" s="357"/>
      <c r="AJ83" s="357"/>
      <c r="AK83" s="357"/>
      <c r="AL83" s="357"/>
      <c r="AM83" s="357"/>
      <c r="AN83" s="357"/>
      <c r="AO83" s="357"/>
      <c r="AP83" s="357"/>
      <c r="AQ83" s="357">
        <f>ROUNDUP((BS9+CB9)+(3.5*2),0)</f>
        <v>16</v>
      </c>
      <c r="AR83" s="357"/>
      <c r="AS83" s="362"/>
      <c r="AT83" s="360">
        <f>ROUNDUP(BS8+CB8,0)</f>
        <v>12</v>
      </c>
      <c r="AU83" s="374">
        <f t="shared" si="17"/>
        <v>42</v>
      </c>
      <c r="AV83" s="357"/>
      <c r="AW83" s="357"/>
      <c r="AX83" s="357"/>
      <c r="AY83" s="360"/>
      <c r="AZ83" s="363">
        <f t="shared" si="14"/>
        <v>85</v>
      </c>
      <c r="BA83" s="357">
        <f t="shared" si="18"/>
        <v>27</v>
      </c>
      <c r="BB83" s="362"/>
      <c r="BC83" s="365">
        <f t="shared" si="15"/>
        <v>42</v>
      </c>
      <c r="BD83" s="361"/>
      <c r="BE83" s="357"/>
      <c r="BF83" s="357"/>
      <c r="BG83" s="357"/>
      <c r="BH83" s="357"/>
      <c r="BI83" s="357"/>
      <c r="BJ83" s="357"/>
      <c r="BK83" s="375"/>
      <c r="BL83" s="357"/>
      <c r="BM83" s="357"/>
      <c r="BN83" s="357"/>
      <c r="BO83" s="357"/>
      <c r="BP83" s="357"/>
      <c r="BQ83" s="357"/>
      <c r="BR83" s="357"/>
      <c r="BS83" s="375">
        <v>1</v>
      </c>
      <c r="BT83" s="357"/>
      <c r="BU83" s="357"/>
      <c r="BV83" s="357"/>
      <c r="BW83" s="357"/>
      <c r="BX83" s="357"/>
      <c r="BY83" s="357"/>
      <c r="BZ83" s="357"/>
      <c r="CA83" s="357"/>
      <c r="CB83" s="375">
        <v>1</v>
      </c>
      <c r="CC83" s="375"/>
      <c r="CD83" s="357"/>
      <c r="CE83" s="357"/>
      <c r="CF83" s="357"/>
      <c r="CG83" s="357"/>
      <c r="CH83" s="357"/>
      <c r="CI83" s="362"/>
      <c r="CJ83" s="362"/>
      <c r="CK83" s="362"/>
      <c r="CL83" s="362"/>
      <c r="CM83" s="362"/>
      <c r="CN83" s="362"/>
      <c r="CO83" s="362"/>
      <c r="CP83" s="362"/>
      <c r="CQ83" s="362"/>
      <c r="CR83" s="362"/>
      <c r="CS83" s="362"/>
      <c r="CT83" s="362"/>
      <c r="CU83" s="362"/>
      <c r="CV83" s="362"/>
      <c r="CW83" s="362"/>
      <c r="CX83" s="362"/>
      <c r="CY83" s="362"/>
      <c r="CZ83" s="362"/>
      <c r="DA83" s="362"/>
      <c r="DB83" s="362"/>
      <c r="DC83" s="362"/>
      <c r="DD83" s="362"/>
      <c r="DE83" s="362"/>
      <c r="DF83" s="362"/>
      <c r="DG83" s="362"/>
      <c r="DH83" s="362"/>
      <c r="DI83" s="362"/>
      <c r="DJ83" s="362"/>
      <c r="DK83" s="362"/>
      <c r="DL83" s="362"/>
      <c r="DM83" s="362"/>
      <c r="DN83" s="362"/>
      <c r="DO83" s="360"/>
      <c r="DP83" s="310"/>
      <c r="DQ83" s="310"/>
      <c r="DR83" s="310"/>
      <c r="DS83" s="310"/>
      <c r="DT83" s="310"/>
      <c r="DU83" s="310"/>
      <c r="DV83" s="310"/>
      <c r="DW83" s="310"/>
      <c r="DX83" s="310"/>
    </row>
    <row r="84" spans="1:128" s="63" customFormat="1">
      <c r="A84" s="376"/>
      <c r="B84" s="374" t="s">
        <v>398</v>
      </c>
      <c r="C84" s="357"/>
      <c r="D84" s="375">
        <f>ROUNDUP(41.86,0)</f>
        <v>42</v>
      </c>
      <c r="E84" s="375"/>
      <c r="F84" s="357"/>
      <c r="G84" s="357"/>
      <c r="H84" s="357"/>
      <c r="I84" s="357"/>
      <c r="J84" s="357"/>
      <c r="K84" s="357"/>
      <c r="L84" s="357"/>
      <c r="M84" s="357"/>
      <c r="N84" s="357"/>
      <c r="O84" s="357"/>
      <c r="P84" s="362"/>
      <c r="Q84" s="362"/>
      <c r="R84" s="362"/>
      <c r="S84" s="362"/>
      <c r="T84" s="360"/>
      <c r="U84" s="361">
        <f>ROUNDUP(((16+1.4)*3.5)-(BS7+CB7),0)</f>
        <v>50</v>
      </c>
      <c r="V84" s="361"/>
      <c r="W84" s="361"/>
      <c r="X84" s="357"/>
      <c r="Y84" s="357"/>
      <c r="Z84" s="357"/>
      <c r="AA84" s="357"/>
      <c r="AB84" s="357"/>
      <c r="AC84" s="357">
        <f>ROUNDUP(((5.6+(1.5*2)+(0.3*2))*3.8)-CB7,0)</f>
        <v>27</v>
      </c>
      <c r="AD84" s="361">
        <f>ROUNDUP((27.4*3.5)-(BS7+CB7),0)</f>
        <v>85</v>
      </c>
      <c r="AE84" s="357"/>
      <c r="AF84" s="357"/>
      <c r="AG84" s="357"/>
      <c r="AH84" s="357"/>
      <c r="AI84" s="357"/>
      <c r="AJ84" s="357"/>
      <c r="AK84" s="357"/>
      <c r="AL84" s="357"/>
      <c r="AM84" s="357"/>
      <c r="AN84" s="357"/>
      <c r="AO84" s="357"/>
      <c r="AP84" s="357"/>
      <c r="AQ84" s="357">
        <f>ROUNDUP((BS9+CB9)+(3.5*2),0)</f>
        <v>16</v>
      </c>
      <c r="AR84" s="357"/>
      <c r="AS84" s="362"/>
      <c r="AT84" s="360">
        <f>ROUNDUP(BS8+CB8,0)</f>
        <v>12</v>
      </c>
      <c r="AU84" s="374">
        <f>D84</f>
        <v>42</v>
      </c>
      <c r="AV84" s="357"/>
      <c r="AW84" s="357"/>
      <c r="AX84" s="357"/>
      <c r="AY84" s="360"/>
      <c r="AZ84" s="363">
        <f t="shared" si="14"/>
        <v>85</v>
      </c>
      <c r="BA84" s="357">
        <f t="shared" si="18"/>
        <v>27</v>
      </c>
      <c r="BB84" s="362"/>
      <c r="BC84" s="365">
        <f t="shared" si="15"/>
        <v>42</v>
      </c>
      <c r="BD84" s="361"/>
      <c r="BE84" s="357"/>
      <c r="BF84" s="357"/>
      <c r="BG84" s="357"/>
      <c r="BH84" s="357"/>
      <c r="BI84" s="357"/>
      <c r="BJ84" s="357"/>
      <c r="BK84" s="375"/>
      <c r="BL84" s="357"/>
      <c r="BM84" s="357"/>
      <c r="BN84" s="357"/>
      <c r="BO84" s="357"/>
      <c r="BP84" s="357"/>
      <c r="BQ84" s="357"/>
      <c r="BR84" s="357"/>
      <c r="BS84" s="375">
        <v>1</v>
      </c>
      <c r="BT84" s="357"/>
      <c r="BU84" s="357"/>
      <c r="BV84" s="357"/>
      <c r="BW84" s="357"/>
      <c r="BX84" s="357"/>
      <c r="BY84" s="357"/>
      <c r="BZ84" s="357"/>
      <c r="CA84" s="357"/>
      <c r="CB84" s="375">
        <v>1</v>
      </c>
      <c r="CC84" s="375"/>
      <c r="CD84" s="357"/>
      <c r="CE84" s="357"/>
      <c r="CF84" s="357"/>
      <c r="CG84" s="357"/>
      <c r="CH84" s="357"/>
      <c r="CI84" s="362"/>
      <c r="CJ84" s="362"/>
      <c r="CK84" s="362"/>
      <c r="CL84" s="362"/>
      <c r="CM84" s="362"/>
      <c r="CN84" s="362"/>
      <c r="CO84" s="362"/>
      <c r="CP84" s="362"/>
      <c r="CQ84" s="362"/>
      <c r="CR84" s="362"/>
      <c r="CS84" s="362"/>
      <c r="CT84" s="362"/>
      <c r="CU84" s="362"/>
      <c r="CV84" s="362"/>
      <c r="CW84" s="362"/>
      <c r="CX84" s="362"/>
      <c r="CY84" s="362"/>
      <c r="CZ84" s="362"/>
      <c r="DA84" s="362"/>
      <c r="DB84" s="362"/>
      <c r="DC84" s="362"/>
      <c r="DD84" s="362"/>
      <c r="DE84" s="362"/>
      <c r="DF84" s="362"/>
      <c r="DG84" s="362"/>
      <c r="DH84" s="362"/>
      <c r="DI84" s="362"/>
      <c r="DJ84" s="362"/>
      <c r="DK84" s="362"/>
      <c r="DL84" s="362"/>
      <c r="DM84" s="362"/>
      <c r="DN84" s="362"/>
      <c r="DO84" s="360"/>
      <c r="DP84" s="310"/>
      <c r="DQ84" s="310"/>
      <c r="DR84" s="310"/>
      <c r="DS84" s="310"/>
      <c r="DT84" s="310"/>
      <c r="DU84" s="310"/>
      <c r="DV84" s="310"/>
      <c r="DW84" s="310"/>
      <c r="DX84" s="310"/>
    </row>
    <row r="85" spans="1:128" s="63" customFormat="1">
      <c r="A85" s="376"/>
      <c r="B85" s="374" t="s">
        <v>401</v>
      </c>
      <c r="C85" s="357"/>
      <c r="D85" s="375">
        <f>ROUNDUP(170.61,0)</f>
        <v>171</v>
      </c>
      <c r="E85" s="375"/>
      <c r="F85" s="357"/>
      <c r="G85" s="357"/>
      <c r="H85" s="357"/>
      <c r="I85" s="357"/>
      <c r="J85" s="357"/>
      <c r="K85" s="357"/>
      <c r="L85" s="357"/>
      <c r="M85" s="357"/>
      <c r="N85" s="357"/>
      <c r="O85" s="357"/>
      <c r="P85" s="362"/>
      <c r="Q85" s="362"/>
      <c r="R85" s="362"/>
      <c r="S85" s="362"/>
      <c r="T85" s="360"/>
      <c r="U85" s="361">
        <f>ROUNDUP(((60.1+5.6)*3.5)-(BT7+(CB7*4)),0)</f>
        <v>191</v>
      </c>
      <c r="V85" s="361"/>
      <c r="W85" s="361"/>
      <c r="X85" s="357"/>
      <c r="Y85" s="357"/>
      <c r="Z85" s="357"/>
      <c r="AA85" s="357"/>
      <c r="AB85" s="357"/>
      <c r="AC85" s="357">
        <f>ROUNDUP(((24.4+(1.5*8)+(0.3*4))*3.8)-(CB7*4),0)</f>
        <v>110</v>
      </c>
      <c r="AD85" s="361">
        <f>ROUNDUP(((66.5+11.2)*3.5)-(BT7+(CB7*4)),0)</f>
        <v>233</v>
      </c>
      <c r="AE85" s="357"/>
      <c r="AF85" s="357"/>
      <c r="AG85" s="357"/>
      <c r="AH85" s="357"/>
      <c r="AI85" s="357"/>
      <c r="AJ85" s="357"/>
      <c r="AK85" s="357"/>
      <c r="AL85" s="357"/>
      <c r="AM85" s="357"/>
      <c r="AN85" s="357"/>
      <c r="AO85" s="357"/>
      <c r="AP85" s="357"/>
      <c r="AQ85" s="357">
        <f>ROUNDUP((BT9+(CB9*4))+(3.5*9),0)</f>
        <v>51</v>
      </c>
      <c r="AR85" s="357"/>
      <c r="AS85" s="362"/>
      <c r="AT85" s="360">
        <f>BT8+(CB8*2)</f>
        <v>22.4</v>
      </c>
      <c r="AU85" s="374">
        <f>D85</f>
        <v>171</v>
      </c>
      <c r="AV85" s="357"/>
      <c r="AW85" s="357"/>
      <c r="AX85" s="357"/>
      <c r="AY85" s="360"/>
      <c r="AZ85" s="361">
        <f t="shared" si="14"/>
        <v>233</v>
      </c>
      <c r="BA85" s="357">
        <f t="shared" si="18"/>
        <v>110</v>
      </c>
      <c r="BB85" s="362"/>
      <c r="BC85" s="365">
        <f t="shared" si="15"/>
        <v>171</v>
      </c>
      <c r="BD85" s="361"/>
      <c r="BE85" s="357"/>
      <c r="BF85" s="357"/>
      <c r="BG85" s="357"/>
      <c r="BH85" s="357"/>
      <c r="BI85" s="357"/>
      <c r="BJ85" s="357"/>
      <c r="BK85" s="375"/>
      <c r="BL85" s="357"/>
      <c r="BM85" s="357"/>
      <c r="BN85" s="357"/>
      <c r="BO85" s="357"/>
      <c r="BP85" s="357"/>
      <c r="BQ85" s="357"/>
      <c r="BR85" s="357"/>
      <c r="BS85" s="357"/>
      <c r="BT85" s="375">
        <v>1</v>
      </c>
      <c r="BU85" s="375"/>
      <c r="BV85" s="357"/>
      <c r="BW85" s="357"/>
      <c r="BX85" s="357"/>
      <c r="BY85" s="357"/>
      <c r="BZ85" s="357"/>
      <c r="CA85" s="357"/>
      <c r="CB85" s="375">
        <v>4</v>
      </c>
      <c r="CC85" s="375"/>
      <c r="CD85" s="357"/>
      <c r="CE85" s="357"/>
      <c r="CF85" s="357"/>
      <c r="CG85" s="357"/>
      <c r="CH85" s="357"/>
      <c r="CI85" s="362"/>
      <c r="CJ85" s="362"/>
      <c r="CK85" s="362"/>
      <c r="CL85" s="362"/>
      <c r="CM85" s="362"/>
      <c r="CN85" s="362"/>
      <c r="CO85" s="362"/>
      <c r="CP85" s="362"/>
      <c r="CQ85" s="362"/>
      <c r="CR85" s="362"/>
      <c r="CS85" s="362"/>
      <c r="CT85" s="362"/>
      <c r="CU85" s="362"/>
      <c r="CV85" s="362"/>
      <c r="CW85" s="362"/>
      <c r="CX85" s="362"/>
      <c r="CY85" s="362"/>
      <c r="CZ85" s="362"/>
      <c r="DA85" s="362"/>
      <c r="DB85" s="362"/>
      <c r="DC85" s="362"/>
      <c r="DD85" s="362"/>
      <c r="DE85" s="362"/>
      <c r="DF85" s="362"/>
      <c r="DG85" s="362"/>
      <c r="DH85" s="362"/>
      <c r="DI85" s="362"/>
      <c r="DJ85" s="362"/>
      <c r="DK85" s="362"/>
      <c r="DL85" s="362"/>
      <c r="DM85" s="362"/>
      <c r="DN85" s="362"/>
      <c r="DO85" s="360"/>
      <c r="DP85" s="310"/>
      <c r="DQ85" s="310"/>
      <c r="DR85" s="310"/>
      <c r="DS85" s="310"/>
      <c r="DT85" s="310"/>
      <c r="DU85" s="310"/>
      <c r="DV85" s="310"/>
      <c r="DW85" s="310"/>
      <c r="DX85" s="310"/>
    </row>
    <row r="86" spans="1:128" s="63" customFormat="1">
      <c r="A86" s="373"/>
      <c r="B86" s="374" t="s">
        <v>366</v>
      </c>
      <c r="C86" s="357"/>
      <c r="D86" s="357"/>
      <c r="E86" s="375">
        <f>ROUNDUP(29.72,0)</f>
        <v>30</v>
      </c>
      <c r="F86" s="357"/>
      <c r="G86" s="357"/>
      <c r="H86" s="375"/>
      <c r="I86" s="357"/>
      <c r="J86" s="357"/>
      <c r="K86" s="357"/>
      <c r="L86" s="357"/>
      <c r="M86" s="357"/>
      <c r="N86" s="357"/>
      <c r="O86" s="357"/>
      <c r="P86" s="362"/>
      <c r="Q86" s="362"/>
      <c r="R86" s="362"/>
      <c r="S86" s="362"/>
      <c r="T86" s="360">
        <f t="shared" ref="T86:T91" si="19">SUM(C86:O86)</f>
        <v>30</v>
      </c>
      <c r="U86" s="361">
        <f>ROUNDUP((26.5*4.7)-(BP7+(CJ7*2)),0)</f>
        <v>119</v>
      </c>
      <c r="V86" s="361"/>
      <c r="W86" s="361"/>
      <c r="X86" s="357"/>
      <c r="Y86" s="357"/>
      <c r="Z86" s="357"/>
      <c r="AA86" s="357"/>
      <c r="AB86" s="357"/>
      <c r="AC86" s="375"/>
      <c r="AD86" s="357">
        <f>ROUNDUP((32*4.7)-(BP7+(CK7*2)),0)</f>
        <v>144</v>
      </c>
      <c r="AE86" s="357"/>
      <c r="AF86" s="357"/>
      <c r="AG86" s="357">
        <f>ROUNDUP((32*2.7)-(BP7+(CK7*2)),0)</f>
        <v>80</v>
      </c>
      <c r="AH86" s="357"/>
      <c r="AI86" s="357"/>
      <c r="AJ86" s="357"/>
      <c r="AK86" s="357"/>
      <c r="AL86" s="357"/>
      <c r="AM86" s="357"/>
      <c r="AN86" s="357"/>
      <c r="AO86" s="357"/>
      <c r="AP86" s="357"/>
      <c r="AQ86" s="357">
        <f>ROUNDUP((5*4.7)+BP9+(CK9*2),0)</f>
        <v>32</v>
      </c>
      <c r="AR86" s="357"/>
      <c r="AS86" s="362"/>
      <c r="AT86" s="360">
        <f>ROUNDUP(BP8+(CK8*2),0)</f>
        <v>12</v>
      </c>
      <c r="AU86" s="361"/>
      <c r="AV86" s="375">
        <f t="shared" ref="AV86:AV91" si="20">E86</f>
        <v>30</v>
      </c>
      <c r="AW86" s="357"/>
      <c r="AX86" s="357"/>
      <c r="AY86" s="360"/>
      <c r="AZ86" s="361"/>
      <c r="BA86" s="357"/>
      <c r="BB86" s="362"/>
      <c r="BC86" s="365">
        <f t="shared" si="15"/>
        <v>30</v>
      </c>
      <c r="BD86" s="361"/>
      <c r="BE86" s="357"/>
      <c r="BF86" s="357"/>
      <c r="BG86" s="357"/>
      <c r="BH86" s="357"/>
      <c r="BI86" s="357"/>
      <c r="BJ86" s="357"/>
      <c r="BK86" s="357"/>
      <c r="BL86" s="357"/>
      <c r="BM86" s="357"/>
      <c r="BN86" s="357"/>
      <c r="BO86" s="357"/>
      <c r="BP86" s="375">
        <v>1</v>
      </c>
      <c r="BQ86" s="375"/>
      <c r="BR86" s="357"/>
      <c r="BS86" s="357"/>
      <c r="BT86" s="357"/>
      <c r="BU86" s="357"/>
      <c r="BV86" s="357"/>
      <c r="BW86" s="357"/>
      <c r="BX86" s="357"/>
      <c r="BY86" s="357"/>
      <c r="BZ86" s="357"/>
      <c r="CA86" s="357"/>
      <c r="CB86" s="357"/>
      <c r="CC86" s="357"/>
      <c r="CD86" s="357"/>
      <c r="CE86" s="357"/>
      <c r="CF86" s="357"/>
      <c r="CG86" s="357"/>
      <c r="CH86" s="357"/>
      <c r="CI86" s="362"/>
      <c r="CJ86" s="378"/>
      <c r="CK86" s="378">
        <v>2</v>
      </c>
      <c r="CL86" s="362"/>
      <c r="CM86" s="362"/>
      <c r="CN86" s="362"/>
      <c r="CO86" s="362"/>
      <c r="CP86" s="362"/>
      <c r="CQ86" s="362"/>
      <c r="CR86" s="362"/>
      <c r="CS86" s="362"/>
      <c r="CT86" s="362"/>
      <c r="CU86" s="362"/>
      <c r="CV86" s="362"/>
      <c r="CW86" s="362"/>
      <c r="CX86" s="362"/>
      <c r="CY86" s="362"/>
      <c r="CZ86" s="362"/>
      <c r="DA86" s="362"/>
      <c r="DB86" s="362"/>
      <c r="DC86" s="362"/>
      <c r="DD86" s="362"/>
      <c r="DE86" s="362"/>
      <c r="DF86" s="362"/>
      <c r="DG86" s="362"/>
      <c r="DH86" s="362"/>
      <c r="DI86" s="362"/>
      <c r="DJ86" s="362"/>
      <c r="DK86" s="362"/>
      <c r="DL86" s="362"/>
      <c r="DM86" s="362"/>
      <c r="DN86" s="362"/>
      <c r="DO86" s="360"/>
      <c r="DP86" s="310"/>
      <c r="DQ86" s="310"/>
      <c r="DR86" s="310"/>
      <c r="DS86" s="310"/>
      <c r="DT86" s="310"/>
      <c r="DU86" s="310"/>
      <c r="DV86" s="310"/>
      <c r="DW86" s="310"/>
      <c r="DX86" s="310"/>
    </row>
    <row r="87" spans="1:128" s="63" customFormat="1">
      <c r="A87" s="373"/>
      <c r="B87" s="374" t="s">
        <v>367</v>
      </c>
      <c r="C87" s="357"/>
      <c r="D87" s="357"/>
      <c r="E87" s="375">
        <f>ROUNDUP(29.65,0)</f>
        <v>30</v>
      </c>
      <c r="F87" s="357"/>
      <c r="G87" s="357"/>
      <c r="H87" s="375"/>
      <c r="I87" s="357"/>
      <c r="J87" s="357"/>
      <c r="K87" s="357"/>
      <c r="L87" s="357"/>
      <c r="M87" s="357"/>
      <c r="N87" s="357"/>
      <c r="O87" s="357"/>
      <c r="P87" s="362"/>
      <c r="Q87" s="362"/>
      <c r="R87" s="362"/>
      <c r="S87" s="362"/>
      <c r="T87" s="360">
        <f t="shared" si="19"/>
        <v>30</v>
      </c>
      <c r="U87" s="361">
        <f>ROUNDUP((22.4*4.7)-(BP7+(CK7*2)),0)</f>
        <v>99</v>
      </c>
      <c r="V87" s="361"/>
      <c r="W87" s="361"/>
      <c r="X87" s="357"/>
      <c r="Y87" s="357"/>
      <c r="Z87" s="357"/>
      <c r="AA87" s="357"/>
      <c r="AB87" s="357"/>
      <c r="AC87" s="375"/>
      <c r="AD87" s="357">
        <f>ROUNDUP((22.4*4.7)-(BP7+(CK7*2)),0)</f>
        <v>99</v>
      </c>
      <c r="AE87" s="357"/>
      <c r="AF87" s="357"/>
      <c r="AG87" s="357">
        <f>ROUNDUP((24*2.7)-(BP7+(CJ7*2)),0)</f>
        <v>60</v>
      </c>
      <c r="AH87" s="357"/>
      <c r="AI87" s="357"/>
      <c r="AJ87" s="357"/>
      <c r="AK87" s="357"/>
      <c r="AL87" s="357"/>
      <c r="AM87" s="357"/>
      <c r="AN87" s="357"/>
      <c r="AO87" s="357"/>
      <c r="AP87" s="357"/>
      <c r="AQ87" s="357">
        <f>ROUNDUP((4*4.7)+BP9+(CK9*2),0)</f>
        <v>28</v>
      </c>
      <c r="AR87" s="357"/>
      <c r="AS87" s="362"/>
      <c r="AT87" s="360">
        <f>ROUNDUP(BP8+(CK8*2),0)</f>
        <v>12</v>
      </c>
      <c r="AU87" s="361"/>
      <c r="AV87" s="375">
        <f t="shared" si="20"/>
        <v>30</v>
      </c>
      <c r="AW87" s="357"/>
      <c r="AX87" s="357"/>
      <c r="AY87" s="360"/>
      <c r="AZ87" s="361"/>
      <c r="BA87" s="357"/>
      <c r="BB87" s="362"/>
      <c r="BC87" s="365">
        <f t="shared" si="15"/>
        <v>30</v>
      </c>
      <c r="BD87" s="361"/>
      <c r="BE87" s="357"/>
      <c r="BF87" s="357"/>
      <c r="BG87" s="357"/>
      <c r="BH87" s="357"/>
      <c r="BI87" s="357"/>
      <c r="BJ87" s="357"/>
      <c r="BK87" s="357"/>
      <c r="BL87" s="357"/>
      <c r="BM87" s="357"/>
      <c r="BN87" s="357"/>
      <c r="BO87" s="357"/>
      <c r="BP87" s="375">
        <v>1</v>
      </c>
      <c r="BQ87" s="375"/>
      <c r="BR87" s="357"/>
      <c r="BS87" s="357"/>
      <c r="BT87" s="357"/>
      <c r="BU87" s="357"/>
      <c r="BV87" s="357"/>
      <c r="BW87" s="357"/>
      <c r="BX87" s="357"/>
      <c r="BY87" s="357"/>
      <c r="BZ87" s="357"/>
      <c r="CA87" s="357"/>
      <c r="CB87" s="357"/>
      <c r="CC87" s="357"/>
      <c r="CD87" s="357"/>
      <c r="CE87" s="357"/>
      <c r="CF87" s="357"/>
      <c r="CG87" s="357"/>
      <c r="CH87" s="357"/>
      <c r="CI87" s="362"/>
      <c r="CJ87" s="378"/>
      <c r="CK87" s="378">
        <v>2</v>
      </c>
      <c r="CL87" s="362"/>
      <c r="CM87" s="362"/>
      <c r="CN87" s="362"/>
      <c r="CO87" s="362"/>
      <c r="CP87" s="362"/>
      <c r="CQ87" s="362"/>
      <c r="CR87" s="362"/>
      <c r="CS87" s="362"/>
      <c r="CT87" s="362"/>
      <c r="CU87" s="362"/>
      <c r="CV87" s="362"/>
      <c r="CW87" s="362"/>
      <c r="CX87" s="362"/>
      <c r="CY87" s="362"/>
      <c r="CZ87" s="362"/>
      <c r="DA87" s="362"/>
      <c r="DB87" s="362"/>
      <c r="DC87" s="362"/>
      <c r="DD87" s="362"/>
      <c r="DE87" s="362"/>
      <c r="DF87" s="362"/>
      <c r="DG87" s="362"/>
      <c r="DH87" s="362"/>
      <c r="DI87" s="362"/>
      <c r="DJ87" s="362"/>
      <c r="DK87" s="362"/>
      <c r="DL87" s="362"/>
      <c r="DM87" s="362"/>
      <c r="DN87" s="362"/>
      <c r="DO87" s="360"/>
      <c r="DP87" s="310"/>
      <c r="DQ87" s="310"/>
      <c r="DR87" s="310"/>
      <c r="DS87" s="310"/>
      <c r="DT87" s="310"/>
      <c r="DU87" s="310"/>
      <c r="DV87" s="310"/>
      <c r="DW87" s="310"/>
      <c r="DX87" s="310"/>
    </row>
    <row r="88" spans="1:128" s="63" customFormat="1">
      <c r="A88" s="376"/>
      <c r="B88" s="374" t="s">
        <v>368</v>
      </c>
      <c r="C88" s="357"/>
      <c r="D88" s="357"/>
      <c r="E88" s="375">
        <f>ROUNDUP(7.8,0)</f>
        <v>8</v>
      </c>
      <c r="F88" s="357"/>
      <c r="G88" s="357"/>
      <c r="H88" s="375"/>
      <c r="I88" s="357"/>
      <c r="J88" s="357"/>
      <c r="K88" s="357"/>
      <c r="L88" s="357"/>
      <c r="M88" s="357"/>
      <c r="N88" s="357"/>
      <c r="O88" s="357"/>
      <c r="P88" s="362"/>
      <c r="Q88" s="362"/>
      <c r="R88" s="362"/>
      <c r="S88" s="362"/>
      <c r="T88" s="360">
        <f t="shared" si="19"/>
        <v>8</v>
      </c>
      <c r="U88" s="361">
        <f>ROUNDUP((5*4.7)-BQ7,0)</f>
        <v>21</v>
      </c>
      <c r="V88" s="361"/>
      <c r="W88" s="361"/>
      <c r="X88" s="357"/>
      <c r="Y88" s="357"/>
      <c r="Z88" s="357"/>
      <c r="AA88" s="357"/>
      <c r="AB88" s="357"/>
      <c r="AC88" s="375"/>
      <c r="AD88" s="361">
        <f>ROUNDUP((12.83*4.7)-BQ7,0)</f>
        <v>58</v>
      </c>
      <c r="AE88" s="357"/>
      <c r="AF88" s="357"/>
      <c r="AG88" s="361">
        <f>ROUNDUP((12.83*2.7)-BQ7,0)</f>
        <v>33</v>
      </c>
      <c r="AH88" s="357"/>
      <c r="AI88" s="357"/>
      <c r="AJ88" s="357"/>
      <c r="AK88" s="357"/>
      <c r="AL88" s="357"/>
      <c r="AM88" s="357"/>
      <c r="AN88" s="357"/>
      <c r="AO88" s="357"/>
      <c r="AP88" s="357"/>
      <c r="AQ88" s="357">
        <f>BQ9</f>
        <v>5</v>
      </c>
      <c r="AR88" s="357"/>
      <c r="AS88" s="362"/>
      <c r="AT88" s="360">
        <f>BQ8</f>
        <v>1</v>
      </c>
      <c r="AU88" s="361"/>
      <c r="AV88" s="375">
        <f t="shared" si="20"/>
        <v>8</v>
      </c>
      <c r="AW88" s="357"/>
      <c r="AX88" s="357"/>
      <c r="AY88" s="360"/>
      <c r="AZ88" s="361"/>
      <c r="BA88" s="357"/>
      <c r="BB88" s="362"/>
      <c r="BC88" s="365">
        <f t="shared" si="15"/>
        <v>8</v>
      </c>
      <c r="BD88" s="361"/>
      <c r="BE88" s="357"/>
      <c r="BF88" s="357"/>
      <c r="BG88" s="357"/>
      <c r="BH88" s="357"/>
      <c r="BI88" s="357"/>
      <c r="BJ88" s="357"/>
      <c r="BK88" s="357"/>
      <c r="BL88" s="357"/>
      <c r="BM88" s="357"/>
      <c r="BN88" s="357"/>
      <c r="BO88" s="357"/>
      <c r="BP88" s="375"/>
      <c r="BQ88" s="375">
        <v>1</v>
      </c>
      <c r="BR88" s="357"/>
      <c r="BS88" s="357"/>
      <c r="BT88" s="357"/>
      <c r="BU88" s="357"/>
      <c r="BV88" s="357"/>
      <c r="BW88" s="357"/>
      <c r="BX88" s="357"/>
      <c r="BY88" s="357"/>
      <c r="BZ88" s="357"/>
      <c r="CA88" s="357"/>
      <c r="CB88" s="357"/>
      <c r="CC88" s="357"/>
      <c r="CD88" s="357"/>
      <c r="CE88" s="357"/>
      <c r="CF88" s="357"/>
      <c r="CG88" s="357"/>
      <c r="CH88" s="357"/>
      <c r="CI88" s="362"/>
      <c r="CJ88" s="378"/>
      <c r="CK88" s="378"/>
      <c r="CL88" s="362"/>
      <c r="CM88" s="362"/>
      <c r="CN88" s="362"/>
      <c r="CO88" s="362"/>
      <c r="CP88" s="362"/>
      <c r="CQ88" s="362"/>
      <c r="CR88" s="362"/>
      <c r="CS88" s="362"/>
      <c r="CT88" s="362"/>
      <c r="CU88" s="362"/>
      <c r="CV88" s="362"/>
      <c r="CW88" s="362"/>
      <c r="CX88" s="362"/>
      <c r="CY88" s="362"/>
      <c r="CZ88" s="362"/>
      <c r="DA88" s="362"/>
      <c r="DB88" s="362"/>
      <c r="DC88" s="362"/>
      <c r="DD88" s="362"/>
      <c r="DE88" s="362"/>
      <c r="DF88" s="362"/>
      <c r="DG88" s="362"/>
      <c r="DH88" s="362"/>
      <c r="DI88" s="362"/>
      <c r="DJ88" s="362"/>
      <c r="DK88" s="362"/>
      <c r="DL88" s="362"/>
      <c r="DM88" s="362"/>
      <c r="DN88" s="362"/>
      <c r="DO88" s="360"/>
      <c r="DP88" s="310"/>
      <c r="DQ88" s="310"/>
      <c r="DR88" s="310"/>
      <c r="DS88" s="310"/>
      <c r="DT88" s="310"/>
      <c r="DU88" s="310"/>
      <c r="DV88" s="310"/>
      <c r="DW88" s="310"/>
      <c r="DX88" s="310"/>
    </row>
    <row r="89" spans="1:128" s="63" customFormat="1">
      <c r="A89" s="376"/>
      <c r="B89" s="374" t="s">
        <v>369</v>
      </c>
      <c r="C89" s="357"/>
      <c r="D89" s="357"/>
      <c r="E89" s="375">
        <f>ROUNDUP(27.98,0)</f>
        <v>28</v>
      </c>
      <c r="F89" s="357"/>
      <c r="G89" s="357"/>
      <c r="H89" s="375"/>
      <c r="I89" s="357"/>
      <c r="J89" s="357"/>
      <c r="K89" s="357"/>
      <c r="L89" s="357"/>
      <c r="M89" s="357"/>
      <c r="N89" s="357"/>
      <c r="O89" s="357"/>
      <c r="P89" s="362"/>
      <c r="Q89" s="362"/>
      <c r="R89" s="362"/>
      <c r="S89" s="362"/>
      <c r="T89" s="360">
        <f t="shared" si="19"/>
        <v>28</v>
      </c>
      <c r="U89" s="361">
        <f>ROUNDUP((23*4.7)-(BH7+BP7),0)</f>
        <v>104</v>
      </c>
      <c r="V89" s="361"/>
      <c r="W89" s="361"/>
      <c r="X89" s="357"/>
      <c r="Y89" s="357"/>
      <c r="Z89" s="357"/>
      <c r="AA89" s="357"/>
      <c r="AB89" s="357"/>
      <c r="AC89" s="375"/>
      <c r="AD89" s="357">
        <f>ROUNDUP((23*4.7)-(BH7+BP7),0)</f>
        <v>104</v>
      </c>
      <c r="AE89" s="357"/>
      <c r="AF89" s="357"/>
      <c r="AG89" s="357">
        <f>ROUNDUP((23*2.7)-(BH7+BP7),0)</f>
        <v>58</v>
      </c>
      <c r="AH89" s="357"/>
      <c r="AI89" s="357"/>
      <c r="AJ89" s="357"/>
      <c r="AK89" s="357"/>
      <c r="AL89" s="357"/>
      <c r="AM89" s="357"/>
      <c r="AN89" s="357"/>
      <c r="AO89" s="357"/>
      <c r="AP89" s="357"/>
      <c r="AQ89" s="357">
        <f>ROUNDUP((8*4.7)+BH9+BP9,0)</f>
        <v>47</v>
      </c>
      <c r="AR89" s="357"/>
      <c r="AS89" s="362"/>
      <c r="AT89" s="360">
        <f>ROUNDUP(BH8+BP8,0)</f>
        <v>3</v>
      </c>
      <c r="AU89" s="361"/>
      <c r="AV89" s="375">
        <f t="shared" si="20"/>
        <v>28</v>
      </c>
      <c r="AW89" s="357"/>
      <c r="AX89" s="357"/>
      <c r="AY89" s="360"/>
      <c r="AZ89" s="361"/>
      <c r="BA89" s="357"/>
      <c r="BB89" s="362"/>
      <c r="BC89" s="365">
        <f t="shared" si="15"/>
        <v>28</v>
      </c>
      <c r="BD89" s="361"/>
      <c r="BE89" s="357"/>
      <c r="BF89" s="357"/>
      <c r="BG89" s="357"/>
      <c r="BH89" s="357"/>
      <c r="BI89" s="357"/>
      <c r="BJ89" s="357"/>
      <c r="BK89" s="357"/>
      <c r="BL89" s="357"/>
      <c r="BM89" s="357"/>
      <c r="BN89" s="357"/>
      <c r="BO89" s="357"/>
      <c r="BP89" s="375">
        <v>1</v>
      </c>
      <c r="BQ89" s="375"/>
      <c r="BR89" s="357"/>
      <c r="BS89" s="357"/>
      <c r="BT89" s="357"/>
      <c r="BU89" s="357"/>
      <c r="BV89" s="357"/>
      <c r="BW89" s="357"/>
      <c r="BX89" s="357"/>
      <c r="BY89" s="357"/>
      <c r="BZ89" s="357"/>
      <c r="CA89" s="357"/>
      <c r="CB89" s="357"/>
      <c r="CC89" s="357"/>
      <c r="CD89" s="357"/>
      <c r="CE89" s="357"/>
      <c r="CF89" s="357"/>
      <c r="CG89" s="357"/>
      <c r="CH89" s="357"/>
      <c r="CI89" s="362"/>
      <c r="CJ89" s="378"/>
      <c r="CK89" s="378"/>
      <c r="CL89" s="362"/>
      <c r="CM89" s="362"/>
      <c r="CN89" s="362"/>
      <c r="CO89" s="362"/>
      <c r="CP89" s="362"/>
      <c r="CQ89" s="362"/>
      <c r="CR89" s="362"/>
      <c r="CS89" s="362"/>
      <c r="CT89" s="362"/>
      <c r="CU89" s="362"/>
      <c r="CV89" s="362"/>
      <c r="CW89" s="362"/>
      <c r="CX89" s="362"/>
      <c r="CY89" s="362"/>
      <c r="CZ89" s="362"/>
      <c r="DA89" s="362"/>
      <c r="DB89" s="362"/>
      <c r="DC89" s="362"/>
      <c r="DD89" s="362"/>
      <c r="DE89" s="362"/>
      <c r="DF89" s="362"/>
      <c r="DG89" s="362"/>
      <c r="DH89" s="362"/>
      <c r="DI89" s="362"/>
      <c r="DJ89" s="362"/>
      <c r="DK89" s="362"/>
      <c r="DL89" s="362"/>
      <c r="DM89" s="362"/>
      <c r="DN89" s="362"/>
      <c r="DO89" s="360"/>
      <c r="DP89" s="310"/>
      <c r="DQ89" s="310"/>
      <c r="DR89" s="310"/>
      <c r="DS89" s="310"/>
      <c r="DT89" s="310"/>
      <c r="DU89" s="310"/>
      <c r="DV89" s="310"/>
      <c r="DW89" s="310"/>
      <c r="DX89" s="310"/>
    </row>
    <row r="90" spans="1:128" s="63" customFormat="1">
      <c r="A90" s="376"/>
      <c r="B90" s="374" t="s">
        <v>1359</v>
      </c>
      <c r="C90" s="357"/>
      <c r="D90" s="357"/>
      <c r="E90" s="375">
        <f>ROUNDUP(7.7,0)</f>
        <v>8</v>
      </c>
      <c r="F90" s="357"/>
      <c r="G90" s="357"/>
      <c r="H90" s="375"/>
      <c r="I90" s="357"/>
      <c r="J90" s="357"/>
      <c r="K90" s="357"/>
      <c r="L90" s="357"/>
      <c r="M90" s="357"/>
      <c r="N90" s="357"/>
      <c r="O90" s="357"/>
      <c r="P90" s="362"/>
      <c r="Q90" s="362"/>
      <c r="R90" s="362"/>
      <c r="S90" s="362"/>
      <c r="T90" s="360">
        <f t="shared" si="19"/>
        <v>8</v>
      </c>
      <c r="U90" s="361">
        <f>ROUNDUP((12*4.7)-(BH7+CL7),0)</f>
        <v>54</v>
      </c>
      <c r="V90" s="361"/>
      <c r="W90" s="361"/>
      <c r="X90" s="357"/>
      <c r="Y90" s="357"/>
      <c r="Z90" s="357"/>
      <c r="AA90" s="357"/>
      <c r="AB90" s="357"/>
      <c r="AC90" s="375"/>
      <c r="AD90" s="357">
        <f>ROUNDUP((12*4.7)-(BH7+CL7),0)</f>
        <v>54</v>
      </c>
      <c r="AE90" s="357"/>
      <c r="AF90" s="357"/>
      <c r="AG90" s="357">
        <f>ROUNDUP((12*2.7)-(BH7+CL7),0)</f>
        <v>30</v>
      </c>
      <c r="AH90" s="357"/>
      <c r="AI90" s="357"/>
      <c r="AJ90" s="357"/>
      <c r="AK90" s="357"/>
      <c r="AL90" s="357"/>
      <c r="AM90" s="357"/>
      <c r="AN90" s="357"/>
      <c r="AO90" s="357"/>
      <c r="AP90" s="357"/>
      <c r="AQ90" s="357">
        <f>(BH9+CL9)+(4.7*3)</f>
        <v>19.5</v>
      </c>
      <c r="AR90" s="357"/>
      <c r="AS90" s="362"/>
      <c r="AT90" s="360">
        <f>BH8+CL8</f>
        <v>4.2</v>
      </c>
      <c r="AU90" s="361"/>
      <c r="AV90" s="375">
        <f t="shared" si="20"/>
        <v>8</v>
      </c>
      <c r="AW90" s="357"/>
      <c r="AX90" s="357"/>
      <c r="AY90" s="360"/>
      <c r="AZ90" s="361"/>
      <c r="BA90" s="357">
        <f>AC90</f>
        <v>0</v>
      </c>
      <c r="BB90" s="362"/>
      <c r="BC90" s="365">
        <f t="shared" si="15"/>
        <v>8</v>
      </c>
      <c r="BD90" s="361"/>
      <c r="BE90" s="357"/>
      <c r="BF90" s="357"/>
      <c r="BG90" s="357"/>
      <c r="BH90" s="357">
        <v>1</v>
      </c>
      <c r="BI90" s="357"/>
      <c r="BJ90" s="357"/>
      <c r="BK90" s="357"/>
      <c r="BL90" s="357"/>
      <c r="BM90" s="357"/>
      <c r="BN90" s="357"/>
      <c r="BO90" s="357"/>
      <c r="BP90" s="375"/>
      <c r="BQ90" s="375"/>
      <c r="BR90" s="375"/>
      <c r="BS90" s="357"/>
      <c r="BT90" s="357"/>
      <c r="BU90" s="357"/>
      <c r="BV90" s="357"/>
      <c r="BW90" s="357"/>
      <c r="BX90" s="357"/>
      <c r="BY90" s="357"/>
      <c r="BZ90" s="357"/>
      <c r="CA90" s="357"/>
      <c r="CB90" s="357"/>
      <c r="CC90" s="357"/>
      <c r="CD90" s="357"/>
      <c r="CE90" s="357"/>
      <c r="CF90" s="357"/>
      <c r="CG90" s="357"/>
      <c r="CH90" s="357"/>
      <c r="CI90" s="362"/>
      <c r="CJ90" s="378"/>
      <c r="CK90" s="378"/>
      <c r="CL90" s="378"/>
      <c r="CM90" s="378">
        <v>1</v>
      </c>
      <c r="CN90" s="362"/>
      <c r="CO90" s="362"/>
      <c r="CP90" s="362"/>
      <c r="CQ90" s="362"/>
      <c r="CR90" s="362"/>
      <c r="CS90" s="362"/>
      <c r="CT90" s="362"/>
      <c r="CU90" s="362"/>
      <c r="CV90" s="362"/>
      <c r="CW90" s="362"/>
      <c r="CX90" s="362"/>
      <c r="CY90" s="362"/>
      <c r="CZ90" s="362"/>
      <c r="DA90" s="362"/>
      <c r="DB90" s="362"/>
      <c r="DC90" s="362"/>
      <c r="DD90" s="362"/>
      <c r="DE90" s="362"/>
      <c r="DF90" s="362"/>
      <c r="DG90" s="362"/>
      <c r="DH90" s="362"/>
      <c r="DI90" s="362"/>
      <c r="DJ90" s="362"/>
      <c r="DK90" s="362"/>
      <c r="DL90" s="362"/>
      <c r="DM90" s="362"/>
      <c r="DN90" s="362"/>
      <c r="DO90" s="360"/>
      <c r="DP90" s="310"/>
      <c r="DQ90" s="310"/>
      <c r="DR90" s="310"/>
      <c r="DS90" s="310"/>
      <c r="DT90" s="310"/>
      <c r="DU90" s="310"/>
      <c r="DV90" s="310"/>
      <c r="DW90" s="310"/>
      <c r="DX90" s="310"/>
    </row>
    <row r="91" spans="1:128" s="63" customFormat="1">
      <c r="A91" s="376"/>
      <c r="B91" s="374" t="s">
        <v>370</v>
      </c>
      <c r="C91" s="357"/>
      <c r="D91" s="357"/>
      <c r="E91" s="375">
        <f>ROUNDUP(56.46,0)</f>
        <v>57</v>
      </c>
      <c r="F91" s="357"/>
      <c r="G91" s="357"/>
      <c r="H91" s="375"/>
      <c r="I91" s="357"/>
      <c r="J91" s="357"/>
      <c r="K91" s="357"/>
      <c r="L91" s="357"/>
      <c r="M91" s="357"/>
      <c r="N91" s="357"/>
      <c r="O91" s="357"/>
      <c r="P91" s="362"/>
      <c r="Q91" s="362"/>
      <c r="R91" s="362"/>
      <c r="S91" s="362"/>
      <c r="T91" s="360">
        <f t="shared" si="19"/>
        <v>57</v>
      </c>
      <c r="U91" s="361">
        <f>ROUNDUP((32*4.7)-(BP7+(CK7*2)),0)</f>
        <v>144</v>
      </c>
      <c r="V91" s="361"/>
      <c r="W91" s="361"/>
      <c r="X91" s="357"/>
      <c r="Y91" s="357"/>
      <c r="Z91" s="357"/>
      <c r="AA91" s="357"/>
      <c r="AB91" s="357"/>
      <c r="AC91" s="357"/>
      <c r="AD91" s="357">
        <f>ROUNDUP((32*4.7)-(BP7+(CK7*2)),0)</f>
        <v>144</v>
      </c>
      <c r="AE91" s="357"/>
      <c r="AF91" s="357"/>
      <c r="AG91" s="357">
        <f>ROUNDUP((32*2.7)-(BP7+(CJ7*2)),0)</f>
        <v>81</v>
      </c>
      <c r="AH91" s="357"/>
      <c r="AI91" s="357"/>
      <c r="AJ91" s="357"/>
      <c r="AK91" s="357"/>
      <c r="AL91" s="357"/>
      <c r="AM91" s="357"/>
      <c r="AN91" s="357"/>
      <c r="AO91" s="357"/>
      <c r="AP91" s="357"/>
      <c r="AQ91" s="357">
        <f>ROUNDUP(((3*4.7)+BP9+(CK9*2)),0)</f>
        <v>23</v>
      </c>
      <c r="AR91" s="357"/>
      <c r="AS91" s="362"/>
      <c r="AT91" s="360">
        <f>ROUNDUP(BP8+(CK8*2),0)</f>
        <v>12</v>
      </c>
      <c r="AU91" s="361"/>
      <c r="AV91" s="375">
        <f t="shared" si="20"/>
        <v>57</v>
      </c>
      <c r="AW91" s="357"/>
      <c r="AX91" s="357"/>
      <c r="AY91" s="360"/>
      <c r="AZ91" s="361"/>
      <c r="BA91" s="357"/>
      <c r="BB91" s="362"/>
      <c r="BC91" s="365">
        <f t="shared" si="15"/>
        <v>57</v>
      </c>
      <c r="BD91" s="361"/>
      <c r="BE91" s="357"/>
      <c r="BF91" s="357"/>
      <c r="BG91" s="357"/>
      <c r="BH91" s="357"/>
      <c r="BI91" s="357"/>
      <c r="BJ91" s="357"/>
      <c r="BK91" s="357"/>
      <c r="BL91" s="357"/>
      <c r="BM91" s="357"/>
      <c r="BN91" s="357"/>
      <c r="BO91" s="357"/>
      <c r="BP91" s="375">
        <v>1</v>
      </c>
      <c r="BQ91" s="375"/>
      <c r="BR91" s="357"/>
      <c r="BS91" s="357"/>
      <c r="BT91" s="357"/>
      <c r="BU91" s="357"/>
      <c r="BV91" s="357"/>
      <c r="BW91" s="357"/>
      <c r="BX91" s="357"/>
      <c r="BY91" s="357"/>
      <c r="BZ91" s="357"/>
      <c r="CA91" s="357"/>
      <c r="CB91" s="357"/>
      <c r="CC91" s="357"/>
      <c r="CD91" s="357"/>
      <c r="CE91" s="357"/>
      <c r="CF91" s="357"/>
      <c r="CG91" s="357"/>
      <c r="CH91" s="357"/>
      <c r="CI91" s="362"/>
      <c r="CJ91" s="378"/>
      <c r="CK91" s="378">
        <v>2</v>
      </c>
      <c r="CL91" s="362"/>
      <c r="CM91" s="362"/>
      <c r="CN91" s="362"/>
      <c r="CO91" s="362"/>
      <c r="CP91" s="362"/>
      <c r="CQ91" s="362"/>
      <c r="CR91" s="362"/>
      <c r="CS91" s="362"/>
      <c r="CT91" s="362"/>
      <c r="CU91" s="362"/>
      <c r="CV91" s="362"/>
      <c r="CW91" s="362"/>
      <c r="CX91" s="362"/>
      <c r="CY91" s="362"/>
      <c r="CZ91" s="362"/>
      <c r="DA91" s="362"/>
      <c r="DB91" s="362"/>
      <c r="DC91" s="362"/>
      <c r="DD91" s="362"/>
      <c r="DE91" s="362"/>
      <c r="DF91" s="362"/>
      <c r="DG91" s="362"/>
      <c r="DH91" s="362"/>
      <c r="DI91" s="362"/>
      <c r="DJ91" s="362"/>
      <c r="DK91" s="362"/>
      <c r="DL91" s="362"/>
      <c r="DM91" s="362"/>
      <c r="DN91" s="362"/>
      <c r="DO91" s="360"/>
      <c r="DP91" s="310"/>
      <c r="DQ91" s="310"/>
      <c r="DR91" s="310"/>
      <c r="DS91" s="310"/>
      <c r="DT91" s="310"/>
      <c r="DU91" s="310"/>
      <c r="DV91" s="310"/>
      <c r="DW91" s="310"/>
      <c r="DX91" s="310"/>
    </row>
    <row r="92" spans="1:128" s="63" customFormat="1">
      <c r="A92" s="376"/>
      <c r="B92" s="374" t="s">
        <v>402</v>
      </c>
      <c r="C92" s="357"/>
      <c r="D92" s="375"/>
      <c r="E92" s="357"/>
      <c r="F92" s="357"/>
      <c r="G92" s="357"/>
      <c r="H92" s="375">
        <f>ROUNDUP((2.1*78.4)+292.26+80,0)</f>
        <v>537</v>
      </c>
      <c r="I92" s="357"/>
      <c r="J92" s="357"/>
      <c r="K92" s="375"/>
      <c r="L92" s="357"/>
      <c r="M92" s="357"/>
      <c r="N92" s="357"/>
      <c r="O92" s="357"/>
      <c r="P92" s="362"/>
      <c r="Q92" s="362"/>
      <c r="R92" s="362"/>
      <c r="S92" s="362"/>
      <c r="T92" s="360"/>
      <c r="U92" s="361"/>
      <c r="V92" s="361"/>
      <c r="W92" s="361"/>
      <c r="X92" s="357"/>
      <c r="Y92" s="357"/>
      <c r="Z92" s="357"/>
      <c r="AA92" s="357"/>
      <c r="AB92" s="357"/>
      <c r="AC92" s="357"/>
      <c r="AD92" s="357"/>
      <c r="AE92" s="357"/>
      <c r="AF92" s="357"/>
      <c r="AG92" s="357"/>
      <c r="AH92" s="357"/>
      <c r="AI92" s="357"/>
      <c r="AJ92" s="357"/>
      <c r="AK92" s="357"/>
      <c r="AL92" s="357"/>
      <c r="AM92" s="357"/>
      <c r="AN92" s="357"/>
      <c r="AO92" s="357"/>
      <c r="AP92" s="357"/>
      <c r="AQ92" s="357"/>
      <c r="AR92" s="357"/>
      <c r="AS92" s="362"/>
      <c r="AT92" s="360"/>
      <c r="AU92" s="374"/>
      <c r="AV92" s="357"/>
      <c r="AW92" s="357"/>
      <c r="AX92" s="357"/>
      <c r="AY92" s="360"/>
      <c r="AZ92" s="361"/>
      <c r="BA92" s="357"/>
      <c r="BB92" s="362"/>
      <c r="BC92" s="365">
        <f t="shared" si="15"/>
        <v>0</v>
      </c>
      <c r="BD92" s="361"/>
      <c r="BE92" s="357"/>
      <c r="BF92" s="357"/>
      <c r="BG92" s="357"/>
      <c r="BH92" s="357"/>
      <c r="BI92" s="357"/>
      <c r="BJ92" s="357"/>
      <c r="BK92" s="357"/>
      <c r="BL92" s="357"/>
      <c r="BM92" s="357"/>
      <c r="BN92" s="357"/>
      <c r="BO92" s="357"/>
      <c r="BP92" s="357"/>
      <c r="BQ92" s="357"/>
      <c r="BR92" s="357"/>
      <c r="BS92" s="357"/>
      <c r="BT92" s="357"/>
      <c r="BU92" s="357"/>
      <c r="BV92" s="357"/>
      <c r="BW92" s="357"/>
      <c r="BX92" s="357"/>
      <c r="BY92" s="357"/>
      <c r="BZ92" s="357"/>
      <c r="CA92" s="357"/>
      <c r="CB92" s="357"/>
      <c r="CC92" s="357"/>
      <c r="CD92" s="357"/>
      <c r="CE92" s="357"/>
      <c r="CF92" s="357"/>
      <c r="CG92" s="357"/>
      <c r="CH92" s="357"/>
      <c r="CI92" s="362"/>
      <c r="CJ92" s="362"/>
      <c r="CK92" s="362"/>
      <c r="CL92" s="362"/>
      <c r="CM92" s="362"/>
      <c r="CN92" s="362"/>
      <c r="CO92" s="362"/>
      <c r="CP92" s="362"/>
      <c r="CQ92" s="362"/>
      <c r="CR92" s="362"/>
      <c r="CS92" s="362"/>
      <c r="CT92" s="362"/>
      <c r="CU92" s="362"/>
      <c r="CV92" s="362"/>
      <c r="CW92" s="362"/>
      <c r="CX92" s="362"/>
      <c r="CY92" s="362"/>
      <c r="CZ92" s="362"/>
      <c r="DA92" s="362"/>
      <c r="DB92" s="362"/>
      <c r="DC92" s="362"/>
      <c r="DD92" s="362"/>
      <c r="DE92" s="362"/>
      <c r="DF92" s="362"/>
      <c r="DG92" s="362"/>
      <c r="DH92" s="362"/>
      <c r="DI92" s="362"/>
      <c r="DJ92" s="362"/>
      <c r="DK92" s="362"/>
      <c r="DL92" s="362"/>
      <c r="DM92" s="362"/>
      <c r="DN92" s="362"/>
      <c r="DO92" s="360"/>
      <c r="DP92" s="310"/>
      <c r="DQ92" s="310"/>
      <c r="DR92" s="310"/>
      <c r="DS92" s="310"/>
      <c r="DT92" s="310"/>
      <c r="DU92" s="310"/>
      <c r="DV92" s="310"/>
      <c r="DW92" s="310"/>
      <c r="DX92" s="310"/>
    </row>
    <row r="93" spans="1:128" s="63" customFormat="1">
      <c r="A93" s="376"/>
      <c r="B93" s="368" t="s">
        <v>459</v>
      </c>
      <c r="C93" s="375"/>
      <c r="D93" s="375">
        <v>34</v>
      </c>
      <c r="E93" s="357"/>
      <c r="F93" s="357"/>
      <c r="G93" s="357"/>
      <c r="H93" s="357"/>
      <c r="I93" s="357"/>
      <c r="J93" s="357"/>
      <c r="K93" s="357"/>
      <c r="L93" s="357"/>
      <c r="M93" s="357"/>
      <c r="N93" s="357"/>
      <c r="O93" s="357"/>
      <c r="P93" s="362"/>
      <c r="Q93" s="362"/>
      <c r="R93" s="362"/>
      <c r="S93" s="362"/>
      <c r="T93" s="360"/>
      <c r="U93" s="361">
        <f>ROUNDUP((26*5.7)-(BM7+CQ7),0)</f>
        <v>140</v>
      </c>
      <c r="V93" s="361"/>
      <c r="W93" s="361"/>
      <c r="X93" s="357"/>
      <c r="Y93" s="357"/>
      <c r="Z93" s="357"/>
      <c r="AA93" s="357"/>
      <c r="AB93" s="357"/>
      <c r="AC93" s="357">
        <f>ROUNDUP((8.4*3.8)-CL7,0)</f>
        <v>31</v>
      </c>
      <c r="AD93" s="361">
        <f>ROUNDUP((30.1*5.7)-(BM7+CQ7),0)</f>
        <v>163</v>
      </c>
      <c r="AE93" s="357"/>
      <c r="AF93" s="357"/>
      <c r="AG93" s="357"/>
      <c r="AH93" s="357"/>
      <c r="AI93" s="357"/>
      <c r="AJ93" s="357"/>
      <c r="AK93" s="357"/>
      <c r="AL93" s="357"/>
      <c r="AM93" s="357"/>
      <c r="AN93" s="357"/>
      <c r="AO93" s="357"/>
      <c r="AP93" s="357"/>
      <c r="AQ93" s="357">
        <f>ROUNDUP((BM9+CQ9)+(5.7*3),0)</f>
        <v>27</v>
      </c>
      <c r="AR93" s="357"/>
      <c r="AS93" s="362"/>
      <c r="AT93" s="360">
        <f>ROUNDUP(BM8+CQ8,0)</f>
        <v>6</v>
      </c>
      <c r="AU93" s="374"/>
      <c r="AV93" s="357"/>
      <c r="AW93" s="357">
        <f>D93</f>
        <v>34</v>
      </c>
      <c r="AX93" s="357"/>
      <c r="AY93" s="360"/>
      <c r="AZ93" s="361">
        <f>AD93</f>
        <v>163</v>
      </c>
      <c r="BA93" s="357">
        <f>AC93</f>
        <v>31</v>
      </c>
      <c r="BB93" s="362"/>
      <c r="BC93" s="365">
        <f t="shared" si="15"/>
        <v>34</v>
      </c>
      <c r="BD93" s="361"/>
      <c r="BE93" s="357"/>
      <c r="BF93" s="357"/>
      <c r="BG93" s="357"/>
      <c r="BH93" s="357"/>
      <c r="BI93" s="357"/>
      <c r="BJ93" s="357"/>
      <c r="BK93" s="357"/>
      <c r="BL93" s="357"/>
      <c r="BM93" s="357"/>
      <c r="BN93" s="357">
        <v>1</v>
      </c>
      <c r="BO93" s="357"/>
      <c r="BP93" s="357"/>
      <c r="BQ93" s="357"/>
      <c r="BR93" s="357"/>
      <c r="BS93" s="357"/>
      <c r="BT93" s="357"/>
      <c r="BU93" s="357"/>
      <c r="BV93" s="357"/>
      <c r="BW93" s="357"/>
      <c r="BX93" s="357"/>
      <c r="BY93" s="357"/>
      <c r="BZ93" s="357"/>
      <c r="CA93" s="357"/>
      <c r="CB93" s="357"/>
      <c r="CC93" s="357"/>
      <c r="CD93" s="357"/>
      <c r="CE93" s="357"/>
      <c r="CF93" s="357"/>
      <c r="CG93" s="357"/>
      <c r="CH93" s="357"/>
      <c r="CI93" s="362"/>
      <c r="CJ93" s="362"/>
      <c r="CK93" s="362"/>
      <c r="CL93" s="362"/>
      <c r="CM93" s="362"/>
      <c r="CN93" s="362"/>
      <c r="CO93" s="362"/>
      <c r="CP93" s="362"/>
      <c r="CQ93" s="362">
        <v>1</v>
      </c>
      <c r="CR93" s="362"/>
      <c r="CS93" s="362"/>
      <c r="CT93" s="362"/>
      <c r="CU93" s="362"/>
      <c r="CV93" s="362"/>
      <c r="CW93" s="362"/>
      <c r="CX93" s="362"/>
      <c r="CY93" s="362"/>
      <c r="CZ93" s="362"/>
      <c r="DA93" s="362"/>
      <c r="DB93" s="362"/>
      <c r="DC93" s="362"/>
      <c r="DD93" s="362"/>
      <c r="DE93" s="362"/>
      <c r="DF93" s="362"/>
      <c r="DG93" s="362"/>
      <c r="DH93" s="362"/>
      <c r="DI93" s="362"/>
      <c r="DJ93" s="362"/>
      <c r="DK93" s="362"/>
      <c r="DL93" s="362"/>
      <c r="DM93" s="362"/>
      <c r="DN93" s="362"/>
      <c r="DO93" s="360"/>
      <c r="DP93" s="310"/>
      <c r="DQ93" s="310"/>
      <c r="DR93" s="310"/>
      <c r="DS93" s="310"/>
      <c r="DT93" s="310"/>
      <c r="DU93" s="310"/>
      <c r="DV93" s="309"/>
      <c r="DW93" s="310"/>
      <c r="DX93" s="372"/>
    </row>
    <row r="94" spans="1:128">
      <c r="A94" s="403"/>
      <c r="B94" s="404" t="s">
        <v>382</v>
      </c>
      <c r="C94" s="357"/>
      <c r="D94" s="357"/>
      <c r="E94" s="357"/>
      <c r="F94" s="357"/>
      <c r="G94" s="357"/>
      <c r="H94" s="357"/>
      <c r="I94" s="357"/>
      <c r="J94" s="357"/>
      <c r="K94" s="357"/>
      <c r="L94" s="357"/>
      <c r="M94" s="357"/>
      <c r="N94" s="357"/>
      <c r="O94" s="357"/>
      <c r="P94" s="362"/>
      <c r="Q94" s="362"/>
      <c r="R94" s="362"/>
      <c r="S94" s="362"/>
      <c r="T94" s="360"/>
      <c r="U94" s="361"/>
      <c r="V94" s="361"/>
      <c r="W94" s="361"/>
      <c r="X94" s="357"/>
      <c r="Y94" s="357"/>
      <c r="Z94" s="357"/>
      <c r="AA94" s="357"/>
      <c r="AB94" s="357"/>
      <c r="AC94" s="357"/>
      <c r="AD94" s="357"/>
      <c r="AE94" s="357"/>
      <c r="AF94" s="357"/>
      <c r="AG94" s="357"/>
      <c r="AH94" s="357"/>
      <c r="AI94" s="357"/>
      <c r="AJ94" s="357"/>
      <c r="AK94" s="357"/>
      <c r="AL94" s="357"/>
      <c r="AM94" s="357"/>
      <c r="AN94" s="357"/>
      <c r="AO94" s="357"/>
      <c r="AP94" s="357"/>
      <c r="AQ94" s="357"/>
      <c r="AR94" s="357"/>
      <c r="AS94" s="362"/>
      <c r="AT94" s="360"/>
      <c r="AU94" s="363"/>
      <c r="AV94" s="364"/>
      <c r="AW94" s="364"/>
      <c r="AX94" s="395"/>
      <c r="AY94" s="365"/>
      <c r="AZ94" s="361"/>
      <c r="BA94" s="357"/>
      <c r="BB94" s="362"/>
      <c r="BC94" s="365">
        <f t="shared" si="15"/>
        <v>0</v>
      </c>
      <c r="BD94" s="380"/>
      <c r="BE94" s="381"/>
      <c r="BF94" s="381"/>
      <c r="BG94" s="381"/>
      <c r="BH94" s="381"/>
      <c r="BI94" s="381"/>
      <c r="BJ94" s="381"/>
      <c r="BK94" s="381"/>
      <c r="BL94" s="381"/>
      <c r="BM94" s="381"/>
      <c r="BN94" s="381"/>
      <c r="BO94" s="381"/>
      <c r="BP94" s="381"/>
      <c r="BQ94" s="381"/>
      <c r="BR94" s="381"/>
      <c r="BS94" s="381"/>
      <c r="BT94" s="381"/>
      <c r="BU94" s="381"/>
      <c r="BV94" s="381"/>
      <c r="BW94" s="381"/>
      <c r="BX94" s="381"/>
      <c r="BY94" s="381"/>
      <c r="BZ94" s="381"/>
      <c r="CA94" s="381"/>
      <c r="CB94" s="381"/>
      <c r="CC94" s="381"/>
      <c r="CD94" s="381"/>
      <c r="CE94" s="381"/>
      <c r="CF94" s="381"/>
      <c r="CG94" s="381"/>
      <c r="CH94" s="381"/>
      <c r="CI94" s="382"/>
      <c r="CJ94" s="382"/>
      <c r="CK94" s="382"/>
      <c r="CL94" s="382"/>
      <c r="CM94" s="382"/>
      <c r="CN94" s="382"/>
      <c r="CO94" s="382"/>
      <c r="CP94" s="382"/>
      <c r="CQ94" s="382"/>
      <c r="CR94" s="382"/>
      <c r="CS94" s="382"/>
      <c r="CT94" s="382"/>
      <c r="CU94" s="382"/>
      <c r="CV94" s="382"/>
      <c r="CW94" s="382"/>
      <c r="CX94" s="382"/>
      <c r="CY94" s="382"/>
      <c r="CZ94" s="382"/>
      <c r="DA94" s="382"/>
      <c r="DB94" s="382"/>
      <c r="DC94" s="382"/>
      <c r="DD94" s="382"/>
      <c r="DE94" s="382"/>
      <c r="DF94" s="382"/>
      <c r="DG94" s="382"/>
      <c r="DH94" s="382"/>
      <c r="DI94" s="382"/>
      <c r="DJ94" s="382"/>
      <c r="DK94" s="382"/>
      <c r="DL94" s="382"/>
      <c r="DM94" s="382"/>
      <c r="DN94" s="400">
        <f>ROUNDUP(10*54,0)</f>
        <v>540</v>
      </c>
      <c r="DO94" s="383"/>
    </row>
    <row r="95" spans="1:128">
      <c r="A95" s="403"/>
      <c r="B95" s="368" t="s">
        <v>1345</v>
      </c>
      <c r="C95" s="375"/>
      <c r="D95" s="375">
        <f>ROUND(((0.25*2.15)*20)+((0.18*2.15)*22)+(2*4.4),0)</f>
        <v>28</v>
      </c>
      <c r="E95" s="357"/>
      <c r="F95" s="357"/>
      <c r="G95" s="357"/>
      <c r="H95" s="357"/>
      <c r="I95" s="357"/>
      <c r="J95" s="357"/>
      <c r="K95" s="357"/>
      <c r="L95" s="357"/>
      <c r="M95" s="357"/>
      <c r="N95" s="357"/>
      <c r="O95" s="357"/>
      <c r="P95" s="362"/>
      <c r="Q95" s="362"/>
      <c r="R95" s="362"/>
      <c r="S95" s="362"/>
      <c r="T95" s="360"/>
      <c r="U95" s="361"/>
      <c r="V95" s="361"/>
      <c r="W95" s="361"/>
      <c r="X95" s="357"/>
      <c r="Y95" s="357"/>
      <c r="Z95" s="357"/>
      <c r="AA95" s="357"/>
      <c r="AB95" s="357"/>
      <c r="AC95" s="357"/>
      <c r="AD95" s="357"/>
      <c r="AE95" s="357"/>
      <c r="AF95" s="357"/>
      <c r="AG95" s="357"/>
      <c r="AH95" s="357"/>
      <c r="AI95" s="357"/>
      <c r="AJ95" s="357"/>
      <c r="AK95" s="357"/>
      <c r="AL95" s="357"/>
      <c r="AM95" s="357"/>
      <c r="AN95" s="357"/>
      <c r="AO95" s="357"/>
      <c r="AP95" s="357"/>
      <c r="AQ95" s="357"/>
      <c r="AR95" s="357"/>
      <c r="AS95" s="362"/>
      <c r="AT95" s="360"/>
      <c r="AU95" s="363"/>
      <c r="AV95" s="364"/>
      <c r="AW95" s="364"/>
      <c r="AX95" s="395"/>
      <c r="AY95" s="365"/>
      <c r="AZ95" s="361"/>
      <c r="BA95" s="357"/>
      <c r="BB95" s="362"/>
      <c r="BC95" s="365">
        <f t="shared" si="15"/>
        <v>0</v>
      </c>
      <c r="BD95" s="380"/>
      <c r="BE95" s="381"/>
      <c r="BF95" s="381"/>
      <c r="BG95" s="381"/>
      <c r="BH95" s="381"/>
      <c r="BI95" s="381"/>
      <c r="BJ95" s="381"/>
      <c r="BK95" s="381"/>
      <c r="BL95" s="381"/>
      <c r="BM95" s="381"/>
      <c r="BN95" s="381"/>
      <c r="BO95" s="381"/>
      <c r="BP95" s="381"/>
      <c r="BQ95" s="381"/>
      <c r="BR95" s="381"/>
      <c r="BS95" s="381"/>
      <c r="BT95" s="381"/>
      <c r="BU95" s="381"/>
      <c r="BV95" s="381"/>
      <c r="BW95" s="381"/>
      <c r="BX95" s="381"/>
      <c r="BY95" s="381"/>
      <c r="BZ95" s="381"/>
      <c r="CA95" s="381"/>
      <c r="CB95" s="381"/>
      <c r="CC95" s="381"/>
      <c r="CD95" s="381"/>
      <c r="CE95" s="381"/>
      <c r="CF95" s="381"/>
      <c r="CG95" s="381"/>
      <c r="CH95" s="381"/>
      <c r="CI95" s="382"/>
      <c r="CJ95" s="382"/>
      <c r="CK95" s="382"/>
      <c r="CL95" s="382"/>
      <c r="CM95" s="382"/>
      <c r="CN95" s="382"/>
      <c r="CO95" s="382"/>
      <c r="CP95" s="382"/>
      <c r="CQ95" s="382"/>
      <c r="CR95" s="382"/>
      <c r="CS95" s="382"/>
      <c r="CT95" s="382"/>
      <c r="CU95" s="382"/>
      <c r="CV95" s="382"/>
      <c r="CW95" s="382"/>
      <c r="CX95" s="382"/>
      <c r="CY95" s="382"/>
      <c r="CZ95" s="382"/>
      <c r="DA95" s="382"/>
      <c r="DB95" s="382"/>
      <c r="DC95" s="382"/>
      <c r="DD95" s="382"/>
      <c r="DE95" s="382"/>
      <c r="DF95" s="382"/>
      <c r="DG95" s="382"/>
      <c r="DH95" s="382"/>
      <c r="DI95" s="382"/>
      <c r="DJ95" s="382"/>
      <c r="DK95" s="382"/>
      <c r="DL95" s="382"/>
      <c r="DM95" s="382"/>
      <c r="DN95" s="382"/>
      <c r="DO95" s="383"/>
    </row>
    <row r="96" spans="1:128">
      <c r="A96" s="384"/>
      <c r="B96" s="368" t="s">
        <v>1334</v>
      </c>
      <c r="C96" s="375">
        <f>ROUND(((0.25*1.6)*20)+((0.18*1.6)*22)+(1.5*3.3),0)</f>
        <v>19</v>
      </c>
      <c r="D96" s="357"/>
      <c r="E96" s="357"/>
      <c r="F96" s="357"/>
      <c r="G96" s="357"/>
      <c r="H96" s="357"/>
      <c r="I96" s="357"/>
      <c r="J96" s="357"/>
      <c r="K96" s="357"/>
      <c r="L96" s="357"/>
      <c r="M96" s="357"/>
      <c r="N96" s="357"/>
      <c r="O96" s="357"/>
      <c r="P96" s="362"/>
      <c r="Q96" s="362"/>
      <c r="R96" s="362"/>
      <c r="S96" s="362"/>
      <c r="T96" s="360"/>
      <c r="U96" s="361"/>
      <c r="V96" s="361"/>
      <c r="W96" s="361"/>
      <c r="X96" s="357"/>
      <c r="Y96" s="357"/>
      <c r="Z96" s="357"/>
      <c r="AA96" s="357"/>
      <c r="AB96" s="357"/>
      <c r="AC96" s="357"/>
      <c r="AD96" s="357"/>
      <c r="AE96" s="357"/>
      <c r="AF96" s="357"/>
      <c r="AG96" s="357"/>
      <c r="AH96" s="357"/>
      <c r="AI96" s="357"/>
      <c r="AJ96" s="357"/>
      <c r="AK96" s="357"/>
      <c r="AL96" s="357"/>
      <c r="AM96" s="357"/>
      <c r="AN96" s="357"/>
      <c r="AO96" s="357"/>
      <c r="AP96" s="357"/>
      <c r="AQ96" s="357"/>
      <c r="AR96" s="357"/>
      <c r="AS96" s="362"/>
      <c r="AT96" s="360"/>
      <c r="AU96" s="363"/>
      <c r="AV96" s="364"/>
      <c r="AW96" s="364"/>
      <c r="AX96" s="395"/>
      <c r="AY96" s="365"/>
      <c r="AZ96" s="361"/>
      <c r="BA96" s="357"/>
      <c r="BB96" s="362"/>
      <c r="BC96" s="365">
        <f t="shared" si="15"/>
        <v>0</v>
      </c>
      <c r="BD96" s="380"/>
      <c r="BE96" s="381"/>
      <c r="BF96" s="381"/>
      <c r="BG96" s="381"/>
      <c r="BH96" s="381"/>
      <c r="BI96" s="381"/>
      <c r="BJ96" s="381"/>
      <c r="BK96" s="381"/>
      <c r="BL96" s="381"/>
      <c r="BM96" s="381"/>
      <c r="BN96" s="381"/>
      <c r="BO96" s="381"/>
      <c r="BP96" s="381"/>
      <c r="BQ96" s="381"/>
      <c r="BR96" s="381"/>
      <c r="BS96" s="381"/>
      <c r="BT96" s="381"/>
      <c r="BU96" s="381"/>
      <c r="BV96" s="381"/>
      <c r="BW96" s="381"/>
      <c r="BX96" s="381"/>
      <c r="BY96" s="381"/>
      <c r="BZ96" s="381"/>
      <c r="CA96" s="381"/>
      <c r="CB96" s="381"/>
      <c r="CC96" s="381"/>
      <c r="CD96" s="381"/>
      <c r="CE96" s="381"/>
      <c r="CF96" s="381"/>
      <c r="CG96" s="381"/>
      <c r="CH96" s="381"/>
      <c r="CI96" s="382"/>
      <c r="CJ96" s="382"/>
      <c r="CK96" s="382"/>
      <c r="CL96" s="382"/>
      <c r="CM96" s="382"/>
      <c r="CN96" s="382"/>
      <c r="CO96" s="382"/>
      <c r="CP96" s="382"/>
      <c r="CQ96" s="382"/>
      <c r="CR96" s="382"/>
      <c r="CS96" s="382"/>
      <c r="CT96" s="382"/>
      <c r="CU96" s="382"/>
      <c r="CV96" s="382"/>
      <c r="CW96" s="382"/>
      <c r="CX96" s="382"/>
      <c r="CY96" s="382"/>
      <c r="CZ96" s="382"/>
      <c r="DA96" s="382"/>
      <c r="DB96" s="382"/>
      <c r="DC96" s="382"/>
      <c r="DD96" s="382"/>
      <c r="DE96" s="382"/>
      <c r="DF96" s="382"/>
      <c r="DG96" s="382"/>
      <c r="DH96" s="382"/>
      <c r="DI96" s="382"/>
      <c r="DJ96" s="382"/>
      <c r="DK96" s="382"/>
      <c r="DL96" s="382"/>
      <c r="DM96" s="382"/>
      <c r="DN96" s="382"/>
      <c r="DO96" s="383"/>
    </row>
    <row r="97" spans="1:128" s="63" customFormat="1">
      <c r="A97" s="376"/>
      <c r="B97" s="374" t="s">
        <v>362</v>
      </c>
      <c r="C97" s="375">
        <v>11</v>
      </c>
      <c r="D97" s="375"/>
      <c r="E97" s="375"/>
      <c r="F97" s="357"/>
      <c r="G97" s="357"/>
      <c r="H97" s="357"/>
      <c r="I97" s="357"/>
      <c r="J97" s="357"/>
      <c r="K97" s="357"/>
      <c r="L97" s="357"/>
      <c r="M97" s="357"/>
      <c r="N97" s="357"/>
      <c r="O97" s="357"/>
      <c r="P97" s="362"/>
      <c r="Q97" s="362"/>
      <c r="R97" s="362"/>
      <c r="S97" s="362"/>
      <c r="T97" s="360"/>
      <c r="U97" s="361">
        <f>ROUNDUP((13.8*3.5)-(BR7),0)</f>
        <v>47</v>
      </c>
      <c r="V97" s="361"/>
      <c r="W97" s="361"/>
      <c r="X97" s="357"/>
      <c r="Y97" s="357"/>
      <c r="Z97" s="357"/>
      <c r="AA97" s="357"/>
      <c r="AB97" s="357"/>
      <c r="AC97" s="357">
        <f>ROUNDUP((2.7*4.7)-BR7,0)</f>
        <v>11</v>
      </c>
      <c r="AD97" s="357">
        <f>U97</f>
        <v>47</v>
      </c>
      <c r="AE97" s="357"/>
      <c r="AF97" s="357"/>
      <c r="AG97" s="357"/>
      <c r="AH97" s="357"/>
      <c r="AI97" s="357"/>
      <c r="AJ97" s="357"/>
      <c r="AK97" s="357"/>
      <c r="AL97" s="357"/>
      <c r="AM97" s="357"/>
      <c r="AN97" s="357"/>
      <c r="AO97" s="357"/>
      <c r="AP97" s="357"/>
      <c r="AQ97" s="357">
        <f>ROUNDUP(BR9+(2*3.5),0)</f>
        <v>12</v>
      </c>
      <c r="AR97" s="357"/>
      <c r="AS97" s="362"/>
      <c r="AT97" s="360">
        <f>ROUNDUP(BR8,0)</f>
        <v>2</v>
      </c>
      <c r="AU97" s="374"/>
      <c r="AV97" s="357"/>
      <c r="AW97" s="357">
        <f>C97</f>
        <v>11</v>
      </c>
      <c r="AX97" s="357"/>
      <c r="AY97" s="360"/>
      <c r="AZ97" s="361">
        <f>AD97</f>
        <v>47</v>
      </c>
      <c r="BA97" s="357">
        <f>AC97</f>
        <v>11</v>
      </c>
      <c r="BB97" s="362"/>
      <c r="BC97" s="365">
        <f t="shared" si="15"/>
        <v>11</v>
      </c>
      <c r="BD97" s="361"/>
      <c r="BE97" s="357"/>
      <c r="BF97" s="357"/>
      <c r="BG97" s="357"/>
      <c r="BH97" s="357"/>
      <c r="BI97" s="357"/>
      <c r="BJ97" s="357"/>
      <c r="BK97" s="375"/>
      <c r="BL97" s="357"/>
      <c r="BM97" s="357"/>
      <c r="BN97" s="357"/>
      <c r="BO97" s="357"/>
      <c r="BP97" s="357"/>
      <c r="BQ97" s="357"/>
      <c r="BR97" s="357">
        <v>1</v>
      </c>
      <c r="BS97" s="357"/>
      <c r="BT97" s="357"/>
      <c r="BU97" s="357"/>
      <c r="BV97" s="357"/>
      <c r="BW97" s="357"/>
      <c r="BX97" s="357"/>
      <c r="BY97" s="357"/>
      <c r="BZ97" s="357"/>
      <c r="CA97" s="357"/>
      <c r="CB97" s="375"/>
      <c r="CC97" s="375"/>
      <c r="CD97" s="357"/>
      <c r="CE97" s="357"/>
      <c r="CF97" s="357"/>
      <c r="CG97" s="357"/>
      <c r="CH97" s="357"/>
      <c r="CI97" s="362"/>
      <c r="CJ97" s="362"/>
      <c r="CK97" s="362"/>
      <c r="CL97" s="362"/>
      <c r="CM97" s="362"/>
      <c r="CN97" s="362"/>
      <c r="CO97" s="362"/>
      <c r="CP97" s="362"/>
      <c r="CQ97" s="362"/>
      <c r="CR97" s="362"/>
      <c r="CS97" s="362"/>
      <c r="CT97" s="362"/>
      <c r="CU97" s="362"/>
      <c r="CV97" s="362"/>
      <c r="CW97" s="362"/>
      <c r="CX97" s="362"/>
      <c r="CY97" s="362"/>
      <c r="CZ97" s="362"/>
      <c r="DA97" s="362"/>
      <c r="DB97" s="362"/>
      <c r="DC97" s="362"/>
      <c r="DD97" s="362"/>
      <c r="DE97" s="362"/>
      <c r="DF97" s="362"/>
      <c r="DG97" s="362"/>
      <c r="DH97" s="362"/>
      <c r="DI97" s="362"/>
      <c r="DJ97" s="362"/>
      <c r="DK97" s="362"/>
      <c r="DL97" s="362"/>
      <c r="DM97" s="362"/>
      <c r="DN97" s="362"/>
      <c r="DO97" s="360"/>
      <c r="DP97" s="310"/>
      <c r="DQ97" s="310"/>
      <c r="DR97" s="310"/>
      <c r="DS97" s="310"/>
      <c r="DT97" s="310"/>
      <c r="DU97" s="310"/>
      <c r="DV97" s="309"/>
      <c r="DW97" s="310"/>
      <c r="DX97" s="372"/>
    </row>
    <row r="98" spans="1:128">
      <c r="A98" s="384"/>
      <c r="B98" s="361"/>
      <c r="C98" s="357"/>
      <c r="D98" s="357"/>
      <c r="E98" s="357"/>
      <c r="F98" s="357"/>
      <c r="G98" s="357"/>
      <c r="H98" s="357"/>
      <c r="I98" s="357"/>
      <c r="J98" s="357"/>
      <c r="K98" s="357"/>
      <c r="L98" s="357"/>
      <c r="M98" s="357"/>
      <c r="N98" s="357"/>
      <c r="O98" s="357"/>
      <c r="P98" s="362"/>
      <c r="Q98" s="362"/>
      <c r="R98" s="362"/>
      <c r="S98" s="362"/>
      <c r="T98" s="367"/>
      <c r="U98" s="361"/>
      <c r="V98" s="361"/>
      <c r="W98" s="361"/>
      <c r="X98" s="357"/>
      <c r="Y98" s="357"/>
      <c r="Z98" s="357"/>
      <c r="AA98" s="357"/>
      <c r="AB98" s="357"/>
      <c r="AC98" s="357"/>
      <c r="AD98" s="357"/>
      <c r="AE98" s="357"/>
      <c r="AF98" s="357"/>
      <c r="AG98" s="357"/>
      <c r="AH98" s="357"/>
      <c r="AI98" s="357"/>
      <c r="AJ98" s="357"/>
      <c r="AK98" s="357"/>
      <c r="AL98" s="357"/>
      <c r="AM98" s="357"/>
      <c r="AN98" s="357"/>
      <c r="AO98" s="357"/>
      <c r="AP98" s="357"/>
      <c r="AQ98" s="357"/>
      <c r="AR98" s="357"/>
      <c r="AS98" s="362"/>
      <c r="AT98" s="360"/>
      <c r="AU98" s="361"/>
      <c r="AV98" s="357"/>
      <c r="AW98" s="357"/>
      <c r="AX98" s="362"/>
      <c r="AY98" s="360"/>
      <c r="AZ98" s="361"/>
      <c r="BA98" s="357"/>
      <c r="BB98" s="362"/>
      <c r="BC98" s="365">
        <f t="shared" si="15"/>
        <v>0</v>
      </c>
      <c r="BD98" s="380"/>
      <c r="BE98" s="381"/>
      <c r="BF98" s="381"/>
      <c r="BG98" s="381"/>
      <c r="BH98" s="381"/>
      <c r="BI98" s="381"/>
      <c r="BJ98" s="381"/>
      <c r="BK98" s="381"/>
      <c r="BL98" s="381"/>
      <c r="BM98" s="381"/>
      <c r="BN98" s="381"/>
      <c r="BO98" s="381"/>
      <c r="BP98" s="381"/>
      <c r="BQ98" s="381"/>
      <c r="BR98" s="381"/>
      <c r="BS98" s="381"/>
      <c r="BT98" s="381"/>
      <c r="BU98" s="381"/>
      <c r="BV98" s="381"/>
      <c r="BW98" s="381"/>
      <c r="BX98" s="381"/>
      <c r="BY98" s="381"/>
      <c r="BZ98" s="381"/>
      <c r="CA98" s="381"/>
      <c r="CB98" s="381"/>
      <c r="CC98" s="381"/>
      <c r="CD98" s="381"/>
      <c r="CE98" s="381"/>
      <c r="CF98" s="381"/>
      <c r="CG98" s="381"/>
      <c r="CH98" s="381"/>
      <c r="CI98" s="382"/>
      <c r="CJ98" s="382"/>
      <c r="CK98" s="382"/>
      <c r="CL98" s="382"/>
      <c r="CM98" s="382"/>
      <c r="CN98" s="382"/>
      <c r="CO98" s="382"/>
      <c r="CP98" s="382"/>
      <c r="CQ98" s="382"/>
      <c r="CR98" s="382"/>
      <c r="CS98" s="382"/>
      <c r="CT98" s="382"/>
      <c r="CU98" s="382"/>
      <c r="CV98" s="382"/>
      <c r="CW98" s="382"/>
      <c r="CX98" s="382"/>
      <c r="CY98" s="382"/>
      <c r="CZ98" s="382"/>
      <c r="DA98" s="382"/>
      <c r="DB98" s="382"/>
      <c r="DC98" s="382"/>
      <c r="DD98" s="382"/>
      <c r="DE98" s="382"/>
      <c r="DF98" s="382"/>
      <c r="DG98" s="382"/>
      <c r="DH98" s="382"/>
      <c r="DI98" s="382"/>
      <c r="DJ98" s="382"/>
      <c r="DK98" s="382"/>
      <c r="DL98" s="382"/>
      <c r="DM98" s="382"/>
      <c r="DN98" s="382"/>
      <c r="DO98" s="383"/>
    </row>
    <row r="99" spans="1:128" ht="18.75">
      <c r="A99" s="384"/>
      <c r="B99" s="385" t="s">
        <v>182</v>
      </c>
      <c r="C99" s="386">
        <f t="shared" ref="C99:AT99" si="21">SUM(C69:C98)</f>
        <v>159</v>
      </c>
      <c r="D99" s="386">
        <f t="shared" si="21"/>
        <v>1467</v>
      </c>
      <c r="E99" s="386">
        <f t="shared" si="21"/>
        <v>161</v>
      </c>
      <c r="F99" s="386">
        <f t="shared" si="21"/>
        <v>0</v>
      </c>
      <c r="G99" s="386">
        <f t="shared" si="21"/>
        <v>0</v>
      </c>
      <c r="H99" s="386">
        <f t="shared" si="21"/>
        <v>537</v>
      </c>
      <c r="I99" s="386">
        <f t="shared" si="21"/>
        <v>0</v>
      </c>
      <c r="J99" s="386">
        <f t="shared" si="21"/>
        <v>0</v>
      </c>
      <c r="K99" s="386">
        <f t="shared" si="21"/>
        <v>0</v>
      </c>
      <c r="L99" s="386">
        <f t="shared" si="21"/>
        <v>0</v>
      </c>
      <c r="M99" s="386">
        <f t="shared" si="21"/>
        <v>0</v>
      </c>
      <c r="N99" s="386">
        <f t="shared" si="21"/>
        <v>0</v>
      </c>
      <c r="O99" s="386">
        <f t="shared" si="21"/>
        <v>0</v>
      </c>
      <c r="P99" s="386">
        <f t="shared" si="21"/>
        <v>0</v>
      </c>
      <c r="Q99" s="386">
        <f t="shared" si="21"/>
        <v>0</v>
      </c>
      <c r="R99" s="386">
        <f t="shared" si="21"/>
        <v>0</v>
      </c>
      <c r="S99" s="386">
        <f t="shared" si="21"/>
        <v>0</v>
      </c>
      <c r="T99" s="388">
        <f t="shared" si="21"/>
        <v>161</v>
      </c>
      <c r="U99" s="389">
        <f t="shared" si="21"/>
        <v>2046</v>
      </c>
      <c r="V99" s="389">
        <f t="shared" si="21"/>
        <v>154</v>
      </c>
      <c r="W99" s="389">
        <f t="shared" si="21"/>
        <v>0</v>
      </c>
      <c r="X99" s="389">
        <f t="shared" si="21"/>
        <v>0</v>
      </c>
      <c r="Y99" s="389">
        <f t="shared" si="21"/>
        <v>0</v>
      </c>
      <c r="Z99" s="389">
        <f t="shared" si="21"/>
        <v>0</v>
      </c>
      <c r="AA99" s="748"/>
      <c r="AB99" s="748"/>
      <c r="AC99" s="389">
        <f t="shared" si="21"/>
        <v>521</v>
      </c>
      <c r="AD99" s="389">
        <f t="shared" si="21"/>
        <v>3199</v>
      </c>
      <c r="AE99" s="389">
        <f t="shared" si="21"/>
        <v>0</v>
      </c>
      <c r="AF99" s="389">
        <f t="shared" si="21"/>
        <v>0</v>
      </c>
      <c r="AG99" s="389">
        <f t="shared" si="21"/>
        <v>342</v>
      </c>
      <c r="AH99" s="389">
        <f t="shared" si="21"/>
        <v>0</v>
      </c>
      <c r="AI99" s="389">
        <f t="shared" si="21"/>
        <v>0</v>
      </c>
      <c r="AJ99" s="389">
        <f t="shared" si="21"/>
        <v>0</v>
      </c>
      <c r="AK99" s="389">
        <f t="shared" si="21"/>
        <v>0</v>
      </c>
      <c r="AL99" s="389">
        <f t="shared" si="21"/>
        <v>0</v>
      </c>
      <c r="AM99" s="389">
        <f t="shared" si="21"/>
        <v>0</v>
      </c>
      <c r="AN99" s="389">
        <f t="shared" si="21"/>
        <v>0</v>
      </c>
      <c r="AO99" s="389">
        <f t="shared" si="21"/>
        <v>0</v>
      </c>
      <c r="AP99" s="389">
        <f t="shared" si="21"/>
        <v>0</v>
      </c>
      <c r="AQ99" s="389">
        <f t="shared" si="21"/>
        <v>504.5</v>
      </c>
      <c r="AR99" s="389">
        <f t="shared" si="21"/>
        <v>7</v>
      </c>
      <c r="AS99" s="389">
        <f t="shared" si="21"/>
        <v>0</v>
      </c>
      <c r="AT99" s="389">
        <f t="shared" si="21"/>
        <v>278.7</v>
      </c>
      <c r="AU99" s="389">
        <f t="shared" ref="AU99:BC99" si="22">SUM(AU74:AU98)</f>
        <v>835</v>
      </c>
      <c r="AV99" s="386">
        <f t="shared" si="22"/>
        <v>161</v>
      </c>
      <c r="AW99" s="386">
        <f t="shared" si="22"/>
        <v>45</v>
      </c>
      <c r="AX99" s="386">
        <f t="shared" si="22"/>
        <v>0</v>
      </c>
      <c r="AY99" s="388">
        <f t="shared" si="22"/>
        <v>0</v>
      </c>
      <c r="AZ99" s="389">
        <f t="shared" si="22"/>
        <v>1567</v>
      </c>
      <c r="BA99" s="386">
        <f t="shared" si="22"/>
        <v>437</v>
      </c>
      <c r="BB99" s="386">
        <f t="shared" si="22"/>
        <v>0</v>
      </c>
      <c r="BC99" s="388">
        <f t="shared" si="22"/>
        <v>1041</v>
      </c>
      <c r="BD99" s="389">
        <f>SUM(BD69:BD98)</f>
        <v>0</v>
      </c>
      <c r="BE99" s="386">
        <f>SUM(BE74:BE98)</f>
        <v>3</v>
      </c>
      <c r="BF99" s="386">
        <f t="shared" ref="BF99:DN99" si="23">SUM(BF70:BF98)</f>
        <v>1</v>
      </c>
      <c r="BG99" s="386">
        <f t="shared" si="23"/>
        <v>1</v>
      </c>
      <c r="BH99" s="386">
        <f t="shared" si="23"/>
        <v>1</v>
      </c>
      <c r="BI99" s="386">
        <f t="shared" si="23"/>
        <v>0</v>
      </c>
      <c r="BJ99" s="386">
        <f t="shared" si="23"/>
        <v>1</v>
      </c>
      <c r="BK99" s="386">
        <f t="shared" si="23"/>
        <v>0</v>
      </c>
      <c r="BL99" s="386">
        <f t="shared" si="23"/>
        <v>0</v>
      </c>
      <c r="BM99" s="386">
        <f t="shared" si="23"/>
        <v>0</v>
      </c>
      <c r="BN99" s="386">
        <f t="shared" si="23"/>
        <v>1</v>
      </c>
      <c r="BO99" s="386">
        <f t="shared" si="23"/>
        <v>1</v>
      </c>
      <c r="BP99" s="386">
        <f t="shared" si="23"/>
        <v>4</v>
      </c>
      <c r="BQ99" s="386">
        <f t="shared" si="23"/>
        <v>1</v>
      </c>
      <c r="BR99" s="386">
        <f t="shared" si="23"/>
        <v>2</v>
      </c>
      <c r="BS99" s="386">
        <f t="shared" si="23"/>
        <v>16</v>
      </c>
      <c r="BT99" s="386">
        <f t="shared" si="23"/>
        <v>1</v>
      </c>
      <c r="BU99" s="386">
        <f t="shared" si="23"/>
        <v>0</v>
      </c>
      <c r="BV99" s="386">
        <f t="shared" si="23"/>
        <v>0</v>
      </c>
      <c r="BW99" s="386">
        <f t="shared" si="23"/>
        <v>0</v>
      </c>
      <c r="BX99" s="386">
        <f t="shared" si="23"/>
        <v>0</v>
      </c>
      <c r="BY99" s="386">
        <f t="shared" si="23"/>
        <v>0</v>
      </c>
      <c r="BZ99" s="386">
        <f t="shared" si="23"/>
        <v>0</v>
      </c>
      <c r="CA99" s="386">
        <f t="shared" si="23"/>
        <v>0</v>
      </c>
      <c r="CB99" s="386">
        <f t="shared" si="23"/>
        <v>20</v>
      </c>
      <c r="CC99" s="386">
        <f t="shared" si="23"/>
        <v>0</v>
      </c>
      <c r="CD99" s="386">
        <f t="shared" si="23"/>
        <v>0</v>
      </c>
      <c r="CE99" s="386">
        <f t="shared" si="23"/>
        <v>0</v>
      </c>
      <c r="CF99" s="386">
        <f t="shared" si="23"/>
        <v>0</v>
      </c>
      <c r="CG99" s="386">
        <f t="shared" si="23"/>
        <v>3</v>
      </c>
      <c r="CH99" s="386">
        <f t="shared" si="23"/>
        <v>2</v>
      </c>
      <c r="CI99" s="386">
        <f t="shared" si="23"/>
        <v>0</v>
      </c>
      <c r="CJ99" s="386">
        <f t="shared" si="23"/>
        <v>0</v>
      </c>
      <c r="CK99" s="386">
        <f t="shared" si="23"/>
        <v>6</v>
      </c>
      <c r="CL99" s="386">
        <f t="shared" si="23"/>
        <v>0</v>
      </c>
      <c r="CM99" s="386">
        <f t="shared" si="23"/>
        <v>1</v>
      </c>
      <c r="CN99" s="386">
        <f t="shared" si="23"/>
        <v>0</v>
      </c>
      <c r="CO99" s="386">
        <f t="shared" si="23"/>
        <v>0</v>
      </c>
      <c r="CP99" s="386">
        <f t="shared" si="23"/>
        <v>0</v>
      </c>
      <c r="CQ99" s="386">
        <f t="shared" si="23"/>
        <v>1</v>
      </c>
      <c r="CR99" s="386">
        <f t="shared" si="23"/>
        <v>0</v>
      </c>
      <c r="CS99" s="386">
        <f t="shared" si="23"/>
        <v>0</v>
      </c>
      <c r="CT99" s="386">
        <f t="shared" si="23"/>
        <v>0</v>
      </c>
      <c r="CU99" s="386">
        <f t="shared" si="23"/>
        <v>0</v>
      </c>
      <c r="CV99" s="386">
        <f t="shared" si="23"/>
        <v>0</v>
      </c>
      <c r="CW99" s="386">
        <f t="shared" si="23"/>
        <v>0</v>
      </c>
      <c r="CX99" s="386">
        <f t="shared" si="23"/>
        <v>0</v>
      </c>
      <c r="CY99" s="386">
        <f t="shared" si="23"/>
        <v>0</v>
      </c>
      <c r="CZ99" s="386">
        <f t="shared" si="23"/>
        <v>0</v>
      </c>
      <c r="DA99" s="386">
        <f t="shared" si="23"/>
        <v>0</v>
      </c>
      <c r="DB99" s="386">
        <f t="shared" si="23"/>
        <v>0</v>
      </c>
      <c r="DC99" s="386">
        <f t="shared" si="23"/>
        <v>0</v>
      </c>
      <c r="DD99" s="386">
        <f t="shared" si="23"/>
        <v>0</v>
      </c>
      <c r="DE99" s="386">
        <f t="shared" si="23"/>
        <v>0</v>
      </c>
      <c r="DF99" s="386">
        <f t="shared" si="23"/>
        <v>0</v>
      </c>
      <c r="DG99" s="386">
        <f t="shared" si="23"/>
        <v>0</v>
      </c>
      <c r="DH99" s="386">
        <f t="shared" si="23"/>
        <v>0</v>
      </c>
      <c r="DI99" s="386">
        <f t="shared" si="23"/>
        <v>0</v>
      </c>
      <c r="DJ99" s="386">
        <f t="shared" si="23"/>
        <v>0</v>
      </c>
      <c r="DK99" s="386">
        <f t="shared" si="23"/>
        <v>0</v>
      </c>
      <c r="DL99" s="386">
        <f t="shared" si="23"/>
        <v>0</v>
      </c>
      <c r="DM99" s="386">
        <f t="shared" si="23"/>
        <v>0</v>
      </c>
      <c r="DN99" s="386">
        <f t="shared" si="23"/>
        <v>540</v>
      </c>
      <c r="DO99" s="388">
        <f>SUM(DO74:DO98)</f>
        <v>0</v>
      </c>
    </row>
    <row r="100" spans="1:128" ht="18.75">
      <c r="A100" s="406"/>
      <c r="B100" s="407"/>
      <c r="C100" s="408"/>
      <c r="D100" s="409"/>
      <c r="E100" s="409"/>
      <c r="F100" s="409"/>
      <c r="G100" s="409"/>
      <c r="H100" s="409"/>
      <c r="I100" s="409"/>
      <c r="J100" s="409"/>
      <c r="K100" s="409"/>
      <c r="L100" s="409"/>
      <c r="M100" s="409"/>
      <c r="N100" s="409"/>
      <c r="O100" s="409"/>
      <c r="P100" s="410"/>
      <c r="Q100" s="410"/>
      <c r="R100" s="410"/>
      <c r="S100" s="410"/>
      <c r="T100" s="411"/>
      <c r="U100" s="405"/>
      <c r="V100" s="405"/>
      <c r="W100" s="405"/>
      <c r="X100" s="408"/>
      <c r="Y100" s="408"/>
      <c r="Z100" s="408"/>
      <c r="AA100" s="408"/>
      <c r="AB100" s="408"/>
      <c r="AC100" s="408"/>
      <c r="AD100" s="408"/>
      <c r="AE100" s="408"/>
      <c r="AF100" s="408"/>
      <c r="AG100" s="408"/>
      <c r="AH100" s="408"/>
      <c r="AI100" s="408"/>
      <c r="AJ100" s="408"/>
      <c r="AK100" s="408"/>
      <c r="AL100" s="408"/>
      <c r="AM100" s="408"/>
      <c r="AN100" s="408"/>
      <c r="AO100" s="408"/>
      <c r="AP100" s="408"/>
      <c r="AQ100" s="408"/>
      <c r="AR100" s="408"/>
      <c r="AS100" s="412"/>
      <c r="AT100" s="413"/>
      <c r="AU100" s="405"/>
      <c r="AV100" s="408"/>
      <c r="AW100" s="408"/>
      <c r="AX100" s="412"/>
      <c r="AY100" s="413"/>
      <c r="AZ100" s="405"/>
      <c r="BA100" s="408"/>
      <c r="BB100" s="1183"/>
      <c r="BC100" s="413"/>
      <c r="BD100" s="414"/>
      <c r="BE100" s="415"/>
      <c r="BF100" s="415"/>
      <c r="BG100" s="415"/>
      <c r="BH100" s="415"/>
      <c r="BI100" s="415"/>
      <c r="BJ100" s="655"/>
      <c r="BK100" s="415"/>
      <c r="BL100" s="415"/>
      <c r="BM100" s="415"/>
      <c r="BN100" s="415"/>
      <c r="BO100" s="415"/>
      <c r="BP100" s="415"/>
      <c r="BQ100" s="415"/>
      <c r="BR100" s="415"/>
      <c r="BS100" s="415"/>
      <c r="BT100" s="415"/>
      <c r="BU100" s="655"/>
      <c r="BV100" s="415"/>
      <c r="BW100" s="415"/>
      <c r="BX100" s="415"/>
      <c r="BY100" s="655"/>
      <c r="BZ100" s="655"/>
      <c r="CA100" s="655"/>
      <c r="CB100" s="415"/>
      <c r="CC100" s="655"/>
      <c r="CD100" s="415"/>
      <c r="CE100" s="415"/>
      <c r="CF100" s="415"/>
      <c r="CG100" s="415"/>
      <c r="CH100" s="415"/>
      <c r="CI100" s="656"/>
      <c r="CJ100" s="416"/>
      <c r="CK100" s="656"/>
      <c r="CL100" s="416"/>
      <c r="CM100" s="656"/>
      <c r="CN100" s="416"/>
      <c r="CO100" s="416"/>
      <c r="CP100" s="416"/>
      <c r="CQ100" s="656"/>
      <c r="CR100" s="656"/>
      <c r="CS100" s="416"/>
      <c r="CT100" s="416"/>
      <c r="CU100" s="416"/>
      <c r="CV100" s="416"/>
      <c r="CW100" s="416"/>
      <c r="CX100" s="656"/>
      <c r="CY100" s="656"/>
      <c r="CZ100" s="416"/>
      <c r="DA100" s="416"/>
      <c r="DB100" s="416"/>
      <c r="DC100" s="416"/>
      <c r="DD100" s="416"/>
      <c r="DE100" s="416"/>
      <c r="DF100" s="416"/>
      <c r="DG100" s="416"/>
      <c r="DH100" s="416"/>
      <c r="DI100" s="416"/>
      <c r="DJ100" s="416"/>
      <c r="DK100" s="416"/>
      <c r="DL100" s="416"/>
      <c r="DM100" s="416"/>
      <c r="DN100" s="416"/>
      <c r="DO100" s="417"/>
    </row>
    <row r="101" spans="1:128">
      <c r="A101" s="406"/>
      <c r="B101" s="394" t="s">
        <v>258</v>
      </c>
      <c r="C101" s="408"/>
      <c r="D101" s="409"/>
      <c r="E101" s="409"/>
      <c r="F101" s="409"/>
      <c r="G101" s="409"/>
      <c r="H101" s="409"/>
      <c r="I101" s="409"/>
      <c r="J101" s="409"/>
      <c r="K101" s="409"/>
      <c r="L101" s="409"/>
      <c r="M101" s="409"/>
      <c r="N101" s="409"/>
      <c r="O101" s="409"/>
      <c r="P101" s="410"/>
      <c r="Q101" s="410"/>
      <c r="R101" s="410"/>
      <c r="S101" s="410"/>
      <c r="T101" s="411"/>
      <c r="U101" s="405"/>
      <c r="V101" s="405"/>
      <c r="W101" s="405"/>
      <c r="X101" s="408"/>
      <c r="Y101" s="408"/>
      <c r="Z101" s="408"/>
      <c r="AA101" s="408"/>
      <c r="AB101" s="408"/>
      <c r="AC101" s="408"/>
      <c r="AD101" s="408"/>
      <c r="AE101" s="408"/>
      <c r="AF101" s="408"/>
      <c r="AG101" s="408"/>
      <c r="AH101" s="408"/>
      <c r="AI101" s="408"/>
      <c r="AJ101" s="408"/>
      <c r="AK101" s="408"/>
      <c r="AL101" s="408"/>
      <c r="AM101" s="408"/>
      <c r="AN101" s="408"/>
      <c r="AO101" s="408"/>
      <c r="AP101" s="408"/>
      <c r="AQ101" s="408"/>
      <c r="AR101" s="408"/>
      <c r="AS101" s="412"/>
      <c r="AT101" s="413"/>
      <c r="AU101" s="405"/>
      <c r="AV101" s="408"/>
      <c r="AW101" s="408"/>
      <c r="AX101" s="412"/>
      <c r="AY101" s="413"/>
      <c r="AZ101" s="405"/>
      <c r="BA101" s="408"/>
      <c r="BB101" s="1183"/>
      <c r="BC101" s="413"/>
      <c r="BD101" s="414"/>
      <c r="BE101" s="415"/>
      <c r="BF101" s="415"/>
      <c r="BG101" s="415"/>
      <c r="BH101" s="415"/>
      <c r="BI101" s="415"/>
      <c r="BJ101" s="655"/>
      <c r="BK101" s="415"/>
      <c r="BL101" s="415"/>
      <c r="BM101" s="415"/>
      <c r="BN101" s="415"/>
      <c r="BO101" s="415"/>
      <c r="BP101" s="415"/>
      <c r="BQ101" s="415"/>
      <c r="BR101" s="415"/>
      <c r="BS101" s="415"/>
      <c r="BT101" s="415"/>
      <c r="BU101" s="655"/>
      <c r="BV101" s="415"/>
      <c r="BW101" s="415"/>
      <c r="BX101" s="415"/>
      <c r="BY101" s="655"/>
      <c r="BZ101" s="655"/>
      <c r="CA101" s="655"/>
      <c r="CB101" s="415"/>
      <c r="CC101" s="655"/>
      <c r="CD101" s="415"/>
      <c r="CE101" s="415"/>
      <c r="CF101" s="415"/>
      <c r="CG101" s="415"/>
      <c r="CH101" s="415"/>
      <c r="CI101" s="656"/>
      <c r="CJ101" s="416"/>
      <c r="CK101" s="656"/>
      <c r="CL101" s="416"/>
      <c r="CM101" s="656"/>
      <c r="CN101" s="416"/>
      <c r="CO101" s="416"/>
      <c r="CP101" s="416"/>
      <c r="CQ101" s="656"/>
      <c r="CR101" s="656"/>
      <c r="CS101" s="416"/>
      <c r="CT101" s="416"/>
      <c r="CU101" s="416"/>
      <c r="CV101" s="416"/>
      <c r="CW101" s="416"/>
      <c r="CX101" s="656"/>
      <c r="CY101" s="656"/>
      <c r="CZ101" s="416"/>
      <c r="DA101" s="416"/>
      <c r="DB101" s="416"/>
      <c r="DC101" s="416"/>
      <c r="DD101" s="416"/>
      <c r="DE101" s="416"/>
      <c r="DF101" s="416"/>
      <c r="DG101" s="416"/>
      <c r="DH101" s="416"/>
      <c r="DI101" s="416"/>
      <c r="DJ101" s="416"/>
      <c r="DK101" s="416"/>
      <c r="DL101" s="416"/>
      <c r="DM101" s="416"/>
      <c r="DN101" s="416"/>
      <c r="DO101" s="417"/>
    </row>
    <row r="102" spans="1:128">
      <c r="A102" s="406"/>
      <c r="B102" s="366"/>
      <c r="C102" s="408"/>
      <c r="D102" s="409"/>
      <c r="E102" s="409"/>
      <c r="F102" s="409"/>
      <c r="G102" s="409"/>
      <c r="H102" s="409"/>
      <c r="I102" s="409"/>
      <c r="J102" s="409"/>
      <c r="K102" s="409"/>
      <c r="L102" s="409"/>
      <c r="M102" s="409"/>
      <c r="N102" s="409"/>
      <c r="O102" s="409"/>
      <c r="P102" s="410"/>
      <c r="Q102" s="410"/>
      <c r="R102" s="410"/>
      <c r="S102" s="410"/>
      <c r="T102" s="360">
        <f>SUM(C102:O102)</f>
        <v>0</v>
      </c>
      <c r="U102" s="405"/>
      <c r="V102" s="405"/>
      <c r="W102" s="405"/>
      <c r="X102" s="408"/>
      <c r="Y102" s="408"/>
      <c r="Z102" s="408"/>
      <c r="AA102" s="408"/>
      <c r="AB102" s="408"/>
      <c r="AC102" s="408"/>
      <c r="AD102" s="408"/>
      <c r="AE102" s="408"/>
      <c r="AF102" s="408"/>
      <c r="AG102" s="408"/>
      <c r="AH102" s="408"/>
      <c r="AI102" s="408"/>
      <c r="AJ102" s="408"/>
      <c r="AK102" s="408"/>
      <c r="AL102" s="408"/>
      <c r="AM102" s="408"/>
      <c r="AN102" s="408"/>
      <c r="AO102" s="408"/>
      <c r="AP102" s="408"/>
      <c r="AQ102" s="408"/>
      <c r="AR102" s="408"/>
      <c r="AS102" s="412"/>
      <c r="AT102" s="413"/>
      <c r="AU102" s="405"/>
      <c r="AV102" s="408"/>
      <c r="AW102" s="408"/>
      <c r="AX102" s="412"/>
      <c r="AY102" s="413"/>
      <c r="AZ102" s="405"/>
      <c r="BA102" s="408"/>
      <c r="BB102" s="1183"/>
      <c r="BC102" s="413"/>
      <c r="BD102" s="414"/>
      <c r="BE102" s="415"/>
      <c r="BF102" s="415"/>
      <c r="BG102" s="415"/>
      <c r="BH102" s="415"/>
      <c r="BI102" s="415"/>
      <c r="BJ102" s="655"/>
      <c r="BK102" s="415"/>
      <c r="BL102" s="415"/>
      <c r="BM102" s="415"/>
      <c r="BN102" s="415"/>
      <c r="BO102" s="415"/>
      <c r="BP102" s="415"/>
      <c r="BQ102" s="415"/>
      <c r="BR102" s="415"/>
      <c r="BS102" s="415"/>
      <c r="BT102" s="415"/>
      <c r="BU102" s="655"/>
      <c r="BV102" s="415"/>
      <c r="BW102" s="415"/>
      <c r="BX102" s="415"/>
      <c r="BY102" s="655"/>
      <c r="BZ102" s="655"/>
      <c r="CA102" s="655"/>
      <c r="CB102" s="415"/>
      <c r="CC102" s="655"/>
      <c r="CD102" s="415"/>
      <c r="CE102" s="415"/>
      <c r="CF102" s="415"/>
      <c r="CG102" s="415"/>
      <c r="CH102" s="415"/>
      <c r="CI102" s="656"/>
      <c r="CJ102" s="416"/>
      <c r="CK102" s="656"/>
      <c r="CL102" s="416"/>
      <c r="CM102" s="656"/>
      <c r="CN102" s="416"/>
      <c r="CO102" s="416"/>
      <c r="CP102" s="416"/>
      <c r="CQ102" s="656"/>
      <c r="CR102" s="656"/>
      <c r="CS102" s="416"/>
      <c r="CT102" s="416"/>
      <c r="CU102" s="416"/>
      <c r="CV102" s="416"/>
      <c r="CW102" s="416"/>
      <c r="CX102" s="656"/>
      <c r="CY102" s="656"/>
      <c r="CZ102" s="416"/>
      <c r="DA102" s="416"/>
      <c r="DB102" s="416"/>
      <c r="DC102" s="416"/>
      <c r="DD102" s="416"/>
      <c r="DE102" s="416"/>
      <c r="DF102" s="416"/>
      <c r="DG102" s="416"/>
      <c r="DH102" s="416"/>
      <c r="DI102" s="416"/>
      <c r="DJ102" s="416"/>
      <c r="DK102" s="416"/>
      <c r="DL102" s="416"/>
      <c r="DM102" s="416"/>
      <c r="DN102" s="416"/>
      <c r="DO102" s="417"/>
    </row>
    <row r="103" spans="1:128">
      <c r="A103" s="355"/>
      <c r="B103" s="368" t="s">
        <v>381</v>
      </c>
      <c r="C103" s="357"/>
      <c r="D103" s="375">
        <f>ROUNDUP(585,0)</f>
        <v>585</v>
      </c>
      <c r="E103" s="358"/>
      <c r="F103" s="375"/>
      <c r="G103" s="358"/>
      <c r="H103" s="358"/>
      <c r="I103" s="358"/>
      <c r="J103" s="369"/>
      <c r="K103" s="358"/>
      <c r="L103" s="358"/>
      <c r="M103" s="358"/>
      <c r="N103" s="358"/>
      <c r="O103" s="358"/>
      <c r="P103" s="359"/>
      <c r="Q103" s="359"/>
      <c r="R103" s="359"/>
      <c r="S103" s="359"/>
      <c r="T103" s="360"/>
      <c r="U103" s="361"/>
      <c r="V103" s="361"/>
      <c r="W103" s="361"/>
      <c r="X103" s="357"/>
      <c r="Y103" s="357"/>
      <c r="Z103" s="357"/>
      <c r="AA103" s="357"/>
      <c r="AB103" s="357"/>
      <c r="AC103" s="357"/>
      <c r="AD103" s="357">
        <f>ROUNDUP((299*3.4)-(BJ7+BM7+BO7+(BP7*4)+BQ7+(BR7*2)+(BS7*28)+BV7+CH7+(CO7*4)+(CS7*4)+CV7+CW7+(CY7*4)),0)</f>
        <v>845</v>
      </c>
      <c r="AE103" s="357"/>
      <c r="AF103" s="357"/>
      <c r="AG103" s="357"/>
      <c r="AH103" s="357"/>
      <c r="AI103" s="357"/>
      <c r="AJ103" s="357"/>
      <c r="AK103" s="357"/>
      <c r="AL103" s="357"/>
      <c r="AM103" s="357"/>
      <c r="AN103" s="357"/>
      <c r="AO103" s="357"/>
      <c r="AP103" s="357"/>
      <c r="AQ103" s="357"/>
      <c r="AR103" s="357"/>
      <c r="AS103" s="362"/>
      <c r="AT103" s="360"/>
      <c r="AU103" s="397"/>
      <c r="AV103" s="364"/>
      <c r="AW103" s="370">
        <f>D103</f>
        <v>585</v>
      </c>
      <c r="AX103" s="364"/>
      <c r="AY103" s="365"/>
      <c r="AZ103" s="363">
        <f>AD103</f>
        <v>845</v>
      </c>
      <c r="BA103" s="364"/>
      <c r="BB103" s="395"/>
      <c r="BC103" s="365">
        <f t="shared" ref="BC103:BC146" si="24">SUM(AU103:AW103)</f>
        <v>585</v>
      </c>
      <c r="BD103" s="371"/>
      <c r="BE103" s="358"/>
      <c r="BF103" s="358"/>
      <c r="BG103" s="358"/>
      <c r="BH103" s="358"/>
      <c r="BI103" s="358"/>
      <c r="BJ103" s="358"/>
      <c r="BK103" s="358"/>
      <c r="BL103" s="358"/>
      <c r="BM103" s="358"/>
      <c r="BN103" s="358"/>
      <c r="BO103" s="358"/>
      <c r="BP103" s="358"/>
      <c r="BQ103" s="358"/>
      <c r="BR103" s="358"/>
      <c r="BS103" s="358"/>
      <c r="BT103" s="358"/>
      <c r="BU103" s="358"/>
      <c r="BV103" s="358"/>
      <c r="BW103" s="358"/>
      <c r="BX103" s="358"/>
      <c r="BY103" s="358"/>
      <c r="BZ103" s="358"/>
      <c r="CA103" s="358"/>
      <c r="CB103" s="358"/>
      <c r="CC103" s="358"/>
      <c r="CD103" s="358"/>
      <c r="CE103" s="358"/>
      <c r="CF103" s="358"/>
      <c r="CG103" s="358"/>
      <c r="CH103" s="369"/>
      <c r="CI103" s="400"/>
      <c r="CJ103" s="359"/>
      <c r="CK103" s="359"/>
      <c r="CL103" s="359"/>
      <c r="CM103" s="359"/>
      <c r="CN103" s="359"/>
      <c r="CO103" s="359"/>
      <c r="CP103" s="359"/>
      <c r="CQ103" s="359"/>
      <c r="CR103" s="359"/>
      <c r="CS103" s="359"/>
      <c r="CT103" s="359"/>
      <c r="CU103" s="359"/>
      <c r="CV103" s="359">
        <v>1</v>
      </c>
      <c r="CW103" s="359"/>
      <c r="CX103" s="359"/>
      <c r="CY103" s="359">
        <v>4</v>
      </c>
      <c r="CZ103" s="359"/>
      <c r="DA103" s="359"/>
      <c r="DB103" s="359"/>
      <c r="DC103" s="359"/>
      <c r="DD103" s="359"/>
      <c r="DE103" s="359"/>
      <c r="DF103" s="359"/>
      <c r="DG103" s="359"/>
      <c r="DH103" s="359"/>
      <c r="DI103" s="359"/>
      <c r="DJ103" s="359"/>
      <c r="DK103" s="359"/>
      <c r="DL103" s="359"/>
      <c r="DM103" s="359"/>
      <c r="DN103" s="359"/>
      <c r="DO103" s="367"/>
    </row>
    <row r="104" spans="1:128">
      <c r="A104" s="355"/>
      <c r="B104" s="374" t="s">
        <v>363</v>
      </c>
      <c r="C104" s="375">
        <f>ROUNDUP(20.58,0)</f>
        <v>21</v>
      </c>
      <c r="D104" s="358"/>
      <c r="E104" s="358"/>
      <c r="F104" s="375"/>
      <c r="G104" s="375"/>
      <c r="H104" s="358"/>
      <c r="I104" s="358"/>
      <c r="J104" s="369"/>
      <c r="K104" s="358"/>
      <c r="L104" s="358"/>
      <c r="M104" s="358"/>
      <c r="N104" s="358"/>
      <c r="O104" s="358"/>
      <c r="P104" s="359"/>
      <c r="Q104" s="359"/>
      <c r="R104" s="359"/>
      <c r="S104" s="359"/>
      <c r="T104" s="360"/>
      <c r="U104" s="361">
        <f>ROUNDUP((14.2*3.4)-(BR7+CH7),0)</f>
        <v>44</v>
      </c>
      <c r="V104" s="361">
        <f>ROUNDUP(7.8*3.4,0)</f>
        <v>27</v>
      </c>
      <c r="W104" s="361"/>
      <c r="X104" s="357"/>
      <c r="Y104" s="357"/>
      <c r="Z104" s="357"/>
      <c r="AA104" s="357"/>
      <c r="AB104" s="357"/>
      <c r="AC104" s="357"/>
      <c r="AD104" s="361">
        <f>ROUNDUP((22*3.4)-(BR7+CH7),0)</f>
        <v>70</v>
      </c>
      <c r="AE104" s="357"/>
      <c r="AF104" s="357"/>
      <c r="AG104" s="357"/>
      <c r="AH104" s="357"/>
      <c r="AI104" s="357"/>
      <c r="AJ104" s="357"/>
      <c r="AK104" s="357"/>
      <c r="AL104" s="357"/>
      <c r="AM104" s="357"/>
      <c r="AN104" s="357"/>
      <c r="AO104" s="357"/>
      <c r="AP104" s="357"/>
      <c r="AQ104" s="357">
        <f>ROUNDUP(BR9+CH9,0)</f>
        <v>8</v>
      </c>
      <c r="AR104" s="357">
        <f>3*3.4</f>
        <v>10.199999999999999</v>
      </c>
      <c r="AS104" s="362"/>
      <c r="AT104" s="360">
        <f>ROUNDUP(BR8+CH8,0)</f>
        <v>5</v>
      </c>
      <c r="AU104" s="397"/>
      <c r="AV104" s="364"/>
      <c r="AW104" s="370">
        <f>C104</f>
        <v>21</v>
      </c>
      <c r="AX104" s="364"/>
      <c r="AY104" s="365"/>
      <c r="AZ104" s="363">
        <f t="shared" ref="AZ104:AZ135" si="25">AD104</f>
        <v>70</v>
      </c>
      <c r="BA104" s="364"/>
      <c r="BB104" s="395"/>
      <c r="BC104" s="365">
        <f t="shared" si="24"/>
        <v>21</v>
      </c>
      <c r="BD104" s="371"/>
      <c r="BE104" s="358"/>
      <c r="BF104" s="358"/>
      <c r="BG104" s="358"/>
      <c r="BH104" s="358"/>
      <c r="BI104" s="358"/>
      <c r="BJ104" s="358"/>
      <c r="BK104" s="358"/>
      <c r="BL104" s="358"/>
      <c r="BM104" s="358"/>
      <c r="BN104" s="358"/>
      <c r="BO104" s="358"/>
      <c r="BP104" s="358"/>
      <c r="BQ104" s="358"/>
      <c r="BR104" s="369">
        <v>1</v>
      </c>
      <c r="BS104" s="358"/>
      <c r="BT104" s="358"/>
      <c r="BU104" s="358"/>
      <c r="BV104" s="358"/>
      <c r="BW104" s="358"/>
      <c r="BX104" s="358"/>
      <c r="BY104" s="358"/>
      <c r="BZ104" s="358"/>
      <c r="CA104" s="358"/>
      <c r="CB104" s="358"/>
      <c r="CC104" s="358"/>
      <c r="CD104" s="358"/>
      <c r="CE104" s="358"/>
      <c r="CF104" s="358"/>
      <c r="CG104" s="358"/>
      <c r="CH104" s="369"/>
      <c r="CI104" s="400"/>
      <c r="CJ104" s="359"/>
      <c r="CK104" s="359"/>
      <c r="CL104" s="359"/>
      <c r="CM104" s="359"/>
      <c r="CN104" s="359"/>
      <c r="CO104" s="359"/>
      <c r="CP104" s="359"/>
      <c r="CQ104" s="359"/>
      <c r="CR104" s="359"/>
      <c r="CS104" s="359"/>
      <c r="CT104" s="359"/>
      <c r="CU104" s="359"/>
      <c r="CV104" s="359"/>
      <c r="CW104" s="359">
        <v>1</v>
      </c>
      <c r="CX104" s="359"/>
      <c r="CY104" s="359"/>
      <c r="CZ104" s="359"/>
      <c r="DA104" s="359"/>
      <c r="DB104" s="359"/>
      <c r="DC104" s="359"/>
      <c r="DD104" s="359"/>
      <c r="DE104" s="359"/>
      <c r="DF104" s="359"/>
      <c r="DG104" s="359"/>
      <c r="DH104" s="359"/>
      <c r="DI104" s="359"/>
      <c r="DJ104" s="359"/>
      <c r="DK104" s="359"/>
      <c r="DL104" s="359"/>
      <c r="DM104" s="359"/>
      <c r="DN104" s="359"/>
      <c r="DO104" s="367"/>
    </row>
    <row r="105" spans="1:128">
      <c r="A105" s="355"/>
      <c r="B105" s="374" t="s">
        <v>406</v>
      </c>
      <c r="C105" s="375">
        <f>ROUNDUP(29.68,0)</f>
        <v>30</v>
      </c>
      <c r="D105" s="358"/>
      <c r="E105" s="358"/>
      <c r="F105" s="375"/>
      <c r="G105" s="375"/>
      <c r="H105" s="358"/>
      <c r="I105" s="358"/>
      <c r="J105" s="369"/>
      <c r="K105" s="358"/>
      <c r="L105" s="358"/>
      <c r="M105" s="358"/>
      <c r="N105" s="358"/>
      <c r="O105" s="358"/>
      <c r="P105" s="359"/>
      <c r="Q105" s="359"/>
      <c r="R105" s="359"/>
      <c r="S105" s="359"/>
      <c r="T105" s="360"/>
      <c r="U105" s="361">
        <f>ROUNDUP((21.83*3.5)-(BJ7+CG7),0)</f>
        <v>63</v>
      </c>
      <c r="V105" s="361"/>
      <c r="W105" s="361"/>
      <c r="X105" s="357"/>
      <c r="Y105" s="357"/>
      <c r="Z105" s="357"/>
      <c r="AA105" s="357"/>
      <c r="AB105" s="357"/>
      <c r="AC105" s="357">
        <f>ROUNDUP(((6+3.3)*4.7)-CB7,0)</f>
        <v>36</v>
      </c>
      <c r="AD105" s="357">
        <f>U105</f>
        <v>63</v>
      </c>
      <c r="AE105" s="357"/>
      <c r="AF105" s="357"/>
      <c r="AG105" s="357"/>
      <c r="AH105" s="357"/>
      <c r="AI105" s="357"/>
      <c r="AJ105" s="357"/>
      <c r="AK105" s="357"/>
      <c r="AL105" s="357"/>
      <c r="AM105" s="357"/>
      <c r="AN105" s="357"/>
      <c r="AO105" s="357"/>
      <c r="AP105" s="357"/>
      <c r="AQ105" s="357">
        <f>ROUNDUP(BJ9+CG9,0)</f>
        <v>6</v>
      </c>
      <c r="AR105" s="357"/>
      <c r="AS105" s="362"/>
      <c r="AT105" s="360">
        <f>ROUNDUP(BJ8+CG8,0)</f>
        <v>13</v>
      </c>
      <c r="AU105" s="397"/>
      <c r="AV105" s="364"/>
      <c r="AW105" s="370">
        <f>C105</f>
        <v>30</v>
      </c>
      <c r="AX105" s="364"/>
      <c r="AY105" s="365"/>
      <c r="AZ105" s="363">
        <f t="shared" si="25"/>
        <v>63</v>
      </c>
      <c r="BA105" s="364">
        <f t="shared" ref="BA105:BA119" si="26">AC105</f>
        <v>36</v>
      </c>
      <c r="BB105" s="395"/>
      <c r="BC105" s="365">
        <f t="shared" si="24"/>
        <v>30</v>
      </c>
      <c r="BD105" s="371"/>
      <c r="BE105" s="358"/>
      <c r="BF105" s="358"/>
      <c r="BG105" s="358"/>
      <c r="BH105" s="358"/>
      <c r="BI105" s="369"/>
      <c r="BJ105" s="369">
        <v>1</v>
      </c>
      <c r="BK105" s="369"/>
      <c r="BL105" s="358"/>
      <c r="BM105" s="358"/>
      <c r="BN105" s="358"/>
      <c r="BO105" s="358"/>
      <c r="BP105" s="358"/>
      <c r="BQ105" s="358"/>
      <c r="BR105" s="369"/>
      <c r="BS105" s="358"/>
      <c r="BT105" s="358"/>
      <c r="BU105" s="358"/>
      <c r="BV105" s="358"/>
      <c r="BW105" s="358"/>
      <c r="BX105" s="358"/>
      <c r="BY105" s="358"/>
      <c r="BZ105" s="358"/>
      <c r="CA105" s="358"/>
      <c r="CB105" s="358"/>
      <c r="CC105" s="358"/>
      <c r="CD105" s="358"/>
      <c r="CE105" s="358"/>
      <c r="CF105" s="369"/>
      <c r="CG105" s="369">
        <v>1</v>
      </c>
      <c r="CH105" s="369"/>
      <c r="CI105" s="400"/>
      <c r="CJ105" s="359"/>
      <c r="CK105" s="359"/>
      <c r="CL105" s="359"/>
      <c r="CM105" s="359"/>
      <c r="CN105" s="359"/>
      <c r="CO105" s="359"/>
      <c r="CP105" s="359"/>
      <c r="CQ105" s="359"/>
      <c r="CR105" s="359"/>
      <c r="CS105" s="359"/>
      <c r="CT105" s="359"/>
      <c r="CU105" s="359"/>
      <c r="CV105" s="359"/>
      <c r="CW105" s="359"/>
      <c r="CX105" s="359"/>
      <c r="CY105" s="359"/>
      <c r="CZ105" s="359"/>
      <c r="DA105" s="359"/>
      <c r="DB105" s="359"/>
      <c r="DC105" s="359"/>
      <c r="DD105" s="359"/>
      <c r="DE105" s="359"/>
      <c r="DF105" s="359"/>
      <c r="DG105" s="359"/>
      <c r="DH105" s="359"/>
      <c r="DI105" s="359"/>
      <c r="DJ105" s="359"/>
      <c r="DK105" s="359"/>
      <c r="DL105" s="359"/>
      <c r="DM105" s="359"/>
      <c r="DN105" s="359"/>
      <c r="DO105" s="367"/>
    </row>
    <row r="106" spans="1:128">
      <c r="A106" s="355"/>
      <c r="B106" s="368" t="s">
        <v>404</v>
      </c>
      <c r="C106" s="375">
        <f>ROUNDUP(25.78,0)</f>
        <v>26</v>
      </c>
      <c r="D106" s="375"/>
      <c r="E106" s="358"/>
      <c r="F106" s="375"/>
      <c r="G106" s="358"/>
      <c r="H106" s="358"/>
      <c r="I106" s="358"/>
      <c r="J106" s="369"/>
      <c r="K106" s="358"/>
      <c r="L106" s="358"/>
      <c r="M106" s="358"/>
      <c r="N106" s="358"/>
      <c r="O106" s="358"/>
      <c r="P106" s="359"/>
      <c r="Q106" s="359"/>
      <c r="R106" s="359"/>
      <c r="S106" s="359"/>
      <c r="T106" s="360"/>
      <c r="U106" s="361"/>
      <c r="V106" s="361">
        <f>ROUNDUP((23*5.55)-BO7,0)</f>
        <v>126</v>
      </c>
      <c r="W106" s="361"/>
      <c r="X106" s="357"/>
      <c r="Y106" s="357"/>
      <c r="Z106" s="357"/>
      <c r="AA106" s="357"/>
      <c r="AB106" s="357"/>
      <c r="AC106" s="357">
        <f>ROUNDUP((11.3*4.7)-(BO7+CH7),0)</f>
        <v>48</v>
      </c>
      <c r="AD106" s="357">
        <f>V106</f>
        <v>126</v>
      </c>
      <c r="AE106" s="357"/>
      <c r="AF106" s="357"/>
      <c r="AG106" s="357"/>
      <c r="AH106" s="357"/>
      <c r="AI106" s="357"/>
      <c r="AJ106" s="357"/>
      <c r="AK106" s="357"/>
      <c r="AL106" s="357"/>
      <c r="AM106" s="357"/>
      <c r="AN106" s="357"/>
      <c r="AO106" s="357"/>
      <c r="AP106" s="357"/>
      <c r="AQ106" s="357">
        <f>ROUNDUP((3*4.7)+BO9,0)</f>
        <v>19</v>
      </c>
      <c r="AR106" s="357"/>
      <c r="AS106" s="362"/>
      <c r="AT106" s="360">
        <f>BO8</f>
        <v>1.1000000000000001</v>
      </c>
      <c r="AU106" s="397"/>
      <c r="AV106" s="364"/>
      <c r="AW106" s="370">
        <f>C106</f>
        <v>26</v>
      </c>
      <c r="AX106" s="364"/>
      <c r="AY106" s="365"/>
      <c r="AZ106" s="363">
        <f t="shared" si="25"/>
        <v>126</v>
      </c>
      <c r="BA106" s="364">
        <f t="shared" si="26"/>
        <v>48</v>
      </c>
      <c r="BB106" s="395"/>
      <c r="BC106" s="365">
        <f t="shared" si="24"/>
        <v>26</v>
      </c>
      <c r="BD106" s="371"/>
      <c r="BE106" s="358"/>
      <c r="BF106" s="358"/>
      <c r="BG106" s="358"/>
      <c r="BH106" s="358"/>
      <c r="BI106" s="358"/>
      <c r="BJ106" s="358"/>
      <c r="BK106" s="358"/>
      <c r="BL106" s="358"/>
      <c r="BM106" s="358"/>
      <c r="BN106" s="358"/>
      <c r="BO106" s="369">
        <v>1</v>
      </c>
      <c r="BP106" s="358"/>
      <c r="BQ106" s="358"/>
      <c r="BR106" s="358"/>
      <c r="BS106" s="358"/>
      <c r="BT106" s="358"/>
      <c r="BU106" s="358"/>
      <c r="BV106" s="358"/>
      <c r="BW106" s="358"/>
      <c r="BX106" s="358"/>
      <c r="BY106" s="358"/>
      <c r="BZ106" s="358"/>
      <c r="CA106" s="358"/>
      <c r="CB106" s="358"/>
      <c r="CC106" s="358"/>
      <c r="CD106" s="358"/>
      <c r="CE106" s="358"/>
      <c r="CF106" s="358"/>
      <c r="CG106" s="358"/>
      <c r="CH106" s="358"/>
      <c r="CI106" s="359"/>
      <c r="CJ106" s="359"/>
      <c r="CK106" s="359"/>
      <c r="CL106" s="359"/>
      <c r="CM106" s="359"/>
      <c r="CN106" s="359"/>
      <c r="CO106" s="359"/>
      <c r="CP106" s="359"/>
      <c r="CQ106" s="359"/>
      <c r="CR106" s="359"/>
      <c r="CS106" s="359"/>
      <c r="CT106" s="359"/>
      <c r="CU106" s="359"/>
      <c r="CV106" s="359"/>
      <c r="CW106" s="359"/>
      <c r="CX106" s="359"/>
      <c r="CY106" s="359"/>
      <c r="CZ106" s="359"/>
      <c r="DA106" s="359"/>
      <c r="DB106" s="359"/>
      <c r="DC106" s="359"/>
      <c r="DD106" s="359"/>
      <c r="DE106" s="359"/>
      <c r="DF106" s="359"/>
      <c r="DG106" s="359"/>
      <c r="DH106" s="359"/>
      <c r="DI106" s="359"/>
      <c r="DJ106" s="359"/>
      <c r="DK106" s="359"/>
      <c r="DL106" s="359"/>
      <c r="DM106" s="359"/>
      <c r="DN106" s="359"/>
      <c r="DO106" s="367"/>
    </row>
    <row r="107" spans="1:128" s="63" customFormat="1">
      <c r="A107" s="373"/>
      <c r="B107" s="374" t="s">
        <v>1360</v>
      </c>
      <c r="C107" s="357"/>
      <c r="D107" s="375">
        <f>ROUNDUP(79.06,0)</f>
        <v>80</v>
      </c>
      <c r="E107" s="375"/>
      <c r="F107" s="357"/>
      <c r="G107" s="357"/>
      <c r="H107" s="357"/>
      <c r="I107" s="357"/>
      <c r="J107" s="357"/>
      <c r="K107" s="357"/>
      <c r="L107" s="357"/>
      <c r="M107" s="357"/>
      <c r="N107" s="357"/>
      <c r="O107" s="357"/>
      <c r="P107" s="362"/>
      <c r="Q107" s="362"/>
      <c r="R107" s="362"/>
      <c r="S107" s="362"/>
      <c r="T107" s="360"/>
      <c r="U107" s="361">
        <f>ROUNDUP((32.2*3.4)-(BV7+CU7),0)</f>
        <v>85</v>
      </c>
      <c r="V107" s="361"/>
      <c r="W107" s="361"/>
      <c r="X107" s="357"/>
      <c r="Y107" s="357"/>
      <c r="Z107" s="357"/>
      <c r="AA107" s="357"/>
      <c r="AB107" s="357"/>
      <c r="AC107" s="357"/>
      <c r="AD107" s="361">
        <f>ROUNDUP((40*3.4)-(BV7+CU7),0)</f>
        <v>112</v>
      </c>
      <c r="AE107" s="357"/>
      <c r="AF107" s="357"/>
      <c r="AG107" s="357"/>
      <c r="AH107" s="357"/>
      <c r="AI107" s="357"/>
      <c r="AJ107" s="357"/>
      <c r="AK107" s="357"/>
      <c r="AL107" s="357"/>
      <c r="AM107" s="357"/>
      <c r="AN107" s="357"/>
      <c r="AO107" s="357"/>
      <c r="AP107" s="357"/>
      <c r="AQ107" s="357">
        <f>ROUNDUP((BV9+CU9)+(2*3.4),0)</f>
        <v>16</v>
      </c>
      <c r="AR107" s="357"/>
      <c r="AS107" s="362"/>
      <c r="AT107" s="360">
        <f>ROUNDUP(BV8+CU8,0)</f>
        <v>16</v>
      </c>
      <c r="AU107" s="374">
        <f>D107</f>
        <v>80</v>
      </c>
      <c r="AV107" s="357"/>
      <c r="AW107" s="357"/>
      <c r="AX107" s="357"/>
      <c r="AY107" s="360"/>
      <c r="AZ107" s="363">
        <f t="shared" si="25"/>
        <v>112</v>
      </c>
      <c r="BA107" s="364">
        <f t="shared" si="26"/>
        <v>0</v>
      </c>
      <c r="BB107" s="395"/>
      <c r="BC107" s="365">
        <f t="shared" si="24"/>
        <v>80</v>
      </c>
      <c r="BD107" s="361"/>
      <c r="BE107" s="357"/>
      <c r="BF107" s="357"/>
      <c r="BG107" s="357"/>
      <c r="BH107" s="357"/>
      <c r="BI107" s="357"/>
      <c r="BJ107" s="357"/>
      <c r="BK107" s="418"/>
      <c r="BL107" s="357"/>
      <c r="BM107" s="357"/>
      <c r="BN107" s="357"/>
      <c r="BO107" s="357"/>
      <c r="BP107" s="357"/>
      <c r="BQ107" s="357"/>
      <c r="BR107" s="357"/>
      <c r="BS107" s="375"/>
      <c r="BT107" s="375"/>
      <c r="BU107" s="375"/>
      <c r="BV107" s="357">
        <v>1</v>
      </c>
      <c r="BW107" s="357"/>
      <c r="BX107" s="357"/>
      <c r="BY107" s="357"/>
      <c r="BZ107" s="357"/>
      <c r="CA107" s="357"/>
      <c r="CB107" s="375"/>
      <c r="CC107" s="375"/>
      <c r="CD107" s="357"/>
      <c r="CE107" s="357"/>
      <c r="CF107" s="375"/>
      <c r="CG107" s="375"/>
      <c r="CH107" s="357"/>
      <c r="CI107" s="362"/>
      <c r="CJ107" s="362"/>
      <c r="CK107" s="362"/>
      <c r="CL107" s="362"/>
      <c r="CM107" s="362"/>
      <c r="CN107" s="362"/>
      <c r="CO107" s="362"/>
      <c r="CP107" s="362"/>
      <c r="CQ107" s="362"/>
      <c r="CR107" s="362"/>
      <c r="CS107" s="362"/>
      <c r="CT107" s="362"/>
      <c r="CU107" s="362">
        <v>1</v>
      </c>
      <c r="CV107" s="362"/>
      <c r="CW107" s="362"/>
      <c r="CX107" s="362"/>
      <c r="CY107" s="362"/>
      <c r="CZ107" s="362"/>
      <c r="DA107" s="362"/>
      <c r="DB107" s="362"/>
      <c r="DC107" s="362"/>
      <c r="DD107" s="362"/>
      <c r="DE107" s="362"/>
      <c r="DF107" s="362"/>
      <c r="DG107" s="362"/>
      <c r="DH107" s="362"/>
      <c r="DI107" s="362"/>
      <c r="DJ107" s="362"/>
      <c r="DK107" s="362"/>
      <c r="DL107" s="362"/>
      <c r="DM107" s="362"/>
      <c r="DN107" s="362"/>
      <c r="DO107" s="360"/>
      <c r="DP107" s="310"/>
      <c r="DQ107" s="310"/>
      <c r="DR107" s="310"/>
      <c r="DS107" s="310"/>
      <c r="DT107" s="310"/>
      <c r="DU107" s="310"/>
      <c r="DV107" s="310"/>
      <c r="DW107" s="310"/>
      <c r="DX107" s="310"/>
    </row>
    <row r="108" spans="1:128" s="63" customFormat="1">
      <c r="A108" s="373"/>
      <c r="B108" s="374" t="s">
        <v>388</v>
      </c>
      <c r="C108" s="357"/>
      <c r="D108" s="375">
        <f>ROUNDUP(42.92,0)</f>
        <v>43</v>
      </c>
      <c r="E108" s="375"/>
      <c r="F108" s="357"/>
      <c r="G108" s="357"/>
      <c r="H108" s="357"/>
      <c r="I108" s="357"/>
      <c r="J108" s="357"/>
      <c r="K108" s="357"/>
      <c r="L108" s="357"/>
      <c r="M108" s="357"/>
      <c r="N108" s="357"/>
      <c r="O108" s="357"/>
      <c r="P108" s="362"/>
      <c r="Q108" s="362"/>
      <c r="R108" s="362"/>
      <c r="S108" s="362"/>
      <c r="T108" s="360"/>
      <c r="U108" s="361">
        <f>ROUNDUP(((26.3+(0.7*3))*3.4)-(BS7*+CB7),0)</f>
        <v>74</v>
      </c>
      <c r="V108" s="361"/>
      <c r="W108" s="361"/>
      <c r="X108" s="357"/>
      <c r="Y108" s="357"/>
      <c r="Z108" s="357"/>
      <c r="AA108" s="357"/>
      <c r="AB108" s="357"/>
      <c r="AC108" s="357"/>
      <c r="AD108" s="357">
        <f>U108</f>
        <v>74</v>
      </c>
      <c r="AE108" s="357"/>
      <c r="AF108" s="357"/>
      <c r="AG108" s="357"/>
      <c r="AH108" s="357"/>
      <c r="AI108" s="357"/>
      <c r="AJ108" s="357"/>
      <c r="AK108" s="357"/>
      <c r="AL108" s="357"/>
      <c r="AM108" s="357"/>
      <c r="AN108" s="357"/>
      <c r="AO108" s="357"/>
      <c r="AP108" s="357"/>
      <c r="AQ108" s="357">
        <f>ROUNDUP((4*3.4)+(BS9+CB9),0)</f>
        <v>22</v>
      </c>
      <c r="AR108" s="357"/>
      <c r="AS108" s="362"/>
      <c r="AT108" s="360">
        <f>ROUNDUP(BS8+CB8,0)</f>
        <v>12</v>
      </c>
      <c r="AU108" s="374">
        <f t="shared" ref="AU108:AU114" si="27">D108</f>
        <v>43</v>
      </c>
      <c r="AV108" s="357"/>
      <c r="AW108" s="357"/>
      <c r="AX108" s="357"/>
      <c r="AY108" s="360"/>
      <c r="AZ108" s="363">
        <f t="shared" si="25"/>
        <v>74</v>
      </c>
      <c r="BA108" s="364">
        <f t="shared" si="26"/>
        <v>0</v>
      </c>
      <c r="BB108" s="395"/>
      <c r="BC108" s="365">
        <f t="shared" si="24"/>
        <v>43</v>
      </c>
      <c r="BD108" s="361"/>
      <c r="BE108" s="375"/>
      <c r="BF108" s="375"/>
      <c r="BG108" s="375"/>
      <c r="BH108" s="357"/>
      <c r="BI108" s="357"/>
      <c r="BJ108" s="357"/>
      <c r="BK108" s="357"/>
      <c r="BL108" s="357"/>
      <c r="BM108" s="357"/>
      <c r="BN108" s="357"/>
      <c r="BO108" s="357"/>
      <c r="BP108" s="357"/>
      <c r="BQ108" s="357"/>
      <c r="BR108" s="357"/>
      <c r="BS108" s="375">
        <v>1</v>
      </c>
      <c r="BT108" s="357"/>
      <c r="BU108" s="357"/>
      <c r="BV108" s="357"/>
      <c r="BW108" s="357"/>
      <c r="BX108" s="357"/>
      <c r="BY108" s="357"/>
      <c r="BZ108" s="357"/>
      <c r="CA108" s="357"/>
      <c r="CB108" s="375">
        <v>1</v>
      </c>
      <c r="CC108" s="375"/>
      <c r="CD108" s="375"/>
      <c r="CE108" s="357"/>
      <c r="CF108" s="357"/>
      <c r="CG108" s="357"/>
      <c r="CH108" s="357"/>
      <c r="CI108" s="362"/>
      <c r="CJ108" s="362"/>
      <c r="CK108" s="362"/>
      <c r="CL108" s="362"/>
      <c r="CM108" s="362"/>
      <c r="CN108" s="362"/>
      <c r="CO108" s="362"/>
      <c r="CP108" s="362"/>
      <c r="CQ108" s="362"/>
      <c r="CR108" s="362"/>
      <c r="CS108" s="362"/>
      <c r="CT108" s="362"/>
      <c r="CU108" s="362"/>
      <c r="CV108" s="362"/>
      <c r="CW108" s="362"/>
      <c r="CX108" s="362"/>
      <c r="CY108" s="362"/>
      <c r="CZ108" s="362"/>
      <c r="DA108" s="362"/>
      <c r="DB108" s="362"/>
      <c r="DC108" s="362"/>
      <c r="DD108" s="362"/>
      <c r="DE108" s="362"/>
      <c r="DF108" s="362"/>
      <c r="DG108" s="362"/>
      <c r="DH108" s="362"/>
      <c r="DI108" s="362"/>
      <c r="DJ108" s="362"/>
      <c r="DK108" s="362"/>
      <c r="DL108" s="362"/>
      <c r="DM108" s="362"/>
      <c r="DN108" s="362"/>
      <c r="DO108" s="360"/>
      <c r="DP108" s="310"/>
      <c r="DQ108" s="310"/>
      <c r="DR108" s="310"/>
      <c r="DS108" s="310"/>
      <c r="DT108" s="310"/>
      <c r="DU108" s="310"/>
      <c r="DV108" s="310"/>
      <c r="DW108" s="310"/>
      <c r="DX108" s="310"/>
    </row>
    <row r="109" spans="1:128" s="63" customFormat="1">
      <c r="A109" s="373"/>
      <c r="B109" s="374" t="s">
        <v>389</v>
      </c>
      <c r="C109" s="357"/>
      <c r="D109" s="375">
        <f>ROUNDUP(42.92,0)</f>
        <v>43</v>
      </c>
      <c r="E109" s="375"/>
      <c r="F109" s="357"/>
      <c r="G109" s="357"/>
      <c r="H109" s="357"/>
      <c r="I109" s="357"/>
      <c r="J109" s="357"/>
      <c r="K109" s="357"/>
      <c r="L109" s="357"/>
      <c r="M109" s="357"/>
      <c r="N109" s="357"/>
      <c r="O109" s="357"/>
      <c r="P109" s="362"/>
      <c r="Q109" s="362"/>
      <c r="R109" s="362"/>
      <c r="S109" s="362"/>
      <c r="T109" s="360"/>
      <c r="U109" s="361">
        <f>ROUNDUP(((19.9+(0.7*3))*3.4)-(BS7*+CB7),0)</f>
        <v>52</v>
      </c>
      <c r="V109" s="361"/>
      <c r="W109" s="361"/>
      <c r="X109" s="357"/>
      <c r="Y109" s="357"/>
      <c r="Z109" s="357"/>
      <c r="AA109" s="357"/>
      <c r="AB109" s="357"/>
      <c r="AC109" s="357">
        <f>ROUNDUP(((5.6+(1.5*2)+(0.3*2))*3.8)-CB7,0)</f>
        <v>27</v>
      </c>
      <c r="AD109" s="357">
        <f t="shared" ref="AD109:AD117" si="28">U109</f>
        <v>52</v>
      </c>
      <c r="AE109" s="357"/>
      <c r="AF109" s="357"/>
      <c r="AG109" s="357"/>
      <c r="AH109" s="357"/>
      <c r="AI109" s="357"/>
      <c r="AJ109" s="357"/>
      <c r="AK109" s="357"/>
      <c r="AL109" s="357"/>
      <c r="AM109" s="357"/>
      <c r="AN109" s="357"/>
      <c r="AO109" s="357"/>
      <c r="AP109" s="357"/>
      <c r="AQ109" s="357">
        <f>ROUNDUP((2*3.4)+(BS9+CB9),0)</f>
        <v>16</v>
      </c>
      <c r="AR109" s="357"/>
      <c r="AS109" s="362"/>
      <c r="AT109" s="360">
        <f>ROUNDUP(BS8+CB8,0)</f>
        <v>12</v>
      </c>
      <c r="AU109" s="374">
        <f t="shared" si="27"/>
        <v>43</v>
      </c>
      <c r="AV109" s="357"/>
      <c r="AW109" s="357"/>
      <c r="AX109" s="357"/>
      <c r="AY109" s="360"/>
      <c r="AZ109" s="363">
        <f t="shared" si="25"/>
        <v>52</v>
      </c>
      <c r="BA109" s="364">
        <f t="shared" si="26"/>
        <v>27</v>
      </c>
      <c r="BB109" s="395"/>
      <c r="BC109" s="365">
        <f t="shared" si="24"/>
        <v>43</v>
      </c>
      <c r="BD109" s="361"/>
      <c r="BE109" s="357"/>
      <c r="BF109" s="375">
        <v>1</v>
      </c>
      <c r="BG109" s="357"/>
      <c r="BH109" s="357"/>
      <c r="BI109" s="357"/>
      <c r="BJ109" s="357"/>
      <c r="BK109" s="357"/>
      <c r="BL109" s="357"/>
      <c r="BM109" s="357"/>
      <c r="BN109" s="357"/>
      <c r="BO109" s="357"/>
      <c r="BP109" s="357"/>
      <c r="BQ109" s="357"/>
      <c r="BR109" s="357"/>
      <c r="BS109" s="375">
        <v>1</v>
      </c>
      <c r="BT109" s="357"/>
      <c r="BU109" s="357"/>
      <c r="BV109" s="357"/>
      <c r="BW109" s="357"/>
      <c r="BX109" s="357"/>
      <c r="BY109" s="357"/>
      <c r="BZ109" s="357"/>
      <c r="CA109" s="357"/>
      <c r="CB109" s="375">
        <v>1</v>
      </c>
      <c r="CC109" s="375"/>
      <c r="CD109" s="375"/>
      <c r="CE109" s="357"/>
      <c r="CF109" s="357"/>
      <c r="CG109" s="357"/>
      <c r="CH109" s="357"/>
      <c r="CI109" s="362"/>
      <c r="CJ109" s="362"/>
      <c r="CK109" s="362"/>
      <c r="CL109" s="362"/>
      <c r="CM109" s="362"/>
      <c r="CN109" s="362"/>
      <c r="CO109" s="362"/>
      <c r="CP109" s="362"/>
      <c r="CQ109" s="362"/>
      <c r="CR109" s="362"/>
      <c r="CS109" s="362"/>
      <c r="CT109" s="362"/>
      <c r="CU109" s="362"/>
      <c r="CV109" s="362"/>
      <c r="CW109" s="362"/>
      <c r="CX109" s="362"/>
      <c r="CY109" s="362"/>
      <c r="CZ109" s="362"/>
      <c r="DA109" s="362"/>
      <c r="DB109" s="362"/>
      <c r="DC109" s="362"/>
      <c r="DD109" s="362"/>
      <c r="DE109" s="362"/>
      <c r="DF109" s="362"/>
      <c r="DG109" s="362"/>
      <c r="DH109" s="362"/>
      <c r="DI109" s="362"/>
      <c r="DJ109" s="362"/>
      <c r="DK109" s="362"/>
      <c r="DL109" s="362"/>
      <c r="DM109" s="362"/>
      <c r="DN109" s="362"/>
      <c r="DO109" s="360"/>
      <c r="DP109" s="310"/>
      <c r="DQ109" s="310"/>
      <c r="DR109" s="310"/>
      <c r="DS109" s="310"/>
      <c r="DT109" s="310"/>
      <c r="DU109" s="310"/>
      <c r="DV109" s="310"/>
      <c r="DW109" s="310"/>
      <c r="DX109" s="310"/>
    </row>
    <row r="110" spans="1:128" s="63" customFormat="1">
      <c r="A110" s="373"/>
      <c r="B110" s="374" t="s">
        <v>390</v>
      </c>
      <c r="C110" s="357"/>
      <c r="D110" s="375">
        <f>ROUNDUP(42.92,0)</f>
        <v>43</v>
      </c>
      <c r="E110" s="375"/>
      <c r="F110" s="357"/>
      <c r="G110" s="357"/>
      <c r="H110" s="357"/>
      <c r="I110" s="357"/>
      <c r="J110" s="357"/>
      <c r="K110" s="357"/>
      <c r="L110" s="357"/>
      <c r="M110" s="357"/>
      <c r="N110" s="357"/>
      <c r="O110" s="357"/>
      <c r="P110" s="362"/>
      <c r="Q110" s="362"/>
      <c r="R110" s="362"/>
      <c r="S110" s="362"/>
      <c r="T110" s="360"/>
      <c r="U110" s="361">
        <f>ROUNDUP(((19.9+(0.7*3))*3.4)-(BS7*+CB7),0)</f>
        <v>52</v>
      </c>
      <c r="V110" s="361"/>
      <c r="W110" s="361"/>
      <c r="X110" s="357"/>
      <c r="Y110" s="357"/>
      <c r="Z110" s="357"/>
      <c r="AA110" s="357"/>
      <c r="AB110" s="357"/>
      <c r="AC110" s="357">
        <f>ROUNDUP(((5.6+(1.5*2)+(0.3*2))*3.8)-CB7,0)</f>
        <v>27</v>
      </c>
      <c r="AD110" s="357">
        <f t="shared" si="28"/>
        <v>52</v>
      </c>
      <c r="AE110" s="357"/>
      <c r="AF110" s="357"/>
      <c r="AG110" s="357"/>
      <c r="AH110" s="357"/>
      <c r="AI110" s="357"/>
      <c r="AJ110" s="357"/>
      <c r="AK110" s="357"/>
      <c r="AL110" s="357"/>
      <c r="AM110" s="357"/>
      <c r="AN110" s="357"/>
      <c r="AO110" s="357"/>
      <c r="AP110" s="357"/>
      <c r="AQ110" s="357">
        <f>ROUNDUP((2*3.4)+(BS9+CB9),0)</f>
        <v>16</v>
      </c>
      <c r="AR110" s="357"/>
      <c r="AS110" s="362"/>
      <c r="AT110" s="360">
        <f>ROUNDUP(BS8+CB8,0)</f>
        <v>12</v>
      </c>
      <c r="AU110" s="374">
        <f t="shared" si="27"/>
        <v>43</v>
      </c>
      <c r="AV110" s="357"/>
      <c r="AW110" s="357"/>
      <c r="AX110" s="357"/>
      <c r="AY110" s="360"/>
      <c r="AZ110" s="363">
        <f t="shared" si="25"/>
        <v>52</v>
      </c>
      <c r="BA110" s="364">
        <f t="shared" si="26"/>
        <v>27</v>
      </c>
      <c r="BB110" s="395"/>
      <c r="BC110" s="365">
        <f t="shared" si="24"/>
        <v>43</v>
      </c>
      <c r="BD110" s="361"/>
      <c r="BE110" s="375">
        <v>1</v>
      </c>
      <c r="BF110" s="357"/>
      <c r="BG110" s="357"/>
      <c r="BH110" s="357"/>
      <c r="BI110" s="357"/>
      <c r="BJ110" s="357"/>
      <c r="BK110" s="357"/>
      <c r="BL110" s="357"/>
      <c r="BM110" s="357"/>
      <c r="BN110" s="357"/>
      <c r="BO110" s="357"/>
      <c r="BP110" s="357"/>
      <c r="BQ110" s="357"/>
      <c r="BR110" s="357"/>
      <c r="BS110" s="375">
        <v>1</v>
      </c>
      <c r="BT110" s="357"/>
      <c r="BU110" s="357"/>
      <c r="BV110" s="357"/>
      <c r="BW110" s="357"/>
      <c r="BX110" s="357"/>
      <c r="BY110" s="357"/>
      <c r="BZ110" s="357"/>
      <c r="CA110" s="357"/>
      <c r="CB110" s="375">
        <v>1</v>
      </c>
      <c r="CC110" s="375"/>
      <c r="CD110" s="375"/>
      <c r="CE110" s="375"/>
      <c r="CF110" s="357"/>
      <c r="CG110" s="357"/>
      <c r="CH110" s="357"/>
      <c r="CI110" s="362"/>
      <c r="CJ110" s="362"/>
      <c r="CK110" s="362"/>
      <c r="CL110" s="362"/>
      <c r="CM110" s="362"/>
      <c r="CN110" s="362"/>
      <c r="CO110" s="362"/>
      <c r="CP110" s="362"/>
      <c r="CQ110" s="362"/>
      <c r="CR110" s="362"/>
      <c r="CS110" s="362"/>
      <c r="CT110" s="362"/>
      <c r="CU110" s="362"/>
      <c r="CV110" s="362"/>
      <c r="CW110" s="362"/>
      <c r="CX110" s="362"/>
      <c r="CY110" s="362"/>
      <c r="CZ110" s="362"/>
      <c r="DA110" s="362"/>
      <c r="DB110" s="362"/>
      <c r="DC110" s="362"/>
      <c r="DD110" s="362"/>
      <c r="DE110" s="362"/>
      <c r="DF110" s="362"/>
      <c r="DG110" s="362"/>
      <c r="DH110" s="362"/>
      <c r="DI110" s="362"/>
      <c r="DJ110" s="362"/>
      <c r="DK110" s="362"/>
      <c r="DL110" s="362"/>
      <c r="DM110" s="362"/>
      <c r="DN110" s="362"/>
      <c r="DO110" s="360"/>
      <c r="DP110" s="310"/>
      <c r="DQ110" s="310"/>
      <c r="DR110" s="310"/>
      <c r="DS110" s="310"/>
      <c r="DT110" s="310"/>
      <c r="DU110" s="310"/>
      <c r="DV110" s="310"/>
      <c r="DW110" s="310"/>
      <c r="DX110" s="310"/>
    </row>
    <row r="111" spans="1:128" s="63" customFormat="1">
      <c r="A111" s="376"/>
      <c r="B111" s="374" t="s">
        <v>391</v>
      </c>
      <c r="C111" s="357"/>
      <c r="D111" s="375">
        <f>ROUNDUP(42.92,0)</f>
        <v>43</v>
      </c>
      <c r="E111" s="375"/>
      <c r="F111" s="357"/>
      <c r="G111" s="357"/>
      <c r="H111" s="357"/>
      <c r="I111" s="357"/>
      <c r="J111" s="357"/>
      <c r="K111" s="357"/>
      <c r="L111" s="357"/>
      <c r="M111" s="357"/>
      <c r="N111" s="357"/>
      <c r="O111" s="357"/>
      <c r="P111" s="362"/>
      <c r="Q111" s="362"/>
      <c r="R111" s="362"/>
      <c r="S111" s="362"/>
      <c r="T111" s="360"/>
      <c r="U111" s="361">
        <f>ROUNDUP(((19.9+(0.7*3))*3.4)-(BS7*+CB7),0)</f>
        <v>52</v>
      </c>
      <c r="V111" s="361"/>
      <c r="W111" s="361"/>
      <c r="X111" s="357"/>
      <c r="Y111" s="357"/>
      <c r="Z111" s="357"/>
      <c r="AA111" s="357"/>
      <c r="AB111" s="357"/>
      <c r="AC111" s="357">
        <f>ROUNDUP(((5.6+(1.5*2)+(0.3*2))*3.8)-CB7,0)</f>
        <v>27</v>
      </c>
      <c r="AD111" s="357">
        <f t="shared" si="28"/>
        <v>52</v>
      </c>
      <c r="AE111" s="357"/>
      <c r="AF111" s="357"/>
      <c r="AG111" s="357"/>
      <c r="AH111" s="357"/>
      <c r="AI111" s="357"/>
      <c r="AJ111" s="357"/>
      <c r="AK111" s="357"/>
      <c r="AL111" s="357"/>
      <c r="AM111" s="357"/>
      <c r="AN111" s="357"/>
      <c r="AO111" s="357"/>
      <c r="AP111" s="357"/>
      <c r="AQ111" s="357">
        <f>ROUNDUP((2*3.4)+(BS9+CB9),0)</f>
        <v>16</v>
      </c>
      <c r="AR111" s="357"/>
      <c r="AS111" s="362"/>
      <c r="AT111" s="360">
        <f>ROUNDUP(BS8+CB8,0)</f>
        <v>12</v>
      </c>
      <c r="AU111" s="374">
        <f t="shared" si="27"/>
        <v>43</v>
      </c>
      <c r="AV111" s="357"/>
      <c r="AW111" s="357"/>
      <c r="AX111" s="357"/>
      <c r="AY111" s="360"/>
      <c r="AZ111" s="363">
        <f t="shared" si="25"/>
        <v>52</v>
      </c>
      <c r="BA111" s="364">
        <f t="shared" si="26"/>
        <v>27</v>
      </c>
      <c r="BB111" s="395"/>
      <c r="BC111" s="365">
        <f t="shared" si="24"/>
        <v>43</v>
      </c>
      <c r="BD111" s="361"/>
      <c r="BE111" s="357"/>
      <c r="BF111" s="357"/>
      <c r="BG111" s="357"/>
      <c r="BH111" s="357"/>
      <c r="BI111" s="357"/>
      <c r="BJ111" s="357"/>
      <c r="BK111" s="375"/>
      <c r="BL111" s="357"/>
      <c r="BM111" s="357"/>
      <c r="BN111" s="357"/>
      <c r="BO111" s="357"/>
      <c r="BP111" s="357"/>
      <c r="BQ111" s="357"/>
      <c r="BR111" s="357"/>
      <c r="BS111" s="375">
        <v>1</v>
      </c>
      <c r="BT111" s="357"/>
      <c r="BU111" s="357"/>
      <c r="BV111" s="357"/>
      <c r="BW111" s="357"/>
      <c r="BX111" s="357"/>
      <c r="BY111" s="357"/>
      <c r="BZ111" s="357"/>
      <c r="CA111" s="357"/>
      <c r="CB111" s="375">
        <v>1</v>
      </c>
      <c r="CC111" s="375"/>
      <c r="CD111" s="357"/>
      <c r="CE111" s="357"/>
      <c r="CF111" s="357"/>
      <c r="CG111" s="357"/>
      <c r="CH111" s="357"/>
      <c r="CI111" s="362"/>
      <c r="CJ111" s="362"/>
      <c r="CK111" s="362"/>
      <c r="CL111" s="362"/>
      <c r="CM111" s="362"/>
      <c r="CN111" s="362"/>
      <c r="CO111" s="362"/>
      <c r="CP111" s="362"/>
      <c r="CQ111" s="362"/>
      <c r="CR111" s="362"/>
      <c r="CS111" s="362"/>
      <c r="CT111" s="362"/>
      <c r="CU111" s="362"/>
      <c r="CV111" s="362"/>
      <c r="CW111" s="362"/>
      <c r="CX111" s="362"/>
      <c r="CY111" s="362"/>
      <c r="CZ111" s="362"/>
      <c r="DA111" s="362"/>
      <c r="DB111" s="362"/>
      <c r="DC111" s="362"/>
      <c r="DD111" s="362"/>
      <c r="DE111" s="362"/>
      <c r="DF111" s="362"/>
      <c r="DG111" s="362"/>
      <c r="DH111" s="362"/>
      <c r="DI111" s="362"/>
      <c r="DJ111" s="362"/>
      <c r="DK111" s="362"/>
      <c r="DL111" s="362"/>
      <c r="DM111" s="362"/>
      <c r="DN111" s="362"/>
      <c r="DO111" s="360"/>
      <c r="DP111" s="310"/>
      <c r="DQ111" s="310"/>
      <c r="DR111" s="310"/>
      <c r="DS111" s="310"/>
      <c r="DT111" s="310"/>
      <c r="DU111" s="310"/>
      <c r="DV111" s="310"/>
      <c r="DW111" s="310"/>
      <c r="DX111" s="310"/>
    </row>
    <row r="112" spans="1:128" s="63" customFormat="1">
      <c r="A112" s="373"/>
      <c r="B112" s="374" t="s">
        <v>392</v>
      </c>
      <c r="C112" s="357"/>
      <c r="D112" s="375">
        <f>ROUNDUP(42.92,0)</f>
        <v>43</v>
      </c>
      <c r="E112" s="375"/>
      <c r="F112" s="357"/>
      <c r="G112" s="357"/>
      <c r="H112" s="357"/>
      <c r="I112" s="357"/>
      <c r="J112" s="357"/>
      <c r="K112" s="357"/>
      <c r="L112" s="357"/>
      <c r="M112" s="357"/>
      <c r="N112" s="357"/>
      <c r="O112" s="357"/>
      <c r="P112" s="362"/>
      <c r="Q112" s="362"/>
      <c r="R112" s="362"/>
      <c r="S112" s="362"/>
      <c r="T112" s="360"/>
      <c r="U112" s="361">
        <f>ROUNDUP(((19.9+(0.7*3))*3.4)-(BS7*+CB7),0)</f>
        <v>52</v>
      </c>
      <c r="V112" s="361"/>
      <c r="W112" s="361"/>
      <c r="X112" s="357"/>
      <c r="Y112" s="357"/>
      <c r="Z112" s="357"/>
      <c r="AA112" s="357"/>
      <c r="AB112" s="357"/>
      <c r="AC112" s="357">
        <f>ROUNDUP(((5.6+(1.5*2)+(0.3*2))*3.8)-CB7,0)</f>
        <v>27</v>
      </c>
      <c r="AD112" s="357">
        <f t="shared" si="28"/>
        <v>52</v>
      </c>
      <c r="AE112" s="357"/>
      <c r="AF112" s="357"/>
      <c r="AG112" s="357"/>
      <c r="AH112" s="357"/>
      <c r="AI112" s="357"/>
      <c r="AJ112" s="357"/>
      <c r="AK112" s="357"/>
      <c r="AL112" s="357"/>
      <c r="AM112" s="357"/>
      <c r="AN112" s="357"/>
      <c r="AO112" s="357"/>
      <c r="AP112" s="357"/>
      <c r="AQ112" s="357">
        <f>ROUNDUP((2*3.4)+(BS9+CB9),0)</f>
        <v>16</v>
      </c>
      <c r="AR112" s="357"/>
      <c r="AS112" s="362"/>
      <c r="AT112" s="360">
        <f>ROUNDUP(BS8+CB8,0)</f>
        <v>12</v>
      </c>
      <c r="AU112" s="374">
        <f t="shared" si="27"/>
        <v>43</v>
      </c>
      <c r="AV112" s="357"/>
      <c r="AW112" s="357"/>
      <c r="AX112" s="357"/>
      <c r="AY112" s="360"/>
      <c r="AZ112" s="363">
        <f t="shared" si="25"/>
        <v>52</v>
      </c>
      <c r="BA112" s="364">
        <f t="shared" si="26"/>
        <v>27</v>
      </c>
      <c r="BB112" s="395"/>
      <c r="BC112" s="365">
        <f t="shared" si="24"/>
        <v>43</v>
      </c>
      <c r="BD112" s="361"/>
      <c r="BE112" s="357"/>
      <c r="BF112" s="357"/>
      <c r="BG112" s="357"/>
      <c r="BH112" s="357"/>
      <c r="BI112" s="357"/>
      <c r="BJ112" s="357"/>
      <c r="BK112" s="375"/>
      <c r="BL112" s="357"/>
      <c r="BM112" s="357"/>
      <c r="BN112" s="357"/>
      <c r="BO112" s="357"/>
      <c r="BP112" s="357"/>
      <c r="BQ112" s="357"/>
      <c r="BR112" s="357"/>
      <c r="BS112" s="375">
        <v>1</v>
      </c>
      <c r="BT112" s="357"/>
      <c r="BU112" s="357"/>
      <c r="BV112" s="357"/>
      <c r="BW112" s="357"/>
      <c r="BX112" s="357"/>
      <c r="BY112" s="357"/>
      <c r="BZ112" s="357"/>
      <c r="CA112" s="357"/>
      <c r="CB112" s="375">
        <v>1</v>
      </c>
      <c r="CC112" s="375"/>
      <c r="CD112" s="357"/>
      <c r="CE112" s="357"/>
      <c r="CF112" s="357"/>
      <c r="CG112" s="357"/>
      <c r="CH112" s="357"/>
      <c r="CI112" s="362"/>
      <c r="CJ112" s="362"/>
      <c r="CK112" s="362"/>
      <c r="CL112" s="362"/>
      <c r="CM112" s="362"/>
      <c r="CN112" s="362"/>
      <c r="CO112" s="362"/>
      <c r="CP112" s="362"/>
      <c r="CQ112" s="362"/>
      <c r="CR112" s="362"/>
      <c r="CS112" s="362"/>
      <c r="CT112" s="362"/>
      <c r="CU112" s="362"/>
      <c r="CV112" s="362"/>
      <c r="CW112" s="362"/>
      <c r="CX112" s="362"/>
      <c r="CY112" s="362"/>
      <c r="CZ112" s="362"/>
      <c r="DA112" s="362"/>
      <c r="DB112" s="362"/>
      <c r="DC112" s="362"/>
      <c r="DD112" s="362"/>
      <c r="DE112" s="362"/>
      <c r="DF112" s="362"/>
      <c r="DG112" s="362"/>
      <c r="DH112" s="362"/>
      <c r="DI112" s="362"/>
      <c r="DJ112" s="362"/>
      <c r="DK112" s="362"/>
      <c r="DL112" s="362"/>
      <c r="DM112" s="362"/>
      <c r="DN112" s="362"/>
      <c r="DO112" s="360"/>
      <c r="DP112" s="310"/>
      <c r="DQ112" s="310"/>
      <c r="DR112" s="310"/>
      <c r="DS112" s="310"/>
      <c r="DT112" s="310"/>
      <c r="DU112" s="310"/>
      <c r="DV112" s="310"/>
      <c r="DW112" s="310"/>
      <c r="DX112" s="310"/>
    </row>
    <row r="113" spans="1:128" s="63" customFormat="1">
      <c r="A113" s="373"/>
      <c r="B113" s="374" t="s">
        <v>393</v>
      </c>
      <c r="C113" s="357"/>
      <c r="D113" s="375">
        <f>ROUNDUP(37.59,0)</f>
        <v>38</v>
      </c>
      <c r="E113" s="375"/>
      <c r="F113" s="357"/>
      <c r="G113" s="357"/>
      <c r="H113" s="357"/>
      <c r="I113" s="357"/>
      <c r="J113" s="357"/>
      <c r="K113" s="357"/>
      <c r="L113" s="357"/>
      <c r="M113" s="357"/>
      <c r="N113" s="357"/>
      <c r="O113" s="357"/>
      <c r="P113" s="362"/>
      <c r="Q113" s="362"/>
      <c r="R113" s="362"/>
      <c r="S113" s="362"/>
      <c r="T113" s="360"/>
      <c r="U113" s="361">
        <f>ROUNDUP((24.55*3.4)-(BS7+CB7),0)</f>
        <v>73</v>
      </c>
      <c r="V113" s="361"/>
      <c r="W113" s="361"/>
      <c r="X113" s="357"/>
      <c r="Y113" s="357"/>
      <c r="Z113" s="357"/>
      <c r="AA113" s="357"/>
      <c r="AB113" s="357"/>
      <c r="AC113" s="357">
        <f>ROUNDUP((6.35*3.8)-CB7,0)</f>
        <v>16</v>
      </c>
      <c r="AD113" s="357">
        <f t="shared" si="28"/>
        <v>73</v>
      </c>
      <c r="AE113" s="357"/>
      <c r="AF113" s="357"/>
      <c r="AG113" s="357"/>
      <c r="AH113" s="357"/>
      <c r="AI113" s="357"/>
      <c r="AJ113" s="357"/>
      <c r="AK113" s="357"/>
      <c r="AL113" s="357"/>
      <c r="AM113" s="357"/>
      <c r="AN113" s="357"/>
      <c r="AO113" s="357"/>
      <c r="AP113" s="357"/>
      <c r="AQ113" s="357">
        <f>ROUNDUP(BS9+CB9,0)</f>
        <v>9</v>
      </c>
      <c r="AR113" s="357"/>
      <c r="AS113" s="362"/>
      <c r="AT113" s="360">
        <f>ROUNDUP(BS8+CB8,0)</f>
        <v>12</v>
      </c>
      <c r="AU113" s="374">
        <f t="shared" si="27"/>
        <v>38</v>
      </c>
      <c r="AV113" s="357"/>
      <c r="AW113" s="357"/>
      <c r="AX113" s="357"/>
      <c r="AY113" s="360"/>
      <c r="AZ113" s="363">
        <f t="shared" si="25"/>
        <v>73</v>
      </c>
      <c r="BA113" s="364">
        <f t="shared" si="26"/>
        <v>16</v>
      </c>
      <c r="BB113" s="395"/>
      <c r="BC113" s="365">
        <f t="shared" si="24"/>
        <v>38</v>
      </c>
      <c r="BD113" s="361"/>
      <c r="BE113" s="357"/>
      <c r="BF113" s="357"/>
      <c r="BG113" s="357"/>
      <c r="BH113" s="357"/>
      <c r="BI113" s="357"/>
      <c r="BJ113" s="357"/>
      <c r="BK113" s="375"/>
      <c r="BL113" s="357"/>
      <c r="BM113" s="357"/>
      <c r="BN113" s="357"/>
      <c r="BO113" s="357"/>
      <c r="BP113" s="357"/>
      <c r="BQ113" s="357"/>
      <c r="BR113" s="357"/>
      <c r="BS113" s="375">
        <v>1</v>
      </c>
      <c r="BT113" s="357"/>
      <c r="BU113" s="357"/>
      <c r="BV113" s="357"/>
      <c r="BW113" s="357"/>
      <c r="BX113" s="357"/>
      <c r="BY113" s="357"/>
      <c r="BZ113" s="357"/>
      <c r="CA113" s="357"/>
      <c r="CB113" s="375">
        <v>1</v>
      </c>
      <c r="CC113" s="375"/>
      <c r="CD113" s="357"/>
      <c r="CE113" s="357"/>
      <c r="CF113" s="357"/>
      <c r="CG113" s="357"/>
      <c r="CH113" s="357"/>
      <c r="CI113" s="362"/>
      <c r="CJ113" s="362"/>
      <c r="CK113" s="362"/>
      <c r="CL113" s="362"/>
      <c r="CM113" s="362"/>
      <c r="CN113" s="362"/>
      <c r="CO113" s="362"/>
      <c r="CP113" s="362"/>
      <c r="CQ113" s="362"/>
      <c r="CR113" s="362"/>
      <c r="CS113" s="362"/>
      <c r="CT113" s="362"/>
      <c r="CU113" s="362"/>
      <c r="CV113" s="362"/>
      <c r="CW113" s="362"/>
      <c r="CX113" s="362"/>
      <c r="CY113" s="362"/>
      <c r="CZ113" s="362"/>
      <c r="DA113" s="362"/>
      <c r="DB113" s="362"/>
      <c r="DC113" s="362"/>
      <c r="DD113" s="362"/>
      <c r="DE113" s="362"/>
      <c r="DF113" s="362"/>
      <c r="DG113" s="362"/>
      <c r="DH113" s="362"/>
      <c r="DI113" s="362"/>
      <c r="DJ113" s="362"/>
      <c r="DK113" s="362"/>
      <c r="DL113" s="362"/>
      <c r="DM113" s="362"/>
      <c r="DN113" s="362"/>
      <c r="DO113" s="360"/>
      <c r="DP113" s="310"/>
      <c r="DQ113" s="310"/>
      <c r="DR113" s="310"/>
      <c r="DS113" s="310"/>
      <c r="DT113" s="310"/>
      <c r="DU113" s="310"/>
      <c r="DV113" s="310"/>
      <c r="DW113" s="310"/>
      <c r="DX113" s="310"/>
    </row>
    <row r="114" spans="1:128" s="63" customFormat="1">
      <c r="A114" s="373"/>
      <c r="B114" s="374" t="s">
        <v>394</v>
      </c>
      <c r="C114" s="357"/>
      <c r="D114" s="375">
        <f>ROUNDUP(37.59,0)</f>
        <v>38</v>
      </c>
      <c r="E114" s="375"/>
      <c r="F114" s="357"/>
      <c r="G114" s="357"/>
      <c r="H114" s="357"/>
      <c r="I114" s="357"/>
      <c r="J114" s="357"/>
      <c r="K114" s="357"/>
      <c r="L114" s="357"/>
      <c r="M114" s="357"/>
      <c r="N114" s="357"/>
      <c r="O114" s="357"/>
      <c r="P114" s="362"/>
      <c r="Q114" s="362"/>
      <c r="R114" s="362"/>
      <c r="S114" s="362"/>
      <c r="T114" s="360"/>
      <c r="U114" s="361">
        <f>ROUNDUP((24.53*3.4)-(BS7+CB7),0)</f>
        <v>73</v>
      </c>
      <c r="V114" s="361"/>
      <c r="W114" s="361"/>
      <c r="X114" s="357"/>
      <c r="Y114" s="357"/>
      <c r="Z114" s="357"/>
      <c r="AA114" s="357"/>
      <c r="AB114" s="357"/>
      <c r="AC114" s="357">
        <f>ROUNDUP((6.35*3.8)-CB7,0)</f>
        <v>16</v>
      </c>
      <c r="AD114" s="357">
        <f t="shared" si="28"/>
        <v>73</v>
      </c>
      <c r="AE114" s="357"/>
      <c r="AF114" s="357"/>
      <c r="AG114" s="357"/>
      <c r="AH114" s="357"/>
      <c r="AI114" s="357"/>
      <c r="AJ114" s="357"/>
      <c r="AK114" s="357"/>
      <c r="AL114" s="357"/>
      <c r="AM114" s="357"/>
      <c r="AN114" s="357"/>
      <c r="AO114" s="357"/>
      <c r="AP114" s="357"/>
      <c r="AQ114" s="357">
        <f>ROUNDUP(BS9+CB9,0)</f>
        <v>9</v>
      </c>
      <c r="AR114" s="357"/>
      <c r="AS114" s="362"/>
      <c r="AT114" s="360">
        <f>ROUNDUP(BS8+CB8,0)</f>
        <v>12</v>
      </c>
      <c r="AU114" s="374">
        <f t="shared" si="27"/>
        <v>38</v>
      </c>
      <c r="AV114" s="357"/>
      <c r="AW114" s="357"/>
      <c r="AX114" s="357"/>
      <c r="AY114" s="360"/>
      <c r="AZ114" s="363">
        <f t="shared" si="25"/>
        <v>73</v>
      </c>
      <c r="BA114" s="364">
        <f t="shared" si="26"/>
        <v>16</v>
      </c>
      <c r="BB114" s="395"/>
      <c r="BC114" s="365">
        <f t="shared" si="24"/>
        <v>38</v>
      </c>
      <c r="BD114" s="361"/>
      <c r="BE114" s="357"/>
      <c r="BF114" s="357"/>
      <c r="BG114" s="357"/>
      <c r="BH114" s="357"/>
      <c r="BI114" s="357"/>
      <c r="BJ114" s="357"/>
      <c r="BK114" s="375"/>
      <c r="BL114" s="357"/>
      <c r="BM114" s="357"/>
      <c r="BN114" s="357"/>
      <c r="BO114" s="357"/>
      <c r="BP114" s="357"/>
      <c r="BQ114" s="357"/>
      <c r="BR114" s="357"/>
      <c r="BS114" s="375">
        <v>1</v>
      </c>
      <c r="BT114" s="357"/>
      <c r="BU114" s="357"/>
      <c r="BV114" s="357"/>
      <c r="BW114" s="357"/>
      <c r="BX114" s="357"/>
      <c r="BY114" s="357"/>
      <c r="BZ114" s="357"/>
      <c r="CA114" s="357"/>
      <c r="CB114" s="375">
        <v>1</v>
      </c>
      <c r="CC114" s="375"/>
      <c r="CD114" s="357"/>
      <c r="CE114" s="357"/>
      <c r="CF114" s="357"/>
      <c r="CG114" s="357"/>
      <c r="CH114" s="357"/>
      <c r="CI114" s="362"/>
      <c r="CJ114" s="362"/>
      <c r="CK114" s="362"/>
      <c r="CL114" s="362"/>
      <c r="CM114" s="362"/>
      <c r="CN114" s="362"/>
      <c r="CO114" s="362"/>
      <c r="CP114" s="362"/>
      <c r="CQ114" s="362"/>
      <c r="CR114" s="362"/>
      <c r="CS114" s="362"/>
      <c r="CT114" s="362"/>
      <c r="CU114" s="362"/>
      <c r="CV114" s="362"/>
      <c r="CW114" s="362"/>
      <c r="CX114" s="362"/>
      <c r="CY114" s="362"/>
      <c r="CZ114" s="362"/>
      <c r="DA114" s="362"/>
      <c r="DB114" s="362"/>
      <c r="DC114" s="362"/>
      <c r="DD114" s="362"/>
      <c r="DE114" s="362"/>
      <c r="DF114" s="362"/>
      <c r="DG114" s="362"/>
      <c r="DH114" s="362"/>
      <c r="DI114" s="362"/>
      <c r="DJ114" s="362"/>
      <c r="DK114" s="362"/>
      <c r="DL114" s="362"/>
      <c r="DM114" s="362"/>
      <c r="DN114" s="362"/>
      <c r="DO114" s="360"/>
      <c r="DP114" s="310"/>
      <c r="DQ114" s="310"/>
      <c r="DR114" s="310"/>
      <c r="DS114" s="310"/>
      <c r="DT114" s="310"/>
      <c r="DU114" s="310"/>
      <c r="DV114" s="310"/>
      <c r="DW114" s="310"/>
      <c r="DX114" s="310"/>
    </row>
    <row r="115" spans="1:128" s="63" customFormat="1">
      <c r="A115" s="376"/>
      <c r="B115" s="374" t="s">
        <v>395</v>
      </c>
      <c r="C115" s="357"/>
      <c r="D115" s="375">
        <f>ROUNDUP(37.59,0)</f>
        <v>38</v>
      </c>
      <c r="E115" s="375"/>
      <c r="F115" s="357"/>
      <c r="G115" s="357"/>
      <c r="H115" s="357"/>
      <c r="I115" s="357"/>
      <c r="J115" s="357"/>
      <c r="K115" s="357"/>
      <c r="L115" s="357"/>
      <c r="M115" s="357"/>
      <c r="N115" s="357"/>
      <c r="O115" s="357"/>
      <c r="P115" s="362"/>
      <c r="Q115" s="362"/>
      <c r="R115" s="362"/>
      <c r="S115" s="362"/>
      <c r="T115" s="360"/>
      <c r="U115" s="361">
        <f>ROUNDUP((24.53*3.4)-(BS7+CB7),0)</f>
        <v>73</v>
      </c>
      <c r="V115" s="361"/>
      <c r="W115" s="361"/>
      <c r="X115" s="357"/>
      <c r="Y115" s="357"/>
      <c r="Z115" s="357"/>
      <c r="AA115" s="357"/>
      <c r="AB115" s="357"/>
      <c r="AC115" s="357">
        <f>ROUNDUP((6.35*3.8)-CB7,0)</f>
        <v>16</v>
      </c>
      <c r="AD115" s="357">
        <f t="shared" si="28"/>
        <v>73</v>
      </c>
      <c r="AE115" s="357"/>
      <c r="AF115" s="357"/>
      <c r="AG115" s="357"/>
      <c r="AH115" s="357"/>
      <c r="AI115" s="357"/>
      <c r="AJ115" s="357"/>
      <c r="AK115" s="357"/>
      <c r="AL115" s="357"/>
      <c r="AM115" s="357"/>
      <c r="AN115" s="357"/>
      <c r="AO115" s="357"/>
      <c r="AP115" s="357"/>
      <c r="AQ115" s="357">
        <f>ROUNDUP(BS9+CB9,0)</f>
        <v>9</v>
      </c>
      <c r="AR115" s="357"/>
      <c r="AS115" s="362"/>
      <c r="AT115" s="360">
        <f>ROUNDUP(BS8+CB8,0)</f>
        <v>12</v>
      </c>
      <c r="AU115" s="374">
        <f>D115</f>
        <v>38</v>
      </c>
      <c r="AV115" s="357"/>
      <c r="AW115" s="357"/>
      <c r="AX115" s="357"/>
      <c r="AY115" s="360"/>
      <c r="AZ115" s="363">
        <f t="shared" si="25"/>
        <v>73</v>
      </c>
      <c r="BA115" s="364">
        <f t="shared" si="26"/>
        <v>16</v>
      </c>
      <c r="BB115" s="395"/>
      <c r="BC115" s="365">
        <f t="shared" si="24"/>
        <v>38</v>
      </c>
      <c r="BD115" s="361"/>
      <c r="BE115" s="357"/>
      <c r="BF115" s="357"/>
      <c r="BG115" s="357"/>
      <c r="BH115" s="357"/>
      <c r="BI115" s="357"/>
      <c r="BJ115" s="357"/>
      <c r="BK115" s="375"/>
      <c r="BL115" s="357"/>
      <c r="BM115" s="357"/>
      <c r="BN115" s="357"/>
      <c r="BO115" s="357"/>
      <c r="BP115" s="357"/>
      <c r="BQ115" s="357"/>
      <c r="BR115" s="357"/>
      <c r="BS115" s="375">
        <v>1</v>
      </c>
      <c r="BT115" s="357"/>
      <c r="BU115" s="357"/>
      <c r="BV115" s="357"/>
      <c r="BW115" s="357"/>
      <c r="BX115" s="357"/>
      <c r="BY115" s="357"/>
      <c r="BZ115" s="357"/>
      <c r="CA115" s="357"/>
      <c r="CB115" s="375">
        <v>1</v>
      </c>
      <c r="CC115" s="375"/>
      <c r="CD115" s="357"/>
      <c r="CE115" s="357"/>
      <c r="CF115" s="357"/>
      <c r="CG115" s="357"/>
      <c r="CH115" s="357"/>
      <c r="CI115" s="362"/>
      <c r="CJ115" s="362"/>
      <c r="CK115" s="362"/>
      <c r="CL115" s="362"/>
      <c r="CM115" s="362"/>
      <c r="CN115" s="362"/>
      <c r="CO115" s="362"/>
      <c r="CP115" s="362"/>
      <c r="CQ115" s="362"/>
      <c r="CR115" s="362"/>
      <c r="CS115" s="362"/>
      <c r="CT115" s="362"/>
      <c r="CU115" s="362"/>
      <c r="CV115" s="362"/>
      <c r="CW115" s="362"/>
      <c r="CX115" s="362"/>
      <c r="CY115" s="362"/>
      <c r="CZ115" s="362"/>
      <c r="DA115" s="362"/>
      <c r="DB115" s="362"/>
      <c r="DC115" s="362"/>
      <c r="DD115" s="362"/>
      <c r="DE115" s="362"/>
      <c r="DF115" s="362"/>
      <c r="DG115" s="362"/>
      <c r="DH115" s="362"/>
      <c r="DI115" s="362"/>
      <c r="DJ115" s="362"/>
      <c r="DK115" s="362"/>
      <c r="DL115" s="362"/>
      <c r="DM115" s="362"/>
      <c r="DN115" s="362"/>
      <c r="DO115" s="360"/>
      <c r="DP115" s="310"/>
      <c r="DQ115" s="310"/>
      <c r="DR115" s="310"/>
      <c r="DS115" s="310"/>
      <c r="DT115" s="310"/>
      <c r="DU115" s="310"/>
      <c r="DV115" s="310"/>
      <c r="DW115" s="310"/>
      <c r="DX115" s="310"/>
    </row>
    <row r="116" spans="1:128" s="63" customFormat="1">
      <c r="A116" s="376"/>
      <c r="B116" s="374" t="s">
        <v>396</v>
      </c>
      <c r="C116" s="357"/>
      <c r="D116" s="375">
        <f>ROUNDUP(37.59,0)</f>
        <v>38</v>
      </c>
      <c r="E116" s="375"/>
      <c r="F116" s="357"/>
      <c r="G116" s="357"/>
      <c r="H116" s="357"/>
      <c r="I116" s="357"/>
      <c r="J116" s="357"/>
      <c r="K116" s="357"/>
      <c r="L116" s="357"/>
      <c r="M116" s="357"/>
      <c r="N116" s="357"/>
      <c r="O116" s="357"/>
      <c r="P116" s="362"/>
      <c r="Q116" s="362"/>
      <c r="R116" s="362"/>
      <c r="S116" s="362"/>
      <c r="T116" s="360"/>
      <c r="U116" s="361">
        <f>ROUNDUP((24.53*3.4)-(BS7+CB7),0)</f>
        <v>73</v>
      </c>
      <c r="V116" s="361"/>
      <c r="W116" s="361"/>
      <c r="X116" s="357"/>
      <c r="Y116" s="357"/>
      <c r="Z116" s="357"/>
      <c r="AA116" s="357"/>
      <c r="AB116" s="357"/>
      <c r="AC116" s="357">
        <f>ROUNDUP((6.35*3.8)-CB7,0)</f>
        <v>16</v>
      </c>
      <c r="AD116" s="357">
        <f t="shared" si="28"/>
        <v>73</v>
      </c>
      <c r="AE116" s="357"/>
      <c r="AF116" s="357"/>
      <c r="AG116" s="357"/>
      <c r="AH116" s="357"/>
      <c r="AI116" s="357"/>
      <c r="AJ116" s="357"/>
      <c r="AK116" s="357"/>
      <c r="AL116" s="357"/>
      <c r="AM116" s="357"/>
      <c r="AN116" s="357"/>
      <c r="AO116" s="357"/>
      <c r="AP116" s="357"/>
      <c r="AQ116" s="357">
        <f>ROUNDUP(BS9+CB9,0)</f>
        <v>9</v>
      </c>
      <c r="AR116" s="357"/>
      <c r="AS116" s="362"/>
      <c r="AT116" s="360">
        <f>ROUNDUP(BS8+CB8,0)</f>
        <v>12</v>
      </c>
      <c r="AU116" s="374">
        <f>D116</f>
        <v>38</v>
      </c>
      <c r="AV116" s="357"/>
      <c r="AW116" s="357"/>
      <c r="AX116" s="357"/>
      <c r="AY116" s="360"/>
      <c r="AZ116" s="363">
        <f t="shared" si="25"/>
        <v>73</v>
      </c>
      <c r="BA116" s="364">
        <f t="shared" si="26"/>
        <v>16</v>
      </c>
      <c r="BB116" s="395"/>
      <c r="BC116" s="365">
        <f t="shared" si="24"/>
        <v>38</v>
      </c>
      <c r="BD116" s="361"/>
      <c r="BE116" s="357"/>
      <c r="BF116" s="357"/>
      <c r="BG116" s="357"/>
      <c r="BH116" s="357"/>
      <c r="BI116" s="357"/>
      <c r="BJ116" s="357"/>
      <c r="BK116" s="375"/>
      <c r="BL116" s="357"/>
      <c r="BM116" s="357"/>
      <c r="BN116" s="357"/>
      <c r="BO116" s="357"/>
      <c r="BP116" s="357"/>
      <c r="BQ116" s="357"/>
      <c r="BR116" s="357"/>
      <c r="BS116" s="375">
        <v>1</v>
      </c>
      <c r="BT116" s="357"/>
      <c r="BU116" s="357"/>
      <c r="BV116" s="357"/>
      <c r="BW116" s="357"/>
      <c r="BX116" s="357"/>
      <c r="BY116" s="357"/>
      <c r="BZ116" s="357"/>
      <c r="CA116" s="357"/>
      <c r="CB116" s="375">
        <v>1</v>
      </c>
      <c r="CC116" s="375"/>
      <c r="CD116" s="357"/>
      <c r="CE116" s="357"/>
      <c r="CF116" s="357"/>
      <c r="CG116" s="357"/>
      <c r="CH116" s="357"/>
      <c r="CI116" s="362"/>
      <c r="CJ116" s="362"/>
      <c r="CK116" s="362"/>
      <c r="CL116" s="362"/>
      <c r="CM116" s="362"/>
      <c r="CN116" s="362"/>
      <c r="CO116" s="362"/>
      <c r="CP116" s="362"/>
      <c r="CQ116" s="362"/>
      <c r="CR116" s="362"/>
      <c r="CS116" s="362"/>
      <c r="CT116" s="362"/>
      <c r="CU116" s="362"/>
      <c r="CV116" s="362"/>
      <c r="CW116" s="362"/>
      <c r="CX116" s="362"/>
      <c r="CY116" s="362"/>
      <c r="CZ116" s="362"/>
      <c r="DA116" s="362"/>
      <c r="DB116" s="362"/>
      <c r="DC116" s="362"/>
      <c r="DD116" s="362"/>
      <c r="DE116" s="362"/>
      <c r="DF116" s="362"/>
      <c r="DG116" s="362"/>
      <c r="DH116" s="362"/>
      <c r="DI116" s="362"/>
      <c r="DJ116" s="362"/>
      <c r="DK116" s="362"/>
      <c r="DL116" s="362"/>
      <c r="DM116" s="362"/>
      <c r="DN116" s="362"/>
      <c r="DO116" s="360"/>
      <c r="DP116" s="310"/>
      <c r="DQ116" s="310"/>
      <c r="DR116" s="310"/>
      <c r="DS116" s="310"/>
      <c r="DT116" s="310"/>
      <c r="DU116" s="310"/>
      <c r="DV116" s="310"/>
      <c r="DW116" s="310"/>
      <c r="DX116" s="310"/>
    </row>
    <row r="117" spans="1:128" s="63" customFormat="1">
      <c r="A117" s="376"/>
      <c r="B117" s="374" t="s">
        <v>397</v>
      </c>
      <c r="C117" s="357"/>
      <c r="D117" s="375">
        <f>ROUNDUP(37.59,0)</f>
        <v>38</v>
      </c>
      <c r="E117" s="375"/>
      <c r="F117" s="357"/>
      <c r="G117" s="357"/>
      <c r="H117" s="357"/>
      <c r="I117" s="357"/>
      <c r="J117" s="357"/>
      <c r="K117" s="357"/>
      <c r="L117" s="357"/>
      <c r="M117" s="357"/>
      <c r="N117" s="357"/>
      <c r="O117" s="357"/>
      <c r="P117" s="362"/>
      <c r="Q117" s="362"/>
      <c r="R117" s="362"/>
      <c r="S117" s="362"/>
      <c r="T117" s="360"/>
      <c r="U117" s="361">
        <f>ROUNDUP((24.53*3.4)-(BS7+CB7),0)</f>
        <v>73</v>
      </c>
      <c r="V117" s="361"/>
      <c r="W117" s="361"/>
      <c r="X117" s="357"/>
      <c r="Y117" s="357"/>
      <c r="Z117" s="357"/>
      <c r="AA117" s="357"/>
      <c r="AB117" s="357"/>
      <c r="AC117" s="357">
        <f>ROUNDUP((6.35*3.8)-CB7,0)</f>
        <v>16</v>
      </c>
      <c r="AD117" s="357">
        <f t="shared" si="28"/>
        <v>73</v>
      </c>
      <c r="AE117" s="357"/>
      <c r="AF117" s="357"/>
      <c r="AG117" s="357"/>
      <c r="AH117" s="357"/>
      <c r="AI117" s="357"/>
      <c r="AJ117" s="357"/>
      <c r="AK117" s="357"/>
      <c r="AL117" s="357"/>
      <c r="AM117" s="357"/>
      <c r="AN117" s="357"/>
      <c r="AO117" s="357"/>
      <c r="AP117" s="357"/>
      <c r="AQ117" s="357">
        <f>ROUNDUP(BS9+CB9,0)</f>
        <v>9</v>
      </c>
      <c r="AR117" s="357"/>
      <c r="AS117" s="362"/>
      <c r="AT117" s="360">
        <f>ROUNDUP(BS8+CB8,0)</f>
        <v>12</v>
      </c>
      <c r="AU117" s="374">
        <f>D117</f>
        <v>38</v>
      </c>
      <c r="AV117" s="357"/>
      <c r="AW117" s="357"/>
      <c r="AX117" s="357"/>
      <c r="AY117" s="360"/>
      <c r="AZ117" s="363">
        <f t="shared" si="25"/>
        <v>73</v>
      </c>
      <c r="BA117" s="364">
        <f t="shared" si="26"/>
        <v>16</v>
      </c>
      <c r="BB117" s="395"/>
      <c r="BC117" s="365">
        <f t="shared" si="24"/>
        <v>38</v>
      </c>
      <c r="BD117" s="361"/>
      <c r="BE117" s="357"/>
      <c r="BF117" s="357"/>
      <c r="BG117" s="357"/>
      <c r="BH117" s="357"/>
      <c r="BI117" s="357"/>
      <c r="BJ117" s="357"/>
      <c r="BK117" s="375"/>
      <c r="BL117" s="357"/>
      <c r="BM117" s="357"/>
      <c r="BN117" s="357"/>
      <c r="BO117" s="357"/>
      <c r="BP117" s="357"/>
      <c r="BQ117" s="357"/>
      <c r="BR117" s="357"/>
      <c r="BS117" s="375">
        <v>1</v>
      </c>
      <c r="BT117" s="357"/>
      <c r="BU117" s="357"/>
      <c r="BV117" s="357"/>
      <c r="BW117" s="357"/>
      <c r="BX117" s="357"/>
      <c r="BY117" s="357"/>
      <c r="BZ117" s="357"/>
      <c r="CA117" s="357"/>
      <c r="CB117" s="375">
        <v>1</v>
      </c>
      <c r="CC117" s="375"/>
      <c r="CD117" s="357"/>
      <c r="CE117" s="357"/>
      <c r="CF117" s="357"/>
      <c r="CG117" s="357"/>
      <c r="CH117" s="357"/>
      <c r="CI117" s="362"/>
      <c r="CJ117" s="362"/>
      <c r="CK117" s="362"/>
      <c r="CL117" s="362"/>
      <c r="CM117" s="362"/>
      <c r="CN117" s="362"/>
      <c r="CO117" s="362"/>
      <c r="CP117" s="362"/>
      <c r="CQ117" s="362"/>
      <c r="CR117" s="362"/>
      <c r="CS117" s="362"/>
      <c r="CT117" s="362"/>
      <c r="CU117" s="362"/>
      <c r="CV117" s="362"/>
      <c r="CW117" s="362"/>
      <c r="CX117" s="362"/>
      <c r="CY117" s="362"/>
      <c r="CZ117" s="362"/>
      <c r="DA117" s="362"/>
      <c r="DB117" s="362"/>
      <c r="DC117" s="362"/>
      <c r="DD117" s="362"/>
      <c r="DE117" s="362"/>
      <c r="DF117" s="362"/>
      <c r="DG117" s="362"/>
      <c r="DH117" s="362"/>
      <c r="DI117" s="362"/>
      <c r="DJ117" s="362"/>
      <c r="DK117" s="362"/>
      <c r="DL117" s="362"/>
      <c r="DM117" s="362"/>
      <c r="DN117" s="362"/>
      <c r="DO117" s="360"/>
      <c r="DP117" s="310"/>
      <c r="DQ117" s="310"/>
      <c r="DR117" s="310"/>
      <c r="DS117" s="310"/>
      <c r="DT117" s="310"/>
      <c r="DU117" s="310"/>
      <c r="DV117" s="310"/>
      <c r="DW117" s="310"/>
      <c r="DX117" s="310"/>
    </row>
    <row r="118" spans="1:128" s="63" customFormat="1">
      <c r="A118" s="376"/>
      <c r="B118" s="374" t="s">
        <v>398</v>
      </c>
      <c r="C118" s="357"/>
      <c r="D118" s="375">
        <f>ROUNDUP(51.23,0)</f>
        <v>52</v>
      </c>
      <c r="E118" s="375"/>
      <c r="F118" s="357"/>
      <c r="G118" s="357"/>
      <c r="H118" s="357"/>
      <c r="I118" s="357"/>
      <c r="J118" s="357"/>
      <c r="K118" s="357"/>
      <c r="L118" s="357"/>
      <c r="M118" s="357"/>
      <c r="N118" s="357"/>
      <c r="O118" s="357"/>
      <c r="P118" s="362"/>
      <c r="Q118" s="362"/>
      <c r="R118" s="362"/>
      <c r="S118" s="362"/>
      <c r="T118" s="360"/>
      <c r="U118" s="361">
        <f>ROUNDUP((31.1*3.4)-(BS7+CB7),0)</f>
        <v>95</v>
      </c>
      <c r="V118" s="361"/>
      <c r="W118" s="361"/>
      <c r="X118" s="357"/>
      <c r="Y118" s="357"/>
      <c r="Z118" s="357"/>
      <c r="AA118" s="357"/>
      <c r="AB118" s="357"/>
      <c r="AC118" s="357">
        <f>ROUNDUP(((6.88+6.37)*3.8)-CB7,0)</f>
        <v>42</v>
      </c>
      <c r="AD118" s="357">
        <f>U118</f>
        <v>95</v>
      </c>
      <c r="AE118" s="357"/>
      <c r="AF118" s="357"/>
      <c r="AG118" s="357"/>
      <c r="AH118" s="357"/>
      <c r="AI118" s="357"/>
      <c r="AJ118" s="357"/>
      <c r="AK118" s="357"/>
      <c r="AL118" s="357"/>
      <c r="AM118" s="357"/>
      <c r="AN118" s="357"/>
      <c r="AO118" s="357"/>
      <c r="AP118" s="357"/>
      <c r="AQ118" s="357">
        <f>ROUNDUP(BS9+CB9,0)</f>
        <v>9</v>
      </c>
      <c r="AR118" s="357">
        <v>2.9</v>
      </c>
      <c r="AS118" s="362"/>
      <c r="AT118" s="360">
        <f>ROUNDUP(BS8+CB8,0)</f>
        <v>12</v>
      </c>
      <c r="AU118" s="374">
        <f>D118</f>
        <v>52</v>
      </c>
      <c r="AV118" s="357"/>
      <c r="AW118" s="357"/>
      <c r="AX118" s="357"/>
      <c r="AY118" s="360"/>
      <c r="AZ118" s="363">
        <f t="shared" si="25"/>
        <v>95</v>
      </c>
      <c r="BA118" s="364">
        <f t="shared" si="26"/>
        <v>42</v>
      </c>
      <c r="BB118" s="395"/>
      <c r="BC118" s="365">
        <f t="shared" si="24"/>
        <v>52</v>
      </c>
      <c r="BD118" s="361"/>
      <c r="BE118" s="357"/>
      <c r="BF118" s="357"/>
      <c r="BG118" s="357"/>
      <c r="BH118" s="357"/>
      <c r="BI118" s="357"/>
      <c r="BJ118" s="357"/>
      <c r="BK118" s="375"/>
      <c r="BL118" s="357"/>
      <c r="BM118" s="357"/>
      <c r="BN118" s="357"/>
      <c r="BO118" s="357"/>
      <c r="BP118" s="357"/>
      <c r="BQ118" s="357"/>
      <c r="BR118" s="357"/>
      <c r="BS118" s="375">
        <v>1</v>
      </c>
      <c r="BT118" s="375"/>
      <c r="BU118" s="375"/>
      <c r="BV118" s="357"/>
      <c r="BW118" s="357"/>
      <c r="BX118" s="357"/>
      <c r="BY118" s="357"/>
      <c r="BZ118" s="357"/>
      <c r="CA118" s="357"/>
      <c r="CB118" s="375">
        <v>1</v>
      </c>
      <c r="CC118" s="375"/>
      <c r="CD118" s="357"/>
      <c r="CE118" s="357"/>
      <c r="CF118" s="357"/>
      <c r="CG118" s="357"/>
      <c r="CH118" s="357"/>
      <c r="CI118" s="362"/>
      <c r="CJ118" s="362"/>
      <c r="CK118" s="362"/>
      <c r="CL118" s="362"/>
      <c r="CM118" s="362"/>
      <c r="CN118" s="362"/>
      <c r="CO118" s="362"/>
      <c r="CP118" s="362"/>
      <c r="CQ118" s="362"/>
      <c r="CR118" s="362"/>
      <c r="CS118" s="362"/>
      <c r="CT118" s="362"/>
      <c r="CU118" s="362"/>
      <c r="CV118" s="362"/>
      <c r="CW118" s="362"/>
      <c r="CX118" s="362"/>
      <c r="CY118" s="362"/>
      <c r="CZ118" s="362"/>
      <c r="DA118" s="362"/>
      <c r="DB118" s="362"/>
      <c r="DC118" s="362"/>
      <c r="DD118" s="362"/>
      <c r="DE118" s="362"/>
      <c r="DF118" s="362"/>
      <c r="DG118" s="362"/>
      <c r="DH118" s="362"/>
      <c r="DI118" s="362"/>
      <c r="DJ118" s="362"/>
      <c r="DK118" s="362"/>
      <c r="DL118" s="362"/>
      <c r="DM118" s="362"/>
      <c r="DN118" s="362"/>
      <c r="DO118" s="360"/>
      <c r="DP118" s="310"/>
      <c r="DQ118" s="310"/>
      <c r="DR118" s="310"/>
      <c r="DS118" s="310"/>
      <c r="DT118" s="310"/>
      <c r="DU118" s="310"/>
      <c r="DV118" s="310"/>
      <c r="DW118" s="310"/>
      <c r="DX118" s="310"/>
    </row>
    <row r="119" spans="1:128" s="63" customFormat="1">
      <c r="A119" s="376"/>
      <c r="B119" s="374" t="s">
        <v>399</v>
      </c>
      <c r="C119" s="357"/>
      <c r="D119" s="375">
        <f>ROUNDUP(15.05,0)</f>
        <v>16</v>
      </c>
      <c r="E119" s="375"/>
      <c r="F119" s="357"/>
      <c r="G119" s="357"/>
      <c r="H119" s="357"/>
      <c r="I119" s="357"/>
      <c r="J119" s="357"/>
      <c r="K119" s="357"/>
      <c r="L119" s="357"/>
      <c r="M119" s="357"/>
      <c r="N119" s="357"/>
      <c r="O119" s="357"/>
      <c r="P119" s="362"/>
      <c r="Q119" s="362"/>
      <c r="R119" s="362"/>
      <c r="S119" s="362"/>
      <c r="T119" s="360"/>
      <c r="U119" s="361">
        <f>ROUNDUP((15.6*3.4)-(BS7+CN7),0)</f>
        <v>45</v>
      </c>
      <c r="V119" s="361"/>
      <c r="W119" s="361"/>
      <c r="X119" s="357"/>
      <c r="Y119" s="357"/>
      <c r="Z119" s="357"/>
      <c r="AA119" s="357"/>
      <c r="AB119" s="357"/>
      <c r="AC119" s="357">
        <f>ROUNDUP(((5.6+(1.5*2)+(0.3*2))*3.8)-CN7,0)</f>
        <v>30</v>
      </c>
      <c r="AD119" s="357">
        <f>U119</f>
        <v>45</v>
      </c>
      <c r="AE119" s="357"/>
      <c r="AF119" s="357"/>
      <c r="AG119" s="357"/>
      <c r="AH119" s="357"/>
      <c r="AI119" s="357"/>
      <c r="AJ119" s="357"/>
      <c r="AK119" s="357"/>
      <c r="AL119" s="357"/>
      <c r="AM119" s="357"/>
      <c r="AN119" s="357"/>
      <c r="AO119" s="357"/>
      <c r="AP119" s="357"/>
      <c r="AQ119" s="357">
        <f>ROUNDUP(BS9+CN9,0)</f>
        <v>9</v>
      </c>
      <c r="AR119" s="357"/>
      <c r="AS119" s="362"/>
      <c r="AT119" s="360">
        <f>ROUNDUP(BS8+CN8,0)</f>
        <v>8</v>
      </c>
      <c r="AU119" s="374">
        <f t="shared" ref="AU119:AU135" si="29">D119</f>
        <v>16</v>
      </c>
      <c r="AV119" s="357"/>
      <c r="AW119" s="357"/>
      <c r="AX119" s="357"/>
      <c r="AY119" s="360"/>
      <c r="AZ119" s="363">
        <f t="shared" si="25"/>
        <v>45</v>
      </c>
      <c r="BA119" s="364">
        <f t="shared" si="26"/>
        <v>30</v>
      </c>
      <c r="BB119" s="395"/>
      <c r="BC119" s="365">
        <f t="shared" si="24"/>
        <v>16</v>
      </c>
      <c r="BD119" s="361"/>
      <c r="BE119" s="357"/>
      <c r="BF119" s="357"/>
      <c r="BG119" s="357"/>
      <c r="BH119" s="357"/>
      <c r="BI119" s="357"/>
      <c r="BJ119" s="357"/>
      <c r="BK119" s="375"/>
      <c r="BL119" s="357"/>
      <c r="BM119" s="357"/>
      <c r="BN119" s="357"/>
      <c r="BO119" s="357"/>
      <c r="BP119" s="357"/>
      <c r="BQ119" s="357"/>
      <c r="BR119" s="357"/>
      <c r="BS119" s="375">
        <v>1</v>
      </c>
      <c r="BT119" s="375"/>
      <c r="BU119" s="375"/>
      <c r="BV119" s="357"/>
      <c r="BW119" s="357"/>
      <c r="BX119" s="357"/>
      <c r="BY119" s="357"/>
      <c r="BZ119" s="357"/>
      <c r="CA119" s="357"/>
      <c r="CB119" s="375"/>
      <c r="CC119" s="375"/>
      <c r="CD119" s="357"/>
      <c r="CE119" s="357"/>
      <c r="CF119" s="357"/>
      <c r="CG119" s="357"/>
      <c r="CH119" s="357"/>
      <c r="CI119" s="362"/>
      <c r="CJ119" s="362"/>
      <c r="CK119" s="362"/>
      <c r="CL119" s="362"/>
      <c r="CM119" s="362"/>
      <c r="CN119" s="378">
        <v>1</v>
      </c>
      <c r="CO119" s="362"/>
      <c r="CP119" s="362"/>
      <c r="CQ119" s="362"/>
      <c r="CR119" s="362"/>
      <c r="CS119" s="362"/>
      <c r="CT119" s="362"/>
      <c r="CU119" s="362"/>
      <c r="CV119" s="362"/>
      <c r="CW119" s="362"/>
      <c r="CX119" s="362"/>
      <c r="CY119" s="362"/>
      <c r="CZ119" s="362"/>
      <c r="DA119" s="362"/>
      <c r="DB119" s="362"/>
      <c r="DC119" s="362"/>
      <c r="DD119" s="362"/>
      <c r="DE119" s="362"/>
      <c r="DF119" s="362"/>
      <c r="DG119" s="362"/>
      <c r="DH119" s="362"/>
      <c r="DI119" s="362"/>
      <c r="DJ119" s="362"/>
      <c r="DK119" s="362"/>
      <c r="DL119" s="362"/>
      <c r="DM119" s="362"/>
      <c r="DN119" s="362"/>
      <c r="DO119" s="360"/>
      <c r="DP119" s="310"/>
      <c r="DQ119" s="310"/>
      <c r="DR119" s="310"/>
      <c r="DS119" s="310"/>
      <c r="DT119" s="310"/>
      <c r="DU119" s="310"/>
      <c r="DV119" s="310"/>
      <c r="DW119" s="310"/>
      <c r="DX119" s="310"/>
    </row>
    <row r="120" spans="1:128" s="63" customFormat="1">
      <c r="A120" s="376"/>
      <c r="B120" s="374" t="s">
        <v>400</v>
      </c>
      <c r="C120" s="357"/>
      <c r="D120" s="375">
        <f t="shared" ref="D120:D128" si="30">ROUNDUP(15.05,0)</f>
        <v>16</v>
      </c>
      <c r="E120" s="375"/>
      <c r="F120" s="357"/>
      <c r="G120" s="357"/>
      <c r="H120" s="357"/>
      <c r="I120" s="357"/>
      <c r="J120" s="357"/>
      <c r="K120" s="357"/>
      <c r="L120" s="357"/>
      <c r="M120" s="357"/>
      <c r="N120" s="357"/>
      <c r="O120" s="357"/>
      <c r="P120" s="362"/>
      <c r="Q120" s="362"/>
      <c r="R120" s="362"/>
      <c r="S120" s="362"/>
      <c r="T120" s="360"/>
      <c r="U120" s="361">
        <f>ROUNDUP((11.3*3.4)-(BS7+CO7),0)</f>
        <v>34</v>
      </c>
      <c r="V120" s="361"/>
      <c r="W120" s="361"/>
      <c r="X120" s="357"/>
      <c r="Y120" s="357"/>
      <c r="Z120" s="357"/>
      <c r="AA120" s="357"/>
      <c r="AB120" s="357"/>
      <c r="AC120" s="357"/>
      <c r="AD120" s="361">
        <f>ROUNDUP((15.6*3.4)-(BS7+CO7),0)</f>
        <v>49</v>
      </c>
      <c r="AE120" s="357"/>
      <c r="AF120" s="357"/>
      <c r="AG120" s="357"/>
      <c r="AH120" s="357"/>
      <c r="AI120" s="357"/>
      <c r="AJ120" s="357"/>
      <c r="AK120" s="357"/>
      <c r="AL120" s="357"/>
      <c r="AM120" s="357"/>
      <c r="AN120" s="357"/>
      <c r="AO120" s="357"/>
      <c r="AP120" s="357"/>
      <c r="AQ120" s="357">
        <f>ROUNDUP(BS9+CO9,0)</f>
        <v>6</v>
      </c>
      <c r="AR120" s="357"/>
      <c r="AS120" s="362"/>
      <c r="AT120" s="360">
        <f>ROUNDUP(BS8+CO8,0)</f>
        <v>9</v>
      </c>
      <c r="AU120" s="374">
        <f t="shared" si="29"/>
        <v>16</v>
      </c>
      <c r="AV120" s="357"/>
      <c r="AW120" s="357"/>
      <c r="AX120" s="357"/>
      <c r="AY120" s="360"/>
      <c r="AZ120" s="363">
        <f t="shared" si="25"/>
        <v>49</v>
      </c>
      <c r="BA120" s="364"/>
      <c r="BB120" s="395"/>
      <c r="BC120" s="365">
        <f t="shared" si="24"/>
        <v>16</v>
      </c>
      <c r="BD120" s="361"/>
      <c r="BE120" s="357"/>
      <c r="BF120" s="357"/>
      <c r="BG120" s="357"/>
      <c r="BH120" s="357"/>
      <c r="BI120" s="357"/>
      <c r="BJ120" s="357"/>
      <c r="BK120" s="375"/>
      <c r="BL120" s="357"/>
      <c r="BM120" s="357"/>
      <c r="BN120" s="357"/>
      <c r="BO120" s="357"/>
      <c r="BP120" s="357"/>
      <c r="BQ120" s="357"/>
      <c r="BR120" s="357"/>
      <c r="BS120" s="375">
        <v>1</v>
      </c>
      <c r="BT120" s="375"/>
      <c r="BU120" s="375"/>
      <c r="BV120" s="357"/>
      <c r="BW120" s="357"/>
      <c r="BX120" s="357"/>
      <c r="BY120" s="357"/>
      <c r="BZ120" s="357"/>
      <c r="CA120" s="357"/>
      <c r="CB120" s="375">
        <v>1</v>
      </c>
      <c r="CC120" s="375"/>
      <c r="CD120" s="357"/>
      <c r="CE120" s="357"/>
      <c r="CF120" s="357"/>
      <c r="CG120" s="357"/>
      <c r="CH120" s="357"/>
      <c r="CI120" s="362"/>
      <c r="CJ120" s="362"/>
      <c r="CK120" s="362"/>
      <c r="CL120" s="362"/>
      <c r="CM120" s="362"/>
      <c r="CN120" s="362"/>
      <c r="CO120" s="362">
        <v>1</v>
      </c>
      <c r="CP120" s="362"/>
      <c r="CQ120" s="362"/>
      <c r="CR120" s="362"/>
      <c r="CS120" s="362"/>
      <c r="CT120" s="362"/>
      <c r="CU120" s="362"/>
      <c r="CV120" s="362"/>
      <c r="CW120" s="362"/>
      <c r="CX120" s="362"/>
      <c r="CY120" s="362"/>
      <c r="CZ120" s="362"/>
      <c r="DA120" s="362"/>
      <c r="DB120" s="362"/>
      <c r="DC120" s="362"/>
      <c r="DD120" s="362"/>
      <c r="DE120" s="362"/>
      <c r="DF120" s="362"/>
      <c r="DG120" s="362"/>
      <c r="DH120" s="362"/>
      <c r="DI120" s="362"/>
      <c r="DJ120" s="362"/>
      <c r="DK120" s="362"/>
      <c r="DL120" s="362"/>
      <c r="DM120" s="362"/>
      <c r="DN120" s="362"/>
      <c r="DO120" s="360"/>
      <c r="DP120" s="310"/>
      <c r="DQ120" s="310"/>
      <c r="DR120" s="310"/>
      <c r="DS120" s="310"/>
      <c r="DT120" s="310"/>
      <c r="DU120" s="310"/>
      <c r="DV120" s="310"/>
      <c r="DW120" s="310"/>
      <c r="DX120" s="310"/>
    </row>
    <row r="121" spans="1:128" s="63" customFormat="1">
      <c r="A121" s="376"/>
      <c r="B121" s="374" t="s">
        <v>407</v>
      </c>
      <c r="C121" s="357"/>
      <c r="D121" s="375">
        <f>ROUNDUP(21.17,0)</f>
        <v>22</v>
      </c>
      <c r="E121" s="375"/>
      <c r="F121" s="357"/>
      <c r="G121" s="357"/>
      <c r="H121" s="357"/>
      <c r="I121" s="357"/>
      <c r="J121" s="357"/>
      <c r="K121" s="357"/>
      <c r="L121" s="357"/>
      <c r="M121" s="357"/>
      <c r="N121" s="357"/>
      <c r="O121" s="357"/>
      <c r="P121" s="362"/>
      <c r="Q121" s="362"/>
      <c r="R121" s="362"/>
      <c r="S121" s="362"/>
      <c r="T121" s="360"/>
      <c r="U121" s="361">
        <f>ROUNDUP((19.1*3.4)-(BS7+CB7),0)</f>
        <v>54</v>
      </c>
      <c r="V121" s="361"/>
      <c r="W121" s="361"/>
      <c r="X121" s="357"/>
      <c r="Y121" s="357"/>
      <c r="Z121" s="357"/>
      <c r="AA121" s="357"/>
      <c r="AB121" s="357"/>
      <c r="AC121" s="357">
        <f>ROUNDUP(((5.6+(1.5*2)+(0.3*2))*3.8)-CB7,0)</f>
        <v>27</v>
      </c>
      <c r="AD121" s="357">
        <f>U121</f>
        <v>54</v>
      </c>
      <c r="AE121" s="357"/>
      <c r="AF121" s="357"/>
      <c r="AG121" s="357"/>
      <c r="AH121" s="357"/>
      <c r="AI121" s="357"/>
      <c r="AJ121" s="357"/>
      <c r="AK121" s="357"/>
      <c r="AL121" s="357"/>
      <c r="AM121" s="357"/>
      <c r="AN121" s="357"/>
      <c r="AO121" s="357"/>
      <c r="AP121" s="357"/>
      <c r="AQ121" s="357">
        <f>ROUNDUP(BS9+CB9,0)</f>
        <v>9</v>
      </c>
      <c r="AR121" s="357"/>
      <c r="AS121" s="362"/>
      <c r="AT121" s="360">
        <f>ROUNDUP(BS8+CB8,0)</f>
        <v>12</v>
      </c>
      <c r="AU121" s="374">
        <f t="shared" si="29"/>
        <v>22</v>
      </c>
      <c r="AV121" s="357"/>
      <c r="AW121" s="357"/>
      <c r="AX121" s="357"/>
      <c r="AY121" s="360"/>
      <c r="AZ121" s="363">
        <f t="shared" si="25"/>
        <v>54</v>
      </c>
      <c r="BA121" s="364">
        <f>AC121</f>
        <v>27</v>
      </c>
      <c r="BB121" s="395"/>
      <c r="BC121" s="365">
        <f t="shared" si="24"/>
        <v>22</v>
      </c>
      <c r="BD121" s="361"/>
      <c r="BE121" s="357"/>
      <c r="BF121" s="357"/>
      <c r="BG121" s="357"/>
      <c r="BH121" s="357"/>
      <c r="BI121" s="357"/>
      <c r="BJ121" s="357"/>
      <c r="BK121" s="375"/>
      <c r="BL121" s="357"/>
      <c r="BM121" s="357"/>
      <c r="BN121" s="357"/>
      <c r="BO121" s="357"/>
      <c r="BP121" s="357"/>
      <c r="BQ121" s="357"/>
      <c r="BR121" s="357"/>
      <c r="BS121" s="375">
        <v>1</v>
      </c>
      <c r="BT121" s="375"/>
      <c r="BU121" s="375"/>
      <c r="BV121" s="357"/>
      <c r="BW121" s="357"/>
      <c r="BX121" s="357"/>
      <c r="BY121" s="357"/>
      <c r="BZ121" s="357"/>
      <c r="CA121" s="357"/>
      <c r="CB121" s="375">
        <v>1</v>
      </c>
      <c r="CC121" s="375"/>
      <c r="CD121" s="357"/>
      <c r="CE121" s="357"/>
      <c r="CF121" s="357"/>
      <c r="CG121" s="357"/>
      <c r="CH121" s="357"/>
      <c r="CI121" s="362"/>
      <c r="CJ121" s="362"/>
      <c r="CK121" s="362"/>
      <c r="CL121" s="362"/>
      <c r="CM121" s="362"/>
      <c r="CN121" s="362"/>
      <c r="CO121" s="362"/>
      <c r="CP121" s="362"/>
      <c r="CQ121" s="362"/>
      <c r="CR121" s="362"/>
      <c r="CS121" s="362"/>
      <c r="CT121" s="362"/>
      <c r="CU121" s="362"/>
      <c r="CV121" s="362"/>
      <c r="CW121" s="362"/>
      <c r="CX121" s="362"/>
      <c r="CY121" s="362"/>
      <c r="CZ121" s="362"/>
      <c r="DA121" s="362"/>
      <c r="DB121" s="362"/>
      <c r="DC121" s="362"/>
      <c r="DD121" s="362"/>
      <c r="DE121" s="362"/>
      <c r="DF121" s="362"/>
      <c r="DG121" s="362"/>
      <c r="DH121" s="362"/>
      <c r="DI121" s="362"/>
      <c r="DJ121" s="362"/>
      <c r="DK121" s="362"/>
      <c r="DL121" s="362"/>
      <c r="DM121" s="362"/>
      <c r="DN121" s="362"/>
      <c r="DO121" s="360"/>
      <c r="DP121" s="310"/>
      <c r="DQ121" s="310"/>
      <c r="DR121" s="310"/>
      <c r="DS121" s="310"/>
      <c r="DT121" s="310"/>
      <c r="DU121" s="310"/>
      <c r="DV121" s="310"/>
      <c r="DW121" s="310"/>
      <c r="DX121" s="310"/>
    </row>
    <row r="122" spans="1:128" s="63" customFormat="1">
      <c r="A122" s="376"/>
      <c r="B122" s="374" t="s">
        <v>408</v>
      </c>
      <c r="C122" s="357"/>
      <c r="D122" s="375">
        <f>ROUNDUP(21.17,0)</f>
        <v>22</v>
      </c>
      <c r="E122" s="375"/>
      <c r="F122" s="357"/>
      <c r="G122" s="357"/>
      <c r="H122" s="357"/>
      <c r="I122" s="357"/>
      <c r="J122" s="357"/>
      <c r="K122" s="357"/>
      <c r="L122" s="357"/>
      <c r="M122" s="357"/>
      <c r="N122" s="357"/>
      <c r="O122" s="357"/>
      <c r="P122" s="362"/>
      <c r="Q122" s="362"/>
      <c r="R122" s="362"/>
      <c r="S122" s="362"/>
      <c r="T122" s="360"/>
      <c r="U122" s="361">
        <f>ROUNDUP((13.05*3.4)-(BS7+CS7),0)</f>
        <v>39</v>
      </c>
      <c r="V122" s="361"/>
      <c r="W122" s="361"/>
      <c r="X122" s="357"/>
      <c r="Y122" s="357"/>
      <c r="Z122" s="357"/>
      <c r="AA122" s="357"/>
      <c r="AB122" s="357"/>
      <c r="AC122" s="357"/>
      <c r="AD122" s="361">
        <f>ROUNDUP((19.1*3.4)-(BS7+CS7),0)</f>
        <v>60</v>
      </c>
      <c r="AE122" s="357"/>
      <c r="AF122" s="357"/>
      <c r="AG122" s="357"/>
      <c r="AH122" s="357"/>
      <c r="AI122" s="357"/>
      <c r="AJ122" s="357"/>
      <c r="AK122" s="357"/>
      <c r="AL122" s="357"/>
      <c r="AM122" s="357"/>
      <c r="AN122" s="357"/>
      <c r="AO122" s="357"/>
      <c r="AP122" s="357"/>
      <c r="AQ122" s="357">
        <f>ROUNDUP(BS9+CS9,0)</f>
        <v>6</v>
      </c>
      <c r="AR122" s="357"/>
      <c r="AS122" s="362"/>
      <c r="AT122" s="360">
        <f>ROUNDUP(BS8+CS8,0)</f>
        <v>12</v>
      </c>
      <c r="AU122" s="374">
        <f t="shared" si="29"/>
        <v>22</v>
      </c>
      <c r="AV122" s="357"/>
      <c r="AW122" s="357"/>
      <c r="AX122" s="357"/>
      <c r="AY122" s="360"/>
      <c r="AZ122" s="363">
        <f t="shared" si="25"/>
        <v>60</v>
      </c>
      <c r="BA122" s="364"/>
      <c r="BB122" s="395"/>
      <c r="BC122" s="365">
        <f t="shared" si="24"/>
        <v>22</v>
      </c>
      <c r="BD122" s="361"/>
      <c r="BE122" s="357"/>
      <c r="BF122" s="357"/>
      <c r="BG122" s="357"/>
      <c r="BH122" s="357"/>
      <c r="BI122" s="357"/>
      <c r="BJ122" s="357"/>
      <c r="BK122" s="375"/>
      <c r="BL122" s="357"/>
      <c r="BM122" s="357"/>
      <c r="BN122" s="357"/>
      <c r="BO122" s="357"/>
      <c r="BP122" s="357"/>
      <c r="BQ122" s="357"/>
      <c r="BR122" s="357"/>
      <c r="BS122" s="375">
        <v>1</v>
      </c>
      <c r="BT122" s="375"/>
      <c r="BU122" s="375"/>
      <c r="BV122" s="357"/>
      <c r="BW122" s="357"/>
      <c r="BX122" s="357"/>
      <c r="BY122" s="357"/>
      <c r="BZ122" s="357"/>
      <c r="CA122" s="357"/>
      <c r="CB122" s="375"/>
      <c r="CC122" s="375"/>
      <c r="CD122" s="357"/>
      <c r="CE122" s="357"/>
      <c r="CF122" s="357"/>
      <c r="CG122" s="357"/>
      <c r="CH122" s="357"/>
      <c r="CI122" s="362"/>
      <c r="CJ122" s="362"/>
      <c r="CK122" s="362"/>
      <c r="CL122" s="362"/>
      <c r="CM122" s="362"/>
      <c r="CN122" s="362"/>
      <c r="CO122" s="362"/>
      <c r="CP122" s="362"/>
      <c r="CQ122" s="362"/>
      <c r="CR122" s="362"/>
      <c r="CS122" s="362">
        <v>1</v>
      </c>
      <c r="CT122" s="362"/>
      <c r="CU122" s="362"/>
      <c r="CV122" s="362"/>
      <c r="CW122" s="362"/>
      <c r="CX122" s="362"/>
      <c r="CY122" s="362"/>
      <c r="CZ122" s="362"/>
      <c r="DA122" s="362"/>
      <c r="DB122" s="362"/>
      <c r="DC122" s="362"/>
      <c r="DD122" s="362"/>
      <c r="DE122" s="362"/>
      <c r="DF122" s="362"/>
      <c r="DG122" s="362"/>
      <c r="DH122" s="362"/>
      <c r="DI122" s="362"/>
      <c r="DJ122" s="362"/>
      <c r="DK122" s="362"/>
      <c r="DL122" s="362"/>
      <c r="DM122" s="362"/>
      <c r="DN122" s="362"/>
      <c r="DO122" s="360"/>
      <c r="DP122" s="310"/>
      <c r="DQ122" s="310"/>
      <c r="DR122" s="310"/>
      <c r="DS122" s="310"/>
      <c r="DT122" s="310"/>
      <c r="DU122" s="310"/>
      <c r="DV122" s="310"/>
      <c r="DW122" s="310"/>
      <c r="DX122" s="310"/>
    </row>
    <row r="123" spans="1:128" s="63" customFormat="1">
      <c r="A123" s="376"/>
      <c r="B123" s="374" t="s">
        <v>409</v>
      </c>
      <c r="C123" s="357"/>
      <c r="D123" s="375">
        <f>ROUNDUP(21.17,0)</f>
        <v>22</v>
      </c>
      <c r="E123" s="375"/>
      <c r="F123" s="357"/>
      <c r="G123" s="357"/>
      <c r="H123" s="357"/>
      <c r="I123" s="357"/>
      <c r="J123" s="357"/>
      <c r="K123" s="357"/>
      <c r="L123" s="357"/>
      <c r="M123" s="357"/>
      <c r="N123" s="357"/>
      <c r="O123" s="357"/>
      <c r="P123" s="362"/>
      <c r="Q123" s="362"/>
      <c r="R123" s="362"/>
      <c r="S123" s="362"/>
      <c r="T123" s="360"/>
      <c r="U123" s="361">
        <f>ROUNDUP((19.1*3.4)-(BS7+CB7),0)</f>
        <v>54</v>
      </c>
      <c r="V123" s="361"/>
      <c r="W123" s="361"/>
      <c r="X123" s="357"/>
      <c r="Y123" s="357"/>
      <c r="Z123" s="357"/>
      <c r="AA123" s="357"/>
      <c r="AB123" s="357"/>
      <c r="AC123" s="357">
        <f>ROUNDUP(((5.6+(1.5*2)+(0.3*2))*3.8)-CB7,0)</f>
        <v>27</v>
      </c>
      <c r="AD123" s="357">
        <f>U123</f>
        <v>54</v>
      </c>
      <c r="AE123" s="357"/>
      <c r="AF123" s="357"/>
      <c r="AG123" s="357"/>
      <c r="AH123" s="357"/>
      <c r="AI123" s="357"/>
      <c r="AJ123" s="357"/>
      <c r="AK123" s="357"/>
      <c r="AL123" s="357"/>
      <c r="AM123" s="357"/>
      <c r="AN123" s="357"/>
      <c r="AO123" s="357"/>
      <c r="AP123" s="357"/>
      <c r="AQ123" s="357">
        <f>ROUNDUP(BS9+CB9,0)</f>
        <v>9</v>
      </c>
      <c r="AR123" s="357"/>
      <c r="AS123" s="362"/>
      <c r="AT123" s="360">
        <f>ROUNDUP(BS8+CB8,0)</f>
        <v>12</v>
      </c>
      <c r="AU123" s="374">
        <f t="shared" si="29"/>
        <v>22</v>
      </c>
      <c r="AV123" s="357"/>
      <c r="AW123" s="357"/>
      <c r="AX123" s="357"/>
      <c r="AY123" s="360"/>
      <c r="AZ123" s="363">
        <f t="shared" si="25"/>
        <v>54</v>
      </c>
      <c r="BA123" s="364">
        <f>AC123</f>
        <v>27</v>
      </c>
      <c r="BB123" s="395"/>
      <c r="BC123" s="365">
        <f t="shared" si="24"/>
        <v>22</v>
      </c>
      <c r="BD123" s="361"/>
      <c r="BE123" s="357"/>
      <c r="BF123" s="357"/>
      <c r="BG123" s="357"/>
      <c r="BH123" s="357"/>
      <c r="BI123" s="357"/>
      <c r="BJ123" s="357"/>
      <c r="BK123" s="375"/>
      <c r="BL123" s="357"/>
      <c r="BM123" s="357"/>
      <c r="BN123" s="357"/>
      <c r="BO123" s="357"/>
      <c r="BP123" s="357"/>
      <c r="BQ123" s="357"/>
      <c r="BR123" s="357"/>
      <c r="BS123" s="375">
        <v>1</v>
      </c>
      <c r="BT123" s="375"/>
      <c r="BU123" s="375"/>
      <c r="BV123" s="357"/>
      <c r="BW123" s="357"/>
      <c r="BX123" s="357"/>
      <c r="BY123" s="357"/>
      <c r="BZ123" s="357"/>
      <c r="CA123" s="357"/>
      <c r="CB123" s="375">
        <v>1</v>
      </c>
      <c r="CC123" s="375"/>
      <c r="CD123" s="357"/>
      <c r="CE123" s="357"/>
      <c r="CF123" s="357"/>
      <c r="CG123" s="357"/>
      <c r="CH123" s="357"/>
      <c r="CI123" s="362"/>
      <c r="CJ123" s="362"/>
      <c r="CK123" s="362"/>
      <c r="CL123" s="362"/>
      <c r="CM123" s="362"/>
      <c r="CN123" s="362"/>
      <c r="CO123" s="362"/>
      <c r="CP123" s="362"/>
      <c r="CQ123" s="362"/>
      <c r="CR123" s="362"/>
      <c r="CS123" s="362"/>
      <c r="CT123" s="362"/>
      <c r="CU123" s="362"/>
      <c r="CV123" s="362"/>
      <c r="CW123" s="362"/>
      <c r="CX123" s="362"/>
      <c r="CY123" s="362"/>
      <c r="CZ123" s="362"/>
      <c r="DA123" s="362"/>
      <c r="DB123" s="362"/>
      <c r="DC123" s="362"/>
      <c r="DD123" s="362"/>
      <c r="DE123" s="362"/>
      <c r="DF123" s="362"/>
      <c r="DG123" s="362"/>
      <c r="DH123" s="362"/>
      <c r="DI123" s="362"/>
      <c r="DJ123" s="362"/>
      <c r="DK123" s="362"/>
      <c r="DL123" s="362"/>
      <c r="DM123" s="362"/>
      <c r="DN123" s="362"/>
      <c r="DO123" s="360"/>
      <c r="DP123" s="310"/>
      <c r="DQ123" s="310"/>
      <c r="DR123" s="310"/>
      <c r="DS123" s="310"/>
      <c r="DT123" s="310"/>
      <c r="DU123" s="310"/>
      <c r="DV123" s="310"/>
      <c r="DW123" s="310"/>
      <c r="DX123" s="310"/>
    </row>
    <row r="124" spans="1:128" s="63" customFormat="1">
      <c r="A124" s="376"/>
      <c r="B124" s="374" t="s">
        <v>410</v>
      </c>
      <c r="C124" s="357"/>
      <c r="D124" s="375">
        <f>ROUNDUP(21.17,0)</f>
        <v>22</v>
      </c>
      <c r="E124" s="375"/>
      <c r="F124" s="357"/>
      <c r="G124" s="357"/>
      <c r="H124" s="357"/>
      <c r="I124" s="357"/>
      <c r="J124" s="357"/>
      <c r="K124" s="357"/>
      <c r="L124" s="357"/>
      <c r="M124" s="357"/>
      <c r="N124" s="357"/>
      <c r="O124" s="357"/>
      <c r="P124" s="362"/>
      <c r="Q124" s="362"/>
      <c r="R124" s="362"/>
      <c r="S124" s="362"/>
      <c r="T124" s="360"/>
      <c r="U124" s="361">
        <f>ROUNDUP((13.05*3.4)-(BS7+CS7),0)</f>
        <v>39</v>
      </c>
      <c r="V124" s="361"/>
      <c r="W124" s="361"/>
      <c r="X124" s="357"/>
      <c r="Y124" s="357"/>
      <c r="Z124" s="357"/>
      <c r="AA124" s="357"/>
      <c r="AB124" s="357"/>
      <c r="AC124" s="357"/>
      <c r="AD124" s="361">
        <f>ROUNDUP((19.1*3.4)-(BS7+CS7),0)</f>
        <v>60</v>
      </c>
      <c r="AE124" s="357"/>
      <c r="AF124" s="357"/>
      <c r="AG124" s="357"/>
      <c r="AH124" s="357"/>
      <c r="AI124" s="357"/>
      <c r="AJ124" s="357"/>
      <c r="AK124" s="357"/>
      <c r="AL124" s="357"/>
      <c r="AM124" s="357"/>
      <c r="AN124" s="357"/>
      <c r="AO124" s="357"/>
      <c r="AP124" s="357"/>
      <c r="AQ124" s="357">
        <f>ROUNDUP(BS9+CS9,0)</f>
        <v>6</v>
      </c>
      <c r="AR124" s="357"/>
      <c r="AS124" s="362"/>
      <c r="AT124" s="360">
        <f>ROUNDUP(BS8+CS8,0)</f>
        <v>12</v>
      </c>
      <c r="AU124" s="374">
        <f t="shared" si="29"/>
        <v>22</v>
      </c>
      <c r="AV124" s="357"/>
      <c r="AW124" s="357"/>
      <c r="AX124" s="357"/>
      <c r="AY124" s="360"/>
      <c r="AZ124" s="363">
        <f t="shared" si="25"/>
        <v>60</v>
      </c>
      <c r="BA124" s="364"/>
      <c r="BB124" s="395"/>
      <c r="BC124" s="365">
        <f t="shared" si="24"/>
        <v>22</v>
      </c>
      <c r="BD124" s="361"/>
      <c r="BE124" s="357"/>
      <c r="BF124" s="357"/>
      <c r="BG124" s="357"/>
      <c r="BH124" s="357"/>
      <c r="BI124" s="357"/>
      <c r="BJ124" s="357"/>
      <c r="BK124" s="375"/>
      <c r="BL124" s="357"/>
      <c r="BM124" s="357"/>
      <c r="BN124" s="357"/>
      <c r="BO124" s="357"/>
      <c r="BP124" s="357"/>
      <c r="BQ124" s="357"/>
      <c r="BR124" s="357"/>
      <c r="BS124" s="375">
        <v>1</v>
      </c>
      <c r="BT124" s="375"/>
      <c r="BU124" s="375"/>
      <c r="BV124" s="357"/>
      <c r="BW124" s="357"/>
      <c r="BX124" s="357"/>
      <c r="BY124" s="357"/>
      <c r="BZ124" s="357"/>
      <c r="CA124" s="357"/>
      <c r="CB124" s="375"/>
      <c r="CC124" s="375"/>
      <c r="CD124" s="357"/>
      <c r="CE124" s="357"/>
      <c r="CF124" s="357"/>
      <c r="CG124" s="357"/>
      <c r="CH124" s="357"/>
      <c r="CI124" s="362"/>
      <c r="CJ124" s="362"/>
      <c r="CK124" s="362"/>
      <c r="CL124" s="362"/>
      <c r="CM124" s="362"/>
      <c r="CN124" s="362"/>
      <c r="CO124" s="362"/>
      <c r="CP124" s="362"/>
      <c r="CQ124" s="362"/>
      <c r="CR124" s="362"/>
      <c r="CS124" s="362">
        <v>1</v>
      </c>
      <c r="CT124" s="362"/>
      <c r="CU124" s="362"/>
      <c r="CV124" s="362"/>
      <c r="CW124" s="362"/>
      <c r="CX124" s="362"/>
      <c r="CY124" s="362"/>
      <c r="CZ124" s="362"/>
      <c r="DA124" s="362"/>
      <c r="DB124" s="362"/>
      <c r="DC124" s="362"/>
      <c r="DD124" s="362"/>
      <c r="DE124" s="362"/>
      <c r="DF124" s="362"/>
      <c r="DG124" s="362"/>
      <c r="DH124" s="362"/>
      <c r="DI124" s="362"/>
      <c r="DJ124" s="362"/>
      <c r="DK124" s="362"/>
      <c r="DL124" s="362"/>
      <c r="DM124" s="362"/>
      <c r="DN124" s="362"/>
      <c r="DO124" s="360"/>
      <c r="DP124" s="310"/>
      <c r="DQ124" s="310"/>
      <c r="DR124" s="310"/>
      <c r="DS124" s="310"/>
      <c r="DT124" s="310"/>
      <c r="DU124" s="310"/>
      <c r="DV124" s="310"/>
      <c r="DW124" s="310"/>
      <c r="DX124" s="310"/>
    </row>
    <row r="125" spans="1:128" s="63" customFormat="1">
      <c r="A125" s="376"/>
      <c r="B125" s="374" t="s">
        <v>411</v>
      </c>
      <c r="C125" s="357"/>
      <c r="D125" s="375">
        <f t="shared" si="30"/>
        <v>16</v>
      </c>
      <c r="E125" s="375"/>
      <c r="F125" s="357"/>
      <c r="G125" s="357"/>
      <c r="H125" s="357"/>
      <c r="I125" s="357"/>
      <c r="J125" s="357"/>
      <c r="K125" s="357"/>
      <c r="L125" s="357"/>
      <c r="M125" s="357"/>
      <c r="N125" s="357"/>
      <c r="O125" s="357"/>
      <c r="P125" s="362"/>
      <c r="Q125" s="362"/>
      <c r="R125" s="362"/>
      <c r="S125" s="362"/>
      <c r="T125" s="360"/>
      <c r="U125" s="361">
        <f>ROUNDUP((15.6*3.4)-(BS7+CN7),0)</f>
        <v>45</v>
      </c>
      <c r="V125" s="361"/>
      <c r="W125" s="361"/>
      <c r="X125" s="357"/>
      <c r="Y125" s="357"/>
      <c r="Z125" s="357"/>
      <c r="AA125" s="357"/>
      <c r="AB125" s="357"/>
      <c r="AC125" s="357">
        <f>ROUNDUP(((5.6+(1.5*2)+(0.3*2))*3.8)-CN7,0)</f>
        <v>30</v>
      </c>
      <c r="AD125" s="357">
        <f>U125</f>
        <v>45</v>
      </c>
      <c r="AE125" s="357"/>
      <c r="AF125" s="357"/>
      <c r="AG125" s="357"/>
      <c r="AH125" s="357"/>
      <c r="AI125" s="357"/>
      <c r="AJ125" s="357"/>
      <c r="AK125" s="357"/>
      <c r="AL125" s="357"/>
      <c r="AM125" s="357"/>
      <c r="AN125" s="357"/>
      <c r="AO125" s="357"/>
      <c r="AP125" s="357"/>
      <c r="AQ125" s="357">
        <f>ROUNDUP(BS9+CN9,0)</f>
        <v>9</v>
      </c>
      <c r="AR125" s="357"/>
      <c r="AS125" s="362"/>
      <c r="AT125" s="360">
        <f>ROUNDUP(BS8+CN8,0)</f>
        <v>8</v>
      </c>
      <c r="AU125" s="374">
        <f t="shared" si="29"/>
        <v>16</v>
      </c>
      <c r="AV125" s="357"/>
      <c r="AW125" s="357"/>
      <c r="AX125" s="357"/>
      <c r="AY125" s="360"/>
      <c r="AZ125" s="363">
        <f t="shared" si="25"/>
        <v>45</v>
      </c>
      <c r="BA125" s="364">
        <f>AC125</f>
        <v>30</v>
      </c>
      <c r="BB125" s="395"/>
      <c r="BC125" s="365">
        <f t="shared" si="24"/>
        <v>16</v>
      </c>
      <c r="BD125" s="361"/>
      <c r="BE125" s="357"/>
      <c r="BF125" s="357"/>
      <c r="BG125" s="357"/>
      <c r="BH125" s="357"/>
      <c r="BI125" s="357"/>
      <c r="BJ125" s="357"/>
      <c r="BK125" s="375"/>
      <c r="BL125" s="357"/>
      <c r="BM125" s="357"/>
      <c r="BN125" s="357"/>
      <c r="BO125" s="357"/>
      <c r="BP125" s="357"/>
      <c r="BQ125" s="357"/>
      <c r="BR125" s="357"/>
      <c r="BS125" s="375">
        <v>1</v>
      </c>
      <c r="BT125" s="375"/>
      <c r="BU125" s="375"/>
      <c r="BV125" s="357"/>
      <c r="BW125" s="357"/>
      <c r="BX125" s="357"/>
      <c r="BY125" s="357"/>
      <c r="BZ125" s="357"/>
      <c r="CA125" s="357"/>
      <c r="CB125" s="375"/>
      <c r="CC125" s="375"/>
      <c r="CD125" s="357"/>
      <c r="CE125" s="357"/>
      <c r="CF125" s="357"/>
      <c r="CG125" s="357"/>
      <c r="CH125" s="357"/>
      <c r="CI125" s="362"/>
      <c r="CJ125" s="362"/>
      <c r="CK125" s="362"/>
      <c r="CL125" s="362"/>
      <c r="CM125" s="362"/>
      <c r="CN125" s="378">
        <v>1</v>
      </c>
      <c r="CO125" s="362"/>
      <c r="CP125" s="362"/>
      <c r="CQ125" s="362"/>
      <c r="CR125" s="362"/>
      <c r="CS125" s="362"/>
      <c r="CT125" s="362"/>
      <c r="CU125" s="362"/>
      <c r="CV125" s="362"/>
      <c r="CW125" s="362"/>
      <c r="CX125" s="362"/>
      <c r="CY125" s="362"/>
      <c r="CZ125" s="362"/>
      <c r="DA125" s="362"/>
      <c r="DB125" s="362"/>
      <c r="DC125" s="362"/>
      <c r="DD125" s="362"/>
      <c r="DE125" s="362"/>
      <c r="DF125" s="362"/>
      <c r="DG125" s="362"/>
      <c r="DH125" s="362"/>
      <c r="DI125" s="362"/>
      <c r="DJ125" s="362"/>
      <c r="DK125" s="362"/>
      <c r="DL125" s="362"/>
      <c r="DM125" s="362"/>
      <c r="DN125" s="362"/>
      <c r="DO125" s="360"/>
      <c r="DP125" s="310"/>
      <c r="DQ125" s="310"/>
      <c r="DR125" s="310"/>
      <c r="DS125" s="310"/>
      <c r="DT125" s="310"/>
      <c r="DU125" s="310"/>
      <c r="DV125" s="310"/>
      <c r="DW125" s="310"/>
      <c r="DX125" s="310"/>
    </row>
    <row r="126" spans="1:128" s="63" customFormat="1">
      <c r="A126" s="376"/>
      <c r="B126" s="374" t="s">
        <v>412</v>
      </c>
      <c r="C126" s="357"/>
      <c r="D126" s="375">
        <f t="shared" si="30"/>
        <v>16</v>
      </c>
      <c r="E126" s="375"/>
      <c r="F126" s="357"/>
      <c r="G126" s="357"/>
      <c r="H126" s="357"/>
      <c r="I126" s="357"/>
      <c r="J126" s="357"/>
      <c r="K126" s="357"/>
      <c r="L126" s="357"/>
      <c r="M126" s="357"/>
      <c r="N126" s="357"/>
      <c r="O126" s="357"/>
      <c r="P126" s="362"/>
      <c r="Q126" s="362"/>
      <c r="R126" s="362"/>
      <c r="S126" s="362"/>
      <c r="T126" s="360"/>
      <c r="U126" s="361">
        <f>ROUNDUP((11.3*3.4)-(BS7+CO7),0)</f>
        <v>34</v>
      </c>
      <c r="V126" s="361"/>
      <c r="W126" s="361"/>
      <c r="X126" s="357"/>
      <c r="Y126" s="357"/>
      <c r="Z126" s="357"/>
      <c r="AA126" s="357"/>
      <c r="AB126" s="357"/>
      <c r="AC126" s="357"/>
      <c r="AD126" s="361">
        <f>ROUNDUP((15.6*3.4)-(BS7+CO7),0)</f>
        <v>49</v>
      </c>
      <c r="AE126" s="357"/>
      <c r="AF126" s="357"/>
      <c r="AG126" s="357"/>
      <c r="AH126" s="357"/>
      <c r="AI126" s="357"/>
      <c r="AJ126" s="357"/>
      <c r="AK126" s="357"/>
      <c r="AL126" s="357"/>
      <c r="AM126" s="357"/>
      <c r="AN126" s="357"/>
      <c r="AO126" s="357"/>
      <c r="AP126" s="357"/>
      <c r="AQ126" s="357">
        <f>ROUNDUP(BS9+CO9,0)</f>
        <v>6</v>
      </c>
      <c r="AR126" s="357"/>
      <c r="AS126" s="362"/>
      <c r="AT126" s="360">
        <f>ROUNDUP(BS8+CO8,0)</f>
        <v>9</v>
      </c>
      <c r="AU126" s="374">
        <f t="shared" si="29"/>
        <v>16</v>
      </c>
      <c r="AV126" s="357"/>
      <c r="AW126" s="357"/>
      <c r="AX126" s="357"/>
      <c r="AY126" s="360"/>
      <c r="AZ126" s="363">
        <f t="shared" si="25"/>
        <v>49</v>
      </c>
      <c r="BA126" s="364"/>
      <c r="BB126" s="395"/>
      <c r="BC126" s="365">
        <f t="shared" si="24"/>
        <v>16</v>
      </c>
      <c r="BD126" s="361"/>
      <c r="BE126" s="357"/>
      <c r="BF126" s="357"/>
      <c r="BG126" s="357"/>
      <c r="BH126" s="357"/>
      <c r="BI126" s="357"/>
      <c r="BJ126" s="357"/>
      <c r="BK126" s="375"/>
      <c r="BL126" s="357"/>
      <c r="BM126" s="357"/>
      <c r="BN126" s="357"/>
      <c r="BO126" s="357"/>
      <c r="BP126" s="357"/>
      <c r="BQ126" s="357"/>
      <c r="BR126" s="357"/>
      <c r="BS126" s="375">
        <v>1</v>
      </c>
      <c r="BT126" s="375"/>
      <c r="BU126" s="375"/>
      <c r="BV126" s="357"/>
      <c r="BW126" s="357"/>
      <c r="BX126" s="357"/>
      <c r="BY126" s="357"/>
      <c r="BZ126" s="357"/>
      <c r="CA126" s="357"/>
      <c r="CB126" s="375"/>
      <c r="CC126" s="375"/>
      <c r="CD126" s="357"/>
      <c r="CE126" s="357"/>
      <c r="CF126" s="357"/>
      <c r="CG126" s="357"/>
      <c r="CH126" s="357"/>
      <c r="CI126" s="362"/>
      <c r="CJ126" s="362"/>
      <c r="CK126" s="362"/>
      <c r="CL126" s="362"/>
      <c r="CM126" s="362"/>
      <c r="CN126" s="362"/>
      <c r="CO126" s="362">
        <v>1</v>
      </c>
      <c r="CP126" s="362"/>
      <c r="CQ126" s="362"/>
      <c r="CR126" s="362"/>
      <c r="CS126" s="362"/>
      <c r="CT126" s="362"/>
      <c r="CU126" s="362"/>
      <c r="CV126" s="362"/>
      <c r="CW126" s="362"/>
      <c r="CX126" s="362"/>
      <c r="CY126" s="362"/>
      <c r="CZ126" s="362"/>
      <c r="DA126" s="362"/>
      <c r="DB126" s="362"/>
      <c r="DC126" s="362"/>
      <c r="DD126" s="362"/>
      <c r="DE126" s="362"/>
      <c r="DF126" s="362"/>
      <c r="DG126" s="362"/>
      <c r="DH126" s="362"/>
      <c r="DI126" s="362"/>
      <c r="DJ126" s="362"/>
      <c r="DK126" s="362"/>
      <c r="DL126" s="362"/>
      <c r="DM126" s="362"/>
      <c r="DN126" s="362"/>
      <c r="DO126" s="360"/>
      <c r="DP126" s="310"/>
      <c r="DQ126" s="310"/>
      <c r="DR126" s="310"/>
      <c r="DS126" s="310"/>
      <c r="DT126" s="310"/>
      <c r="DU126" s="310"/>
      <c r="DV126" s="310"/>
      <c r="DW126" s="310"/>
      <c r="DX126" s="310"/>
    </row>
    <row r="127" spans="1:128" s="63" customFormat="1">
      <c r="A127" s="376"/>
      <c r="B127" s="374" t="s">
        <v>413</v>
      </c>
      <c r="C127" s="357"/>
      <c r="D127" s="375">
        <f t="shared" si="30"/>
        <v>16</v>
      </c>
      <c r="E127" s="375"/>
      <c r="F127" s="357"/>
      <c r="G127" s="357"/>
      <c r="H127" s="357"/>
      <c r="I127" s="357"/>
      <c r="J127" s="357"/>
      <c r="K127" s="357"/>
      <c r="L127" s="357"/>
      <c r="M127" s="357"/>
      <c r="N127" s="357"/>
      <c r="O127" s="357"/>
      <c r="P127" s="362"/>
      <c r="Q127" s="362"/>
      <c r="R127" s="362"/>
      <c r="S127" s="362"/>
      <c r="T127" s="360"/>
      <c r="U127" s="361">
        <f>ROUNDUP((15.6*3.4)-(BS7+CN7),0)</f>
        <v>45</v>
      </c>
      <c r="V127" s="361"/>
      <c r="W127" s="361"/>
      <c r="X127" s="357"/>
      <c r="Y127" s="357"/>
      <c r="Z127" s="357"/>
      <c r="AA127" s="357"/>
      <c r="AB127" s="357"/>
      <c r="AC127" s="357">
        <f>ROUNDUP(((5.6+(1.5*2)+(0.3*2))*3.8)-CN9,0)</f>
        <v>32</v>
      </c>
      <c r="AD127" s="357">
        <f>U127</f>
        <v>45</v>
      </c>
      <c r="AE127" s="357"/>
      <c r="AF127" s="357"/>
      <c r="AG127" s="357"/>
      <c r="AH127" s="357"/>
      <c r="AI127" s="357"/>
      <c r="AJ127" s="357"/>
      <c r="AK127" s="357"/>
      <c r="AL127" s="357"/>
      <c r="AM127" s="357"/>
      <c r="AN127" s="357"/>
      <c r="AO127" s="357"/>
      <c r="AP127" s="357"/>
      <c r="AQ127" s="357">
        <f>ROUNDUP(BS9+CN9,0)</f>
        <v>9</v>
      </c>
      <c r="AR127" s="357"/>
      <c r="AS127" s="362"/>
      <c r="AT127" s="360">
        <f>ROUNDUP(BS8+CN8,0)</f>
        <v>8</v>
      </c>
      <c r="AU127" s="374">
        <f t="shared" si="29"/>
        <v>16</v>
      </c>
      <c r="AV127" s="357"/>
      <c r="AW127" s="357"/>
      <c r="AX127" s="357"/>
      <c r="AY127" s="360"/>
      <c r="AZ127" s="363">
        <f t="shared" si="25"/>
        <v>45</v>
      </c>
      <c r="BA127" s="364">
        <f>AC127</f>
        <v>32</v>
      </c>
      <c r="BB127" s="395"/>
      <c r="BC127" s="365">
        <f t="shared" si="24"/>
        <v>16</v>
      </c>
      <c r="BD127" s="361"/>
      <c r="BE127" s="357"/>
      <c r="BF127" s="357"/>
      <c r="BG127" s="357"/>
      <c r="BH127" s="357"/>
      <c r="BI127" s="357"/>
      <c r="BJ127" s="357"/>
      <c r="BK127" s="375"/>
      <c r="BL127" s="357"/>
      <c r="BM127" s="357"/>
      <c r="BN127" s="357"/>
      <c r="BO127" s="357"/>
      <c r="BP127" s="357"/>
      <c r="BQ127" s="357"/>
      <c r="BR127" s="357"/>
      <c r="BS127" s="375">
        <v>1</v>
      </c>
      <c r="BT127" s="375"/>
      <c r="BU127" s="375"/>
      <c r="BV127" s="357"/>
      <c r="BW127" s="357"/>
      <c r="BX127" s="357"/>
      <c r="BY127" s="357"/>
      <c r="BZ127" s="357"/>
      <c r="CA127" s="357"/>
      <c r="CB127" s="375"/>
      <c r="CC127" s="375"/>
      <c r="CD127" s="357"/>
      <c r="CE127" s="357"/>
      <c r="CF127" s="357"/>
      <c r="CG127" s="357"/>
      <c r="CH127" s="357"/>
      <c r="CI127" s="362"/>
      <c r="CJ127" s="362"/>
      <c r="CK127" s="362"/>
      <c r="CL127" s="362"/>
      <c r="CM127" s="362"/>
      <c r="CN127" s="378">
        <v>1</v>
      </c>
      <c r="CO127" s="362"/>
      <c r="CP127" s="362"/>
      <c r="CQ127" s="362"/>
      <c r="CR127" s="362"/>
      <c r="CS127" s="362"/>
      <c r="CT127" s="362"/>
      <c r="CU127" s="362"/>
      <c r="CV127" s="362"/>
      <c r="CW127" s="362"/>
      <c r="CX127" s="362"/>
      <c r="CY127" s="362"/>
      <c r="CZ127" s="362"/>
      <c r="DA127" s="362"/>
      <c r="DB127" s="362"/>
      <c r="DC127" s="362"/>
      <c r="DD127" s="362"/>
      <c r="DE127" s="362"/>
      <c r="DF127" s="362"/>
      <c r="DG127" s="362"/>
      <c r="DH127" s="362"/>
      <c r="DI127" s="362"/>
      <c r="DJ127" s="362"/>
      <c r="DK127" s="362"/>
      <c r="DL127" s="362"/>
      <c r="DM127" s="362"/>
      <c r="DN127" s="362"/>
      <c r="DO127" s="360"/>
      <c r="DP127" s="310"/>
      <c r="DQ127" s="310"/>
      <c r="DR127" s="310"/>
      <c r="DS127" s="310"/>
      <c r="DT127" s="310"/>
      <c r="DU127" s="310"/>
      <c r="DV127" s="310"/>
      <c r="DW127" s="310"/>
      <c r="DX127" s="310"/>
    </row>
    <row r="128" spans="1:128" s="63" customFormat="1">
      <c r="A128" s="376"/>
      <c r="B128" s="374" t="s">
        <v>414</v>
      </c>
      <c r="C128" s="357"/>
      <c r="D128" s="375">
        <f t="shared" si="30"/>
        <v>16</v>
      </c>
      <c r="E128" s="375"/>
      <c r="F128" s="357"/>
      <c r="G128" s="357"/>
      <c r="H128" s="357"/>
      <c r="I128" s="357"/>
      <c r="J128" s="357"/>
      <c r="K128" s="357"/>
      <c r="L128" s="357"/>
      <c r="M128" s="357"/>
      <c r="N128" s="357"/>
      <c r="O128" s="357"/>
      <c r="P128" s="362"/>
      <c r="Q128" s="362"/>
      <c r="R128" s="362"/>
      <c r="S128" s="362"/>
      <c r="T128" s="360"/>
      <c r="U128" s="361">
        <f>ROUNDUP((11.3*3.4)-(BS7+CO7),0)</f>
        <v>34</v>
      </c>
      <c r="V128" s="361"/>
      <c r="W128" s="361"/>
      <c r="X128" s="357"/>
      <c r="Y128" s="357"/>
      <c r="Z128" s="357"/>
      <c r="AA128" s="357"/>
      <c r="AB128" s="357"/>
      <c r="AC128" s="357"/>
      <c r="AD128" s="361">
        <f>ROUNDUP((15.6*3.4)-(BS7+CO7),0)</f>
        <v>49</v>
      </c>
      <c r="AE128" s="357"/>
      <c r="AF128" s="357"/>
      <c r="AG128" s="357"/>
      <c r="AH128" s="357"/>
      <c r="AI128" s="357"/>
      <c r="AJ128" s="357"/>
      <c r="AK128" s="357"/>
      <c r="AL128" s="357"/>
      <c r="AM128" s="357"/>
      <c r="AN128" s="357"/>
      <c r="AO128" s="357"/>
      <c r="AP128" s="357"/>
      <c r="AQ128" s="357">
        <f>ROUNDUP(BS9+CO9,0)</f>
        <v>6</v>
      </c>
      <c r="AR128" s="357"/>
      <c r="AS128" s="362"/>
      <c r="AT128" s="360">
        <f>ROUNDUP(BS8+CO8,0)</f>
        <v>9</v>
      </c>
      <c r="AU128" s="374">
        <f t="shared" si="29"/>
        <v>16</v>
      </c>
      <c r="AV128" s="357"/>
      <c r="AW128" s="357"/>
      <c r="AX128" s="357"/>
      <c r="AY128" s="360"/>
      <c r="AZ128" s="363">
        <f t="shared" si="25"/>
        <v>49</v>
      </c>
      <c r="BA128" s="364"/>
      <c r="BB128" s="395"/>
      <c r="BC128" s="365">
        <f t="shared" si="24"/>
        <v>16</v>
      </c>
      <c r="BD128" s="361"/>
      <c r="BE128" s="357"/>
      <c r="BF128" s="357"/>
      <c r="BG128" s="357"/>
      <c r="BH128" s="357"/>
      <c r="BI128" s="357"/>
      <c r="BJ128" s="357"/>
      <c r="BK128" s="375"/>
      <c r="BL128" s="357"/>
      <c r="BM128" s="357"/>
      <c r="BN128" s="357"/>
      <c r="BO128" s="357"/>
      <c r="BP128" s="357"/>
      <c r="BQ128" s="357"/>
      <c r="BR128" s="357"/>
      <c r="BS128" s="375">
        <v>1</v>
      </c>
      <c r="BT128" s="375"/>
      <c r="BU128" s="375"/>
      <c r="BV128" s="357"/>
      <c r="BW128" s="357"/>
      <c r="BX128" s="357"/>
      <c r="BY128" s="357"/>
      <c r="BZ128" s="357"/>
      <c r="CA128" s="357"/>
      <c r="CB128" s="375"/>
      <c r="CC128" s="375"/>
      <c r="CD128" s="357"/>
      <c r="CE128" s="357"/>
      <c r="CF128" s="357"/>
      <c r="CG128" s="357"/>
      <c r="CH128" s="357"/>
      <c r="CI128" s="362"/>
      <c r="CJ128" s="362"/>
      <c r="CK128" s="362"/>
      <c r="CL128" s="362"/>
      <c r="CM128" s="362"/>
      <c r="CN128" s="362"/>
      <c r="CO128" s="362">
        <v>1</v>
      </c>
      <c r="CP128" s="362"/>
      <c r="CQ128" s="362"/>
      <c r="CR128" s="362"/>
      <c r="CS128" s="362"/>
      <c r="CT128" s="362"/>
      <c r="CU128" s="362"/>
      <c r="CV128" s="362"/>
      <c r="CW128" s="362"/>
      <c r="CX128" s="362"/>
      <c r="CY128" s="362"/>
      <c r="CZ128" s="362"/>
      <c r="DA128" s="362"/>
      <c r="DB128" s="362"/>
      <c r="DC128" s="362"/>
      <c r="DD128" s="362"/>
      <c r="DE128" s="362"/>
      <c r="DF128" s="362"/>
      <c r="DG128" s="362"/>
      <c r="DH128" s="362"/>
      <c r="DI128" s="362"/>
      <c r="DJ128" s="362"/>
      <c r="DK128" s="362"/>
      <c r="DL128" s="362"/>
      <c r="DM128" s="362"/>
      <c r="DN128" s="362"/>
      <c r="DO128" s="360"/>
      <c r="DP128" s="310"/>
      <c r="DQ128" s="310"/>
      <c r="DR128" s="310"/>
      <c r="DS128" s="310"/>
      <c r="DT128" s="310"/>
      <c r="DU128" s="310"/>
      <c r="DV128" s="310"/>
      <c r="DW128" s="310"/>
      <c r="DX128" s="310"/>
    </row>
    <row r="129" spans="1:128" s="63" customFormat="1">
      <c r="A129" s="376"/>
      <c r="B129" s="374" t="s">
        <v>415</v>
      </c>
      <c r="C129" s="357"/>
      <c r="D129" s="375">
        <f>ROUNDUP(21.17,0)</f>
        <v>22</v>
      </c>
      <c r="E129" s="375"/>
      <c r="F129" s="357"/>
      <c r="G129" s="357"/>
      <c r="H129" s="357"/>
      <c r="I129" s="357"/>
      <c r="J129" s="357"/>
      <c r="K129" s="357"/>
      <c r="L129" s="357"/>
      <c r="M129" s="357"/>
      <c r="N129" s="357"/>
      <c r="O129" s="357"/>
      <c r="P129" s="362"/>
      <c r="Q129" s="362"/>
      <c r="R129" s="362"/>
      <c r="S129" s="362"/>
      <c r="T129" s="360"/>
      <c r="U129" s="361">
        <f>ROUNDUP((19.1*3.4)-(BS7+CB7),0)</f>
        <v>54</v>
      </c>
      <c r="V129" s="361"/>
      <c r="W129" s="361"/>
      <c r="X129" s="357"/>
      <c r="Y129" s="357"/>
      <c r="Z129" s="357"/>
      <c r="AA129" s="357"/>
      <c r="AB129" s="357"/>
      <c r="AC129" s="357">
        <f>ROUNDUP(((5.6+(1.5*2)+(0.3*2))*3.8)-CB13,0)</f>
        <v>35</v>
      </c>
      <c r="AD129" s="357">
        <f>U129</f>
        <v>54</v>
      </c>
      <c r="AE129" s="357"/>
      <c r="AF129" s="357"/>
      <c r="AG129" s="357"/>
      <c r="AH129" s="357"/>
      <c r="AI129" s="357"/>
      <c r="AJ129" s="357"/>
      <c r="AK129" s="357"/>
      <c r="AL129" s="357"/>
      <c r="AM129" s="357"/>
      <c r="AN129" s="357"/>
      <c r="AO129" s="357"/>
      <c r="AP129" s="357"/>
      <c r="AQ129" s="357">
        <f>ROUNDUP(BS9+CB9,0)</f>
        <v>9</v>
      </c>
      <c r="AR129" s="357"/>
      <c r="AS129" s="362"/>
      <c r="AT129" s="360">
        <f>ROUNDUP(BS8+CB8,0)</f>
        <v>12</v>
      </c>
      <c r="AU129" s="374">
        <f t="shared" si="29"/>
        <v>22</v>
      </c>
      <c r="AV129" s="357"/>
      <c r="AW129" s="357"/>
      <c r="AX129" s="357"/>
      <c r="AY129" s="360"/>
      <c r="AZ129" s="363">
        <f t="shared" si="25"/>
        <v>54</v>
      </c>
      <c r="BA129" s="364">
        <f>AC129</f>
        <v>35</v>
      </c>
      <c r="BB129" s="395"/>
      <c r="BC129" s="365">
        <f t="shared" si="24"/>
        <v>22</v>
      </c>
      <c r="BD129" s="361"/>
      <c r="BE129" s="357"/>
      <c r="BF129" s="357"/>
      <c r="BG129" s="357"/>
      <c r="BH129" s="357"/>
      <c r="BI129" s="357"/>
      <c r="BJ129" s="357"/>
      <c r="BK129" s="375"/>
      <c r="BL129" s="357"/>
      <c r="BM129" s="357"/>
      <c r="BN129" s="357"/>
      <c r="BO129" s="357"/>
      <c r="BP129" s="357"/>
      <c r="BQ129" s="357"/>
      <c r="BR129" s="357"/>
      <c r="BS129" s="375">
        <v>1</v>
      </c>
      <c r="BT129" s="375"/>
      <c r="BU129" s="375"/>
      <c r="BV129" s="357"/>
      <c r="BW129" s="357"/>
      <c r="BX129" s="357"/>
      <c r="BY129" s="357"/>
      <c r="BZ129" s="357"/>
      <c r="CA129" s="357"/>
      <c r="CB129" s="375">
        <v>1</v>
      </c>
      <c r="CC129" s="375"/>
      <c r="CD129" s="357"/>
      <c r="CE129" s="357"/>
      <c r="CF129" s="357"/>
      <c r="CG129" s="357"/>
      <c r="CH129" s="357"/>
      <c r="CI129" s="362"/>
      <c r="CJ129" s="362"/>
      <c r="CK129" s="362"/>
      <c r="CL129" s="362"/>
      <c r="CM129" s="362"/>
      <c r="CN129" s="362"/>
      <c r="CO129" s="362"/>
      <c r="CP129" s="362"/>
      <c r="CQ129" s="362"/>
      <c r="CR129" s="362"/>
      <c r="CS129" s="362"/>
      <c r="CT129" s="362"/>
      <c r="CU129" s="362"/>
      <c r="CV129" s="362"/>
      <c r="CW129" s="362"/>
      <c r="CX129" s="362"/>
      <c r="CY129" s="362"/>
      <c r="CZ129" s="362"/>
      <c r="DA129" s="362"/>
      <c r="DB129" s="362"/>
      <c r="DC129" s="362"/>
      <c r="DD129" s="362"/>
      <c r="DE129" s="362"/>
      <c r="DF129" s="362"/>
      <c r="DG129" s="362"/>
      <c r="DH129" s="362"/>
      <c r="DI129" s="362"/>
      <c r="DJ129" s="362"/>
      <c r="DK129" s="362"/>
      <c r="DL129" s="362"/>
      <c r="DM129" s="362"/>
      <c r="DN129" s="362"/>
      <c r="DO129" s="360"/>
      <c r="DP129" s="310"/>
      <c r="DQ129" s="310"/>
      <c r="DR129" s="310"/>
      <c r="DS129" s="310"/>
      <c r="DT129" s="310"/>
      <c r="DU129" s="310"/>
      <c r="DV129" s="310"/>
      <c r="DW129" s="310"/>
      <c r="DX129" s="310"/>
    </row>
    <row r="130" spans="1:128" s="63" customFormat="1">
      <c r="A130" s="376"/>
      <c r="B130" s="374" t="s">
        <v>416</v>
      </c>
      <c r="C130" s="357"/>
      <c r="D130" s="375">
        <f>ROUNDUP(21.17,0)</f>
        <v>22</v>
      </c>
      <c r="E130" s="375"/>
      <c r="F130" s="357"/>
      <c r="G130" s="357"/>
      <c r="H130" s="357"/>
      <c r="I130" s="357"/>
      <c r="J130" s="357"/>
      <c r="K130" s="357"/>
      <c r="L130" s="357"/>
      <c r="M130" s="357"/>
      <c r="N130" s="357"/>
      <c r="O130" s="357"/>
      <c r="P130" s="362"/>
      <c r="Q130" s="362"/>
      <c r="R130" s="362"/>
      <c r="S130" s="362"/>
      <c r="T130" s="360"/>
      <c r="U130" s="361">
        <f>ROUNDUP((13.05*3.4)-(BS7+CS7),0)</f>
        <v>39</v>
      </c>
      <c r="V130" s="361"/>
      <c r="W130" s="361"/>
      <c r="X130" s="357"/>
      <c r="Y130" s="357"/>
      <c r="Z130" s="357"/>
      <c r="AA130" s="357"/>
      <c r="AB130" s="357"/>
      <c r="AC130" s="357"/>
      <c r="AD130" s="361">
        <f>ROUNDUP((19.1*3.4)-(BS7+CS7),0)</f>
        <v>60</v>
      </c>
      <c r="AE130" s="357"/>
      <c r="AF130" s="357"/>
      <c r="AG130" s="357"/>
      <c r="AH130" s="357"/>
      <c r="AI130" s="357"/>
      <c r="AJ130" s="357"/>
      <c r="AK130" s="357"/>
      <c r="AL130" s="357"/>
      <c r="AM130" s="357"/>
      <c r="AN130" s="357"/>
      <c r="AO130" s="357"/>
      <c r="AP130" s="357"/>
      <c r="AQ130" s="357">
        <f>ROUNDUP(BS9+CS9,0)</f>
        <v>6</v>
      </c>
      <c r="AR130" s="357"/>
      <c r="AS130" s="362"/>
      <c r="AT130" s="360">
        <f>ROUNDUP(BS8+CS8,0)</f>
        <v>12</v>
      </c>
      <c r="AU130" s="374">
        <f t="shared" si="29"/>
        <v>22</v>
      </c>
      <c r="AV130" s="357"/>
      <c r="AW130" s="357"/>
      <c r="AX130" s="357"/>
      <c r="AY130" s="360"/>
      <c r="AZ130" s="363">
        <f t="shared" si="25"/>
        <v>60</v>
      </c>
      <c r="BA130" s="364"/>
      <c r="BB130" s="395"/>
      <c r="BC130" s="365">
        <f t="shared" si="24"/>
        <v>22</v>
      </c>
      <c r="BD130" s="361"/>
      <c r="BE130" s="357"/>
      <c r="BF130" s="357"/>
      <c r="BG130" s="357"/>
      <c r="BH130" s="357"/>
      <c r="BI130" s="357"/>
      <c r="BJ130" s="357"/>
      <c r="BK130" s="375"/>
      <c r="BL130" s="357"/>
      <c r="BM130" s="357"/>
      <c r="BN130" s="357"/>
      <c r="BO130" s="357"/>
      <c r="BP130" s="357"/>
      <c r="BQ130" s="357"/>
      <c r="BR130" s="357"/>
      <c r="BS130" s="375">
        <v>1</v>
      </c>
      <c r="BT130" s="375"/>
      <c r="BU130" s="375"/>
      <c r="BV130" s="357"/>
      <c r="BW130" s="357"/>
      <c r="BX130" s="357"/>
      <c r="BY130" s="357"/>
      <c r="BZ130" s="357"/>
      <c r="CA130" s="357"/>
      <c r="CB130" s="375"/>
      <c r="CC130" s="375"/>
      <c r="CD130" s="357"/>
      <c r="CE130" s="357"/>
      <c r="CF130" s="357"/>
      <c r="CG130" s="357"/>
      <c r="CH130" s="357"/>
      <c r="CI130" s="362"/>
      <c r="CJ130" s="362"/>
      <c r="CK130" s="362"/>
      <c r="CL130" s="362"/>
      <c r="CM130" s="362"/>
      <c r="CN130" s="362"/>
      <c r="CO130" s="362"/>
      <c r="CP130" s="362"/>
      <c r="CQ130" s="362"/>
      <c r="CR130" s="362"/>
      <c r="CS130" s="362">
        <v>1</v>
      </c>
      <c r="CT130" s="362"/>
      <c r="CU130" s="362"/>
      <c r="CV130" s="362"/>
      <c r="CW130" s="362"/>
      <c r="CX130" s="362"/>
      <c r="CY130" s="362"/>
      <c r="CZ130" s="362"/>
      <c r="DA130" s="362"/>
      <c r="DB130" s="362"/>
      <c r="DC130" s="362"/>
      <c r="DD130" s="362"/>
      <c r="DE130" s="362"/>
      <c r="DF130" s="362"/>
      <c r="DG130" s="362"/>
      <c r="DH130" s="362"/>
      <c r="DI130" s="362"/>
      <c r="DJ130" s="362"/>
      <c r="DK130" s="362"/>
      <c r="DL130" s="362"/>
      <c r="DM130" s="362"/>
      <c r="DN130" s="362"/>
      <c r="DO130" s="360"/>
      <c r="DP130" s="310"/>
      <c r="DQ130" s="310"/>
      <c r="DR130" s="310"/>
      <c r="DS130" s="310"/>
      <c r="DT130" s="310"/>
      <c r="DU130" s="310"/>
      <c r="DV130" s="310"/>
      <c r="DW130" s="310"/>
      <c r="DX130" s="310"/>
    </row>
    <row r="131" spans="1:128" s="63" customFormat="1">
      <c r="A131" s="376"/>
      <c r="B131" s="374" t="s">
        <v>417</v>
      </c>
      <c r="C131" s="357"/>
      <c r="D131" s="375">
        <f>ROUNDUP(21.17,0)</f>
        <v>22</v>
      </c>
      <c r="E131" s="375"/>
      <c r="F131" s="357"/>
      <c r="G131" s="357"/>
      <c r="H131" s="357"/>
      <c r="I131" s="357"/>
      <c r="J131" s="357"/>
      <c r="K131" s="357"/>
      <c r="L131" s="357"/>
      <c r="M131" s="357"/>
      <c r="N131" s="357"/>
      <c r="O131" s="357"/>
      <c r="P131" s="362"/>
      <c r="Q131" s="362"/>
      <c r="R131" s="362"/>
      <c r="S131" s="362"/>
      <c r="T131" s="360"/>
      <c r="U131" s="361">
        <f>ROUNDUP((19.1*3.4)-(BS7+CB7),0)</f>
        <v>54</v>
      </c>
      <c r="V131" s="361"/>
      <c r="W131" s="361"/>
      <c r="X131" s="357"/>
      <c r="Y131" s="357"/>
      <c r="Z131" s="357"/>
      <c r="AA131" s="357"/>
      <c r="AB131" s="357"/>
      <c r="AC131" s="357">
        <f>ROUNDUP(((5.6+(1.5*2)+(0.3*2))*3.8)-CB15,0)</f>
        <v>35</v>
      </c>
      <c r="AD131" s="357">
        <f>U131</f>
        <v>54</v>
      </c>
      <c r="AE131" s="357"/>
      <c r="AF131" s="357"/>
      <c r="AG131" s="357"/>
      <c r="AH131" s="357"/>
      <c r="AI131" s="357"/>
      <c r="AJ131" s="357"/>
      <c r="AK131" s="357"/>
      <c r="AL131" s="357"/>
      <c r="AM131" s="357"/>
      <c r="AN131" s="357"/>
      <c r="AO131" s="357"/>
      <c r="AP131" s="357"/>
      <c r="AQ131" s="357">
        <f>ROUNDUP(BS9+CB9,0)</f>
        <v>9</v>
      </c>
      <c r="AR131" s="357"/>
      <c r="AS131" s="362"/>
      <c r="AT131" s="360">
        <f>ROUNDUP(BS8+CB8,0)</f>
        <v>12</v>
      </c>
      <c r="AU131" s="374">
        <f t="shared" si="29"/>
        <v>22</v>
      </c>
      <c r="AV131" s="357"/>
      <c r="AW131" s="357"/>
      <c r="AX131" s="357"/>
      <c r="AY131" s="360"/>
      <c r="AZ131" s="363">
        <f t="shared" si="25"/>
        <v>54</v>
      </c>
      <c r="BA131" s="364">
        <f>AC131</f>
        <v>35</v>
      </c>
      <c r="BB131" s="395"/>
      <c r="BC131" s="365">
        <f t="shared" si="24"/>
        <v>22</v>
      </c>
      <c r="BD131" s="361"/>
      <c r="BE131" s="357"/>
      <c r="BF131" s="357"/>
      <c r="BG131" s="357"/>
      <c r="BH131" s="357"/>
      <c r="BI131" s="357"/>
      <c r="BJ131" s="357"/>
      <c r="BK131" s="375"/>
      <c r="BL131" s="357"/>
      <c r="BM131" s="357"/>
      <c r="BN131" s="357"/>
      <c r="BO131" s="357"/>
      <c r="BP131" s="357"/>
      <c r="BQ131" s="357"/>
      <c r="BR131" s="357"/>
      <c r="BS131" s="375">
        <v>1</v>
      </c>
      <c r="BT131" s="375"/>
      <c r="BU131" s="375"/>
      <c r="BV131" s="357"/>
      <c r="BW131" s="357"/>
      <c r="BX131" s="357"/>
      <c r="BY131" s="357"/>
      <c r="BZ131" s="357"/>
      <c r="CA131" s="357"/>
      <c r="CB131" s="375">
        <v>1</v>
      </c>
      <c r="CC131" s="375"/>
      <c r="CD131" s="357"/>
      <c r="CE131" s="357"/>
      <c r="CF131" s="357"/>
      <c r="CG131" s="357"/>
      <c r="CH131" s="357"/>
      <c r="CI131" s="362"/>
      <c r="CJ131" s="362"/>
      <c r="CK131" s="362"/>
      <c r="CL131" s="362"/>
      <c r="CM131" s="362"/>
      <c r="CN131" s="362"/>
      <c r="CO131" s="362"/>
      <c r="CP131" s="362"/>
      <c r="CQ131" s="362"/>
      <c r="CR131" s="362"/>
      <c r="CS131" s="362"/>
      <c r="CT131" s="362"/>
      <c r="CU131" s="362"/>
      <c r="CV131" s="362"/>
      <c r="CW131" s="362"/>
      <c r="CX131" s="362"/>
      <c r="CY131" s="362"/>
      <c r="CZ131" s="362"/>
      <c r="DA131" s="362"/>
      <c r="DB131" s="362"/>
      <c r="DC131" s="362"/>
      <c r="DD131" s="362"/>
      <c r="DE131" s="362"/>
      <c r="DF131" s="362"/>
      <c r="DG131" s="362"/>
      <c r="DH131" s="362"/>
      <c r="DI131" s="362"/>
      <c r="DJ131" s="362"/>
      <c r="DK131" s="362"/>
      <c r="DL131" s="362"/>
      <c r="DM131" s="362"/>
      <c r="DN131" s="362"/>
      <c r="DO131" s="360"/>
      <c r="DP131" s="310"/>
      <c r="DQ131" s="310"/>
      <c r="DR131" s="310"/>
      <c r="DS131" s="310"/>
      <c r="DT131" s="310"/>
      <c r="DU131" s="310"/>
      <c r="DV131" s="310"/>
      <c r="DW131" s="310"/>
      <c r="DX131" s="310"/>
    </row>
    <row r="132" spans="1:128" s="63" customFormat="1">
      <c r="A132" s="376"/>
      <c r="B132" s="374" t="s">
        <v>418</v>
      </c>
      <c r="C132" s="357"/>
      <c r="D132" s="375">
        <f>ROUNDUP(21.17,0)</f>
        <v>22</v>
      </c>
      <c r="E132" s="375"/>
      <c r="F132" s="357"/>
      <c r="G132" s="357"/>
      <c r="H132" s="357"/>
      <c r="I132" s="357"/>
      <c r="J132" s="357"/>
      <c r="K132" s="357"/>
      <c r="L132" s="357"/>
      <c r="M132" s="357"/>
      <c r="N132" s="357"/>
      <c r="O132" s="357"/>
      <c r="P132" s="362"/>
      <c r="Q132" s="362"/>
      <c r="R132" s="362"/>
      <c r="S132" s="362"/>
      <c r="T132" s="360"/>
      <c r="U132" s="361">
        <f>ROUNDUP((13.05*3.4)-(BS7+CS7),0)</f>
        <v>39</v>
      </c>
      <c r="V132" s="361"/>
      <c r="W132" s="361"/>
      <c r="X132" s="357"/>
      <c r="Y132" s="357"/>
      <c r="Z132" s="357"/>
      <c r="AA132" s="357"/>
      <c r="AB132" s="357"/>
      <c r="AC132" s="357"/>
      <c r="AD132" s="361">
        <f>ROUNDUP((19.1*3.4)-(BS7+CS7),0)</f>
        <v>60</v>
      </c>
      <c r="AE132" s="357"/>
      <c r="AF132" s="357"/>
      <c r="AG132" s="357"/>
      <c r="AH132" s="357"/>
      <c r="AI132" s="357"/>
      <c r="AJ132" s="357"/>
      <c r="AK132" s="357"/>
      <c r="AL132" s="357"/>
      <c r="AM132" s="357"/>
      <c r="AN132" s="357"/>
      <c r="AO132" s="357"/>
      <c r="AP132" s="357"/>
      <c r="AQ132" s="357">
        <f>ROUNDUP(BS9+CS9,0)</f>
        <v>6</v>
      </c>
      <c r="AR132" s="357"/>
      <c r="AS132" s="362"/>
      <c r="AT132" s="360">
        <f>ROUNDUP(BS8+CS8,0)</f>
        <v>12</v>
      </c>
      <c r="AU132" s="374">
        <f t="shared" si="29"/>
        <v>22</v>
      </c>
      <c r="AV132" s="357"/>
      <c r="AW132" s="357"/>
      <c r="AX132" s="357"/>
      <c r="AY132" s="360"/>
      <c r="AZ132" s="363">
        <f t="shared" si="25"/>
        <v>60</v>
      </c>
      <c r="BA132" s="364"/>
      <c r="BB132" s="395"/>
      <c r="BC132" s="365">
        <f t="shared" si="24"/>
        <v>22</v>
      </c>
      <c r="BD132" s="361"/>
      <c r="BE132" s="357"/>
      <c r="BF132" s="357"/>
      <c r="BG132" s="357"/>
      <c r="BH132" s="357"/>
      <c r="BI132" s="357"/>
      <c r="BJ132" s="357"/>
      <c r="BK132" s="375"/>
      <c r="BL132" s="357"/>
      <c r="BM132" s="357"/>
      <c r="BN132" s="357"/>
      <c r="BO132" s="357"/>
      <c r="BP132" s="357"/>
      <c r="BQ132" s="357"/>
      <c r="BR132" s="357"/>
      <c r="BS132" s="375">
        <v>1</v>
      </c>
      <c r="BT132" s="375"/>
      <c r="BU132" s="375"/>
      <c r="BV132" s="357"/>
      <c r="BW132" s="357"/>
      <c r="BX132" s="357"/>
      <c r="BY132" s="357"/>
      <c r="BZ132" s="357"/>
      <c r="CA132" s="357"/>
      <c r="CB132" s="375"/>
      <c r="CC132" s="375"/>
      <c r="CD132" s="357"/>
      <c r="CE132" s="357"/>
      <c r="CF132" s="357"/>
      <c r="CG132" s="357"/>
      <c r="CH132" s="357"/>
      <c r="CI132" s="362"/>
      <c r="CJ132" s="362"/>
      <c r="CK132" s="362"/>
      <c r="CL132" s="362"/>
      <c r="CM132" s="362"/>
      <c r="CN132" s="362"/>
      <c r="CO132" s="362"/>
      <c r="CP132" s="362"/>
      <c r="CQ132" s="362"/>
      <c r="CR132" s="362"/>
      <c r="CS132" s="362">
        <v>1</v>
      </c>
      <c r="CT132" s="362"/>
      <c r="CU132" s="362"/>
      <c r="CV132" s="362"/>
      <c r="CW132" s="362"/>
      <c r="CX132" s="362"/>
      <c r="CY132" s="362"/>
      <c r="CZ132" s="362"/>
      <c r="DA132" s="362"/>
      <c r="DB132" s="362"/>
      <c r="DC132" s="362"/>
      <c r="DD132" s="362"/>
      <c r="DE132" s="362"/>
      <c r="DF132" s="362"/>
      <c r="DG132" s="362"/>
      <c r="DH132" s="362"/>
      <c r="DI132" s="362"/>
      <c r="DJ132" s="362"/>
      <c r="DK132" s="362"/>
      <c r="DL132" s="362"/>
      <c r="DM132" s="362"/>
      <c r="DN132" s="362"/>
      <c r="DO132" s="360"/>
      <c r="DP132" s="310"/>
      <c r="DQ132" s="310"/>
      <c r="DR132" s="310"/>
      <c r="DS132" s="310"/>
      <c r="DT132" s="310"/>
      <c r="DU132" s="310"/>
      <c r="DV132" s="310"/>
      <c r="DW132" s="310"/>
      <c r="DX132" s="310"/>
    </row>
    <row r="133" spans="1:128" s="63" customFormat="1">
      <c r="A133" s="376"/>
      <c r="B133" s="374" t="s">
        <v>419</v>
      </c>
      <c r="C133" s="357"/>
      <c r="D133" s="375">
        <f>ROUNDUP(14.58,0)</f>
        <v>15</v>
      </c>
      <c r="E133" s="375"/>
      <c r="F133" s="357"/>
      <c r="G133" s="357"/>
      <c r="H133" s="357"/>
      <c r="I133" s="357"/>
      <c r="J133" s="357"/>
      <c r="K133" s="357"/>
      <c r="L133" s="357"/>
      <c r="M133" s="357"/>
      <c r="N133" s="357"/>
      <c r="O133" s="357"/>
      <c r="P133" s="362"/>
      <c r="Q133" s="362"/>
      <c r="R133" s="362"/>
      <c r="S133" s="362"/>
      <c r="T133" s="360"/>
      <c r="U133" s="361">
        <f>ROUNDUP((15.6*3.4)-(BS7+CN7),0)</f>
        <v>45</v>
      </c>
      <c r="V133" s="361"/>
      <c r="W133" s="361"/>
      <c r="X133" s="357"/>
      <c r="Y133" s="357"/>
      <c r="Z133" s="357"/>
      <c r="AA133" s="357"/>
      <c r="AB133" s="357"/>
      <c r="AC133" s="357">
        <f>ROUNDUP(((5.6+(1.5*2)+(0.3*2))*3.8)-CN15,0)</f>
        <v>35</v>
      </c>
      <c r="AD133" s="357">
        <f>U133</f>
        <v>45</v>
      </c>
      <c r="AE133" s="357"/>
      <c r="AF133" s="357"/>
      <c r="AG133" s="357"/>
      <c r="AH133" s="357"/>
      <c r="AI133" s="357"/>
      <c r="AJ133" s="357"/>
      <c r="AK133" s="357"/>
      <c r="AL133" s="357"/>
      <c r="AM133" s="357"/>
      <c r="AN133" s="357"/>
      <c r="AO133" s="357"/>
      <c r="AP133" s="357"/>
      <c r="AQ133" s="357">
        <f>ROUNDUP(BS9+CN9,0)</f>
        <v>9</v>
      </c>
      <c r="AR133" s="357"/>
      <c r="AS133" s="362"/>
      <c r="AT133" s="360">
        <f>ROUNDUP(BS8+CN8,0)</f>
        <v>8</v>
      </c>
      <c r="AU133" s="374">
        <f t="shared" si="29"/>
        <v>15</v>
      </c>
      <c r="AV133" s="357"/>
      <c r="AW133" s="357"/>
      <c r="AX133" s="357"/>
      <c r="AY133" s="360"/>
      <c r="AZ133" s="363">
        <f t="shared" si="25"/>
        <v>45</v>
      </c>
      <c r="BA133" s="364">
        <f>AC133</f>
        <v>35</v>
      </c>
      <c r="BB133" s="395"/>
      <c r="BC133" s="365">
        <f t="shared" si="24"/>
        <v>15</v>
      </c>
      <c r="BD133" s="361"/>
      <c r="BE133" s="357"/>
      <c r="BF133" s="357"/>
      <c r="BG133" s="357"/>
      <c r="BH133" s="357"/>
      <c r="BI133" s="357"/>
      <c r="BJ133" s="357"/>
      <c r="BK133" s="375"/>
      <c r="BL133" s="357"/>
      <c r="BM133" s="357"/>
      <c r="BN133" s="357"/>
      <c r="BO133" s="357"/>
      <c r="BP133" s="357"/>
      <c r="BQ133" s="357"/>
      <c r="BR133" s="357"/>
      <c r="BS133" s="375">
        <v>1</v>
      </c>
      <c r="BT133" s="375"/>
      <c r="BU133" s="375"/>
      <c r="BV133" s="357"/>
      <c r="BW133" s="357"/>
      <c r="BX133" s="357"/>
      <c r="BY133" s="357"/>
      <c r="BZ133" s="357"/>
      <c r="CA133" s="357"/>
      <c r="CB133" s="375"/>
      <c r="CC133" s="375"/>
      <c r="CD133" s="357"/>
      <c r="CE133" s="357"/>
      <c r="CF133" s="357"/>
      <c r="CG133" s="357"/>
      <c r="CH133" s="357"/>
      <c r="CI133" s="362"/>
      <c r="CJ133" s="362"/>
      <c r="CK133" s="362"/>
      <c r="CL133" s="362"/>
      <c r="CM133" s="362"/>
      <c r="CN133" s="378">
        <v>1</v>
      </c>
      <c r="CO133" s="362"/>
      <c r="CP133" s="362"/>
      <c r="CQ133" s="362"/>
      <c r="CR133" s="362"/>
      <c r="CS133" s="362"/>
      <c r="CT133" s="362"/>
      <c r="CU133" s="362"/>
      <c r="CV133" s="362"/>
      <c r="CW133" s="362"/>
      <c r="CX133" s="362"/>
      <c r="CY133" s="362"/>
      <c r="CZ133" s="362"/>
      <c r="DA133" s="362"/>
      <c r="DB133" s="362"/>
      <c r="DC133" s="362"/>
      <c r="DD133" s="362"/>
      <c r="DE133" s="362"/>
      <c r="DF133" s="362"/>
      <c r="DG133" s="362"/>
      <c r="DH133" s="362"/>
      <c r="DI133" s="362"/>
      <c r="DJ133" s="362"/>
      <c r="DK133" s="362"/>
      <c r="DL133" s="362"/>
      <c r="DM133" s="362"/>
      <c r="DN133" s="362"/>
      <c r="DO133" s="360"/>
      <c r="DP133" s="310"/>
      <c r="DQ133" s="310"/>
      <c r="DR133" s="310"/>
      <c r="DS133" s="310"/>
      <c r="DT133" s="310"/>
      <c r="DU133" s="310"/>
      <c r="DV133" s="310"/>
      <c r="DW133" s="310"/>
      <c r="DX133" s="310"/>
    </row>
    <row r="134" spans="1:128" s="63" customFormat="1">
      <c r="A134" s="376"/>
      <c r="B134" s="374" t="s">
        <v>420</v>
      </c>
      <c r="C134" s="357"/>
      <c r="D134" s="375">
        <f>ROUNDUP(14.58,0)</f>
        <v>15</v>
      </c>
      <c r="E134" s="375"/>
      <c r="F134" s="357"/>
      <c r="G134" s="357"/>
      <c r="H134" s="357"/>
      <c r="I134" s="357"/>
      <c r="J134" s="357"/>
      <c r="K134" s="357"/>
      <c r="L134" s="357"/>
      <c r="M134" s="357"/>
      <c r="N134" s="357"/>
      <c r="O134" s="357"/>
      <c r="P134" s="362"/>
      <c r="Q134" s="362"/>
      <c r="R134" s="362"/>
      <c r="S134" s="362"/>
      <c r="T134" s="360"/>
      <c r="U134" s="361">
        <f>ROUNDUP((11.3*3.4)-(BS7+CO7),0)</f>
        <v>34</v>
      </c>
      <c r="V134" s="361"/>
      <c r="W134" s="361"/>
      <c r="X134" s="357"/>
      <c r="Y134" s="357"/>
      <c r="Z134" s="357"/>
      <c r="AA134" s="357"/>
      <c r="AB134" s="357"/>
      <c r="AC134" s="357"/>
      <c r="AD134" s="361">
        <f>ROUNDUP((15.6*3.4)-(BS7+CO7),0)</f>
        <v>49</v>
      </c>
      <c r="AE134" s="357"/>
      <c r="AF134" s="357"/>
      <c r="AG134" s="357"/>
      <c r="AH134" s="357"/>
      <c r="AI134" s="357"/>
      <c r="AJ134" s="357"/>
      <c r="AK134" s="357"/>
      <c r="AL134" s="357"/>
      <c r="AM134" s="357"/>
      <c r="AN134" s="357"/>
      <c r="AO134" s="357"/>
      <c r="AP134" s="357"/>
      <c r="AQ134" s="357">
        <f>ROUNDUP(BS9+CO9,0)</f>
        <v>6</v>
      </c>
      <c r="AR134" s="357"/>
      <c r="AS134" s="362"/>
      <c r="AT134" s="360">
        <f>ROUNDUP(BS8+CO8,0)</f>
        <v>9</v>
      </c>
      <c r="AU134" s="374">
        <f t="shared" si="29"/>
        <v>15</v>
      </c>
      <c r="AV134" s="357"/>
      <c r="AW134" s="357"/>
      <c r="AX134" s="357"/>
      <c r="AY134" s="360"/>
      <c r="AZ134" s="363">
        <f t="shared" si="25"/>
        <v>49</v>
      </c>
      <c r="BA134" s="364"/>
      <c r="BB134" s="395"/>
      <c r="BC134" s="365">
        <f t="shared" si="24"/>
        <v>15</v>
      </c>
      <c r="BD134" s="361"/>
      <c r="BE134" s="357"/>
      <c r="BF134" s="357"/>
      <c r="BG134" s="357"/>
      <c r="BH134" s="357"/>
      <c r="BI134" s="357"/>
      <c r="BJ134" s="357"/>
      <c r="BK134" s="375"/>
      <c r="BL134" s="357"/>
      <c r="BM134" s="357"/>
      <c r="BN134" s="357"/>
      <c r="BO134" s="357"/>
      <c r="BP134" s="357"/>
      <c r="BQ134" s="357"/>
      <c r="BR134" s="357"/>
      <c r="BS134" s="375">
        <v>1</v>
      </c>
      <c r="BT134" s="375"/>
      <c r="BU134" s="375"/>
      <c r="BV134" s="357"/>
      <c r="BW134" s="357"/>
      <c r="BX134" s="357"/>
      <c r="BY134" s="357"/>
      <c r="BZ134" s="357"/>
      <c r="CA134" s="357"/>
      <c r="CB134" s="375"/>
      <c r="CC134" s="375"/>
      <c r="CD134" s="357"/>
      <c r="CE134" s="357"/>
      <c r="CF134" s="357"/>
      <c r="CG134" s="357"/>
      <c r="CH134" s="357"/>
      <c r="CI134" s="362"/>
      <c r="CJ134" s="362"/>
      <c r="CK134" s="362"/>
      <c r="CL134" s="362"/>
      <c r="CM134" s="362"/>
      <c r="CN134" s="362"/>
      <c r="CO134" s="362">
        <v>1</v>
      </c>
      <c r="CP134" s="362"/>
      <c r="CQ134" s="362"/>
      <c r="CR134" s="362"/>
      <c r="CS134" s="362"/>
      <c r="CT134" s="362"/>
      <c r="CU134" s="362"/>
      <c r="CV134" s="362"/>
      <c r="CW134" s="362"/>
      <c r="CX134" s="362"/>
      <c r="CY134" s="362"/>
      <c r="CZ134" s="362"/>
      <c r="DA134" s="362"/>
      <c r="DB134" s="362"/>
      <c r="DC134" s="362"/>
      <c r="DD134" s="362"/>
      <c r="DE134" s="362"/>
      <c r="DF134" s="362"/>
      <c r="DG134" s="362"/>
      <c r="DH134" s="362"/>
      <c r="DI134" s="362"/>
      <c r="DJ134" s="362"/>
      <c r="DK134" s="362"/>
      <c r="DL134" s="362"/>
      <c r="DM134" s="362"/>
      <c r="DN134" s="362"/>
      <c r="DO134" s="360"/>
      <c r="DP134" s="310"/>
      <c r="DQ134" s="310"/>
      <c r="DR134" s="310"/>
      <c r="DS134" s="310"/>
      <c r="DT134" s="310"/>
      <c r="DU134" s="310"/>
      <c r="DV134" s="310"/>
      <c r="DW134" s="310"/>
      <c r="DX134" s="310"/>
    </row>
    <row r="135" spans="1:128" s="63" customFormat="1">
      <c r="A135" s="376"/>
      <c r="B135" s="374" t="s">
        <v>421</v>
      </c>
      <c r="C135" s="357"/>
      <c r="D135" s="375">
        <f>ROUNDUP(40.93,0)</f>
        <v>41</v>
      </c>
      <c r="E135" s="375"/>
      <c r="F135" s="357"/>
      <c r="G135" s="357"/>
      <c r="H135" s="357"/>
      <c r="I135" s="357"/>
      <c r="J135" s="357"/>
      <c r="K135" s="357"/>
      <c r="L135" s="357"/>
      <c r="M135" s="357"/>
      <c r="N135" s="357"/>
      <c r="O135" s="357"/>
      <c r="P135" s="362"/>
      <c r="Q135" s="362"/>
      <c r="R135" s="362"/>
      <c r="S135" s="362"/>
      <c r="T135" s="360"/>
      <c r="U135" s="361">
        <f>ROUNDUP((25.7*3.4)-(BS7+CB7),)</f>
        <v>77</v>
      </c>
      <c r="V135" s="361"/>
      <c r="W135" s="361"/>
      <c r="X135" s="357"/>
      <c r="Y135" s="357"/>
      <c r="Z135" s="357"/>
      <c r="AA135" s="357"/>
      <c r="AB135" s="357"/>
      <c r="AC135" s="357">
        <f>ROUNDUP(((5.6+(1.5*2)+(0.3*2))*3.8)-BS7,0)</f>
        <v>33</v>
      </c>
      <c r="AD135" s="357">
        <f>U135</f>
        <v>77</v>
      </c>
      <c r="AE135" s="357"/>
      <c r="AF135" s="357"/>
      <c r="AG135" s="357"/>
      <c r="AH135" s="357"/>
      <c r="AI135" s="357"/>
      <c r="AJ135" s="357"/>
      <c r="AK135" s="357"/>
      <c r="AL135" s="357"/>
      <c r="AM135" s="357"/>
      <c r="AN135" s="357"/>
      <c r="AO135" s="357"/>
      <c r="AP135" s="357"/>
      <c r="AQ135" s="357">
        <f>ROUNDUP(BS9+CB9,0)</f>
        <v>9</v>
      </c>
      <c r="AR135" s="357"/>
      <c r="AS135" s="362"/>
      <c r="AT135" s="360">
        <f>ROUNDUP(BS8+CB8,0)</f>
        <v>12</v>
      </c>
      <c r="AU135" s="374">
        <f t="shared" si="29"/>
        <v>41</v>
      </c>
      <c r="AV135" s="357"/>
      <c r="AW135" s="357"/>
      <c r="AX135" s="357"/>
      <c r="AY135" s="360"/>
      <c r="AZ135" s="363">
        <f t="shared" si="25"/>
        <v>77</v>
      </c>
      <c r="BA135" s="364">
        <f>AC135</f>
        <v>33</v>
      </c>
      <c r="BB135" s="395"/>
      <c r="BC135" s="365">
        <f t="shared" si="24"/>
        <v>41</v>
      </c>
      <c r="BD135" s="361"/>
      <c r="BE135" s="357"/>
      <c r="BF135" s="357"/>
      <c r="BG135" s="357"/>
      <c r="BH135" s="357"/>
      <c r="BI135" s="357"/>
      <c r="BJ135" s="357"/>
      <c r="BK135" s="375"/>
      <c r="BL135" s="357"/>
      <c r="BM135" s="357"/>
      <c r="BN135" s="357"/>
      <c r="BO135" s="357"/>
      <c r="BP135" s="357"/>
      <c r="BQ135" s="357"/>
      <c r="BR135" s="357"/>
      <c r="BS135" s="375">
        <v>1</v>
      </c>
      <c r="BT135" s="375"/>
      <c r="BU135" s="375"/>
      <c r="BV135" s="357"/>
      <c r="BW135" s="357"/>
      <c r="BX135" s="357"/>
      <c r="BY135" s="357"/>
      <c r="BZ135" s="357"/>
      <c r="CA135" s="357"/>
      <c r="CB135" s="375">
        <v>1</v>
      </c>
      <c r="CC135" s="375"/>
      <c r="CD135" s="357"/>
      <c r="CE135" s="357"/>
      <c r="CF135" s="357"/>
      <c r="CG135" s="357"/>
      <c r="CH135" s="357"/>
      <c r="CI135" s="362"/>
      <c r="CJ135" s="362"/>
      <c r="CK135" s="362"/>
      <c r="CL135" s="362"/>
      <c r="CM135" s="362"/>
      <c r="CN135" s="362"/>
      <c r="CO135" s="362"/>
      <c r="CP135" s="362"/>
      <c r="CQ135" s="362"/>
      <c r="CR135" s="362"/>
      <c r="CS135" s="362"/>
      <c r="CT135" s="362"/>
      <c r="CU135" s="362"/>
      <c r="CV135" s="362"/>
      <c r="CW135" s="362"/>
      <c r="CX135" s="362"/>
      <c r="CY135" s="362"/>
      <c r="CZ135" s="362"/>
      <c r="DA135" s="362"/>
      <c r="DB135" s="362"/>
      <c r="DC135" s="362"/>
      <c r="DD135" s="362"/>
      <c r="DE135" s="362"/>
      <c r="DF135" s="362"/>
      <c r="DG135" s="362"/>
      <c r="DH135" s="362"/>
      <c r="DI135" s="362"/>
      <c r="DJ135" s="362"/>
      <c r="DK135" s="362"/>
      <c r="DL135" s="362"/>
      <c r="DM135" s="362"/>
      <c r="DN135" s="362"/>
      <c r="DO135" s="360"/>
      <c r="DP135" s="310"/>
      <c r="DQ135" s="310"/>
      <c r="DR135" s="310"/>
      <c r="DS135" s="310"/>
      <c r="DT135" s="310"/>
      <c r="DU135" s="310"/>
      <c r="DV135" s="310"/>
      <c r="DW135" s="310"/>
      <c r="DX135" s="310"/>
    </row>
    <row r="136" spans="1:128" s="63" customFormat="1">
      <c r="A136" s="373"/>
      <c r="B136" s="374" t="s">
        <v>366</v>
      </c>
      <c r="C136" s="357"/>
      <c r="D136" s="357"/>
      <c r="E136" s="375">
        <f>ROUNDUP(29.72,0)</f>
        <v>30</v>
      </c>
      <c r="F136" s="357"/>
      <c r="G136" s="357"/>
      <c r="H136" s="375"/>
      <c r="I136" s="357"/>
      <c r="J136" s="357"/>
      <c r="K136" s="357"/>
      <c r="L136" s="357"/>
      <c r="M136" s="357"/>
      <c r="N136" s="357"/>
      <c r="O136" s="357"/>
      <c r="P136" s="362"/>
      <c r="Q136" s="362"/>
      <c r="R136" s="362"/>
      <c r="S136" s="362"/>
      <c r="T136" s="360">
        <f t="shared" ref="T136:T141" si="31">SUM(C136:O136)</f>
        <v>30</v>
      </c>
      <c r="U136" s="361">
        <f>ROUNDUP((26.5*4.7)-(BP7+(CK7*2)),0)</f>
        <v>118</v>
      </c>
      <c r="V136" s="361"/>
      <c r="W136" s="361"/>
      <c r="X136" s="357"/>
      <c r="Y136" s="357"/>
      <c r="Z136" s="357"/>
      <c r="AA136" s="357"/>
      <c r="AB136" s="357"/>
      <c r="AC136" s="375"/>
      <c r="AD136" s="357">
        <f>ROUNDUP((32*4.7)-(BP7+(CK7*2)),0)</f>
        <v>144</v>
      </c>
      <c r="AE136" s="357"/>
      <c r="AF136" s="357"/>
      <c r="AG136" s="357">
        <f>ROUNDUP((32*2.7)-(BP7+(CJ7*2)),0)</f>
        <v>81</v>
      </c>
      <c r="AH136" s="357"/>
      <c r="AI136" s="357"/>
      <c r="AJ136" s="357"/>
      <c r="AK136" s="357"/>
      <c r="AL136" s="357"/>
      <c r="AM136" s="357"/>
      <c r="AN136" s="357"/>
      <c r="AO136" s="357"/>
      <c r="AP136" s="357"/>
      <c r="AQ136" s="357">
        <f>ROUNDUP((5*4.7)+BP9+(CK9*2),0)</f>
        <v>32</v>
      </c>
      <c r="AR136" s="357"/>
      <c r="AS136" s="362"/>
      <c r="AT136" s="360">
        <f>ROUNDUP(BP8+(CK8*2),0)</f>
        <v>12</v>
      </c>
      <c r="AU136" s="361"/>
      <c r="AV136" s="375">
        <f t="shared" ref="AV136:AV141" si="32">E136</f>
        <v>30</v>
      </c>
      <c r="AW136" s="357"/>
      <c r="AX136" s="357"/>
      <c r="AY136" s="360"/>
      <c r="AZ136" s="363"/>
      <c r="BA136" s="357"/>
      <c r="BB136" s="362"/>
      <c r="BC136" s="365">
        <f t="shared" si="24"/>
        <v>30</v>
      </c>
      <c r="BD136" s="361"/>
      <c r="BE136" s="357"/>
      <c r="BF136" s="357"/>
      <c r="BG136" s="357"/>
      <c r="BH136" s="357"/>
      <c r="BI136" s="357"/>
      <c r="BJ136" s="357"/>
      <c r="BK136" s="357"/>
      <c r="BL136" s="357"/>
      <c r="BM136" s="357"/>
      <c r="BN136" s="357"/>
      <c r="BO136" s="357"/>
      <c r="BP136" s="375">
        <v>1</v>
      </c>
      <c r="BQ136" s="375"/>
      <c r="BR136" s="357"/>
      <c r="BS136" s="357"/>
      <c r="BT136" s="357"/>
      <c r="BU136" s="357"/>
      <c r="BV136" s="357"/>
      <c r="BW136" s="357"/>
      <c r="BX136" s="357"/>
      <c r="BY136" s="357"/>
      <c r="BZ136" s="357"/>
      <c r="CA136" s="357"/>
      <c r="CB136" s="357"/>
      <c r="CC136" s="357"/>
      <c r="CD136" s="357"/>
      <c r="CE136" s="357"/>
      <c r="CF136" s="357"/>
      <c r="CG136" s="357"/>
      <c r="CH136" s="357"/>
      <c r="CI136" s="362"/>
      <c r="CJ136" s="378"/>
      <c r="CK136" s="378">
        <v>2</v>
      </c>
      <c r="CL136" s="362"/>
      <c r="CM136" s="362"/>
      <c r="CN136" s="362"/>
      <c r="CO136" s="362"/>
      <c r="CP136" s="362"/>
      <c r="CQ136" s="362"/>
      <c r="CR136" s="362"/>
      <c r="CS136" s="362"/>
      <c r="CT136" s="362"/>
      <c r="CU136" s="362"/>
      <c r="CV136" s="362"/>
      <c r="CW136" s="362"/>
      <c r="CX136" s="362"/>
      <c r="CY136" s="362"/>
      <c r="CZ136" s="362"/>
      <c r="DA136" s="362"/>
      <c r="DB136" s="362"/>
      <c r="DC136" s="362"/>
      <c r="DD136" s="362"/>
      <c r="DE136" s="362"/>
      <c r="DF136" s="362"/>
      <c r="DG136" s="362"/>
      <c r="DH136" s="362"/>
      <c r="DI136" s="362"/>
      <c r="DJ136" s="362"/>
      <c r="DK136" s="362"/>
      <c r="DL136" s="362"/>
      <c r="DM136" s="362"/>
      <c r="DN136" s="362"/>
      <c r="DO136" s="360"/>
      <c r="DP136" s="310"/>
      <c r="DQ136" s="310"/>
      <c r="DR136" s="310"/>
      <c r="DS136" s="310"/>
      <c r="DT136" s="310"/>
      <c r="DU136" s="310"/>
      <c r="DV136" s="310"/>
      <c r="DW136" s="310"/>
      <c r="DX136" s="310"/>
    </row>
    <row r="137" spans="1:128" s="63" customFormat="1">
      <c r="A137" s="373"/>
      <c r="B137" s="374" t="s">
        <v>367</v>
      </c>
      <c r="C137" s="357"/>
      <c r="D137" s="357"/>
      <c r="E137" s="375">
        <f>ROUNDUP(29.65,0)</f>
        <v>30</v>
      </c>
      <c r="F137" s="357"/>
      <c r="G137" s="357"/>
      <c r="H137" s="375"/>
      <c r="I137" s="357"/>
      <c r="J137" s="357"/>
      <c r="K137" s="357"/>
      <c r="L137" s="357"/>
      <c r="M137" s="357"/>
      <c r="N137" s="357"/>
      <c r="O137" s="357"/>
      <c r="P137" s="362"/>
      <c r="Q137" s="362"/>
      <c r="R137" s="362"/>
      <c r="S137" s="362"/>
      <c r="T137" s="360">
        <f t="shared" si="31"/>
        <v>30</v>
      </c>
      <c r="U137" s="361">
        <f>ROUNDUP((22.4*4.7)-(BP7+(CK7*2)),0)</f>
        <v>99</v>
      </c>
      <c r="V137" s="361"/>
      <c r="W137" s="361"/>
      <c r="X137" s="357"/>
      <c r="Y137" s="357"/>
      <c r="Z137" s="357"/>
      <c r="AA137" s="357"/>
      <c r="AB137" s="357"/>
      <c r="AC137" s="375"/>
      <c r="AD137" s="357">
        <f>ROUNDUP((22.4*4.7)-(BP7+(CK7*2)),0)</f>
        <v>99</v>
      </c>
      <c r="AE137" s="357"/>
      <c r="AF137" s="357"/>
      <c r="AG137" s="357">
        <f>ROUNDUP((24*2.7)-(BP7+(CJ7*2)),0)</f>
        <v>60</v>
      </c>
      <c r="AH137" s="357"/>
      <c r="AI137" s="357"/>
      <c r="AJ137" s="357"/>
      <c r="AK137" s="357"/>
      <c r="AL137" s="357"/>
      <c r="AM137" s="357"/>
      <c r="AN137" s="357"/>
      <c r="AO137" s="357"/>
      <c r="AP137" s="357"/>
      <c r="AQ137" s="357">
        <f>ROUNDUP((4*4.7)+BP9+(CK9*2),0)</f>
        <v>28</v>
      </c>
      <c r="AR137" s="357"/>
      <c r="AS137" s="362"/>
      <c r="AT137" s="360">
        <f>ROUNDUP(BP8+(CK8*2),0)</f>
        <v>12</v>
      </c>
      <c r="AU137" s="361"/>
      <c r="AV137" s="375">
        <f t="shared" si="32"/>
        <v>30</v>
      </c>
      <c r="AW137" s="357"/>
      <c r="AX137" s="357"/>
      <c r="AY137" s="360"/>
      <c r="AZ137" s="363"/>
      <c r="BA137" s="357"/>
      <c r="BB137" s="362"/>
      <c r="BC137" s="365">
        <f t="shared" si="24"/>
        <v>30</v>
      </c>
      <c r="BD137" s="361"/>
      <c r="BE137" s="357"/>
      <c r="BF137" s="357"/>
      <c r="BG137" s="357"/>
      <c r="BH137" s="357"/>
      <c r="BI137" s="357"/>
      <c r="BJ137" s="357"/>
      <c r="BK137" s="357"/>
      <c r="BL137" s="357"/>
      <c r="BM137" s="357"/>
      <c r="BN137" s="357"/>
      <c r="BO137" s="357"/>
      <c r="BP137" s="375">
        <v>1</v>
      </c>
      <c r="BQ137" s="375"/>
      <c r="BR137" s="357"/>
      <c r="BS137" s="357"/>
      <c r="BT137" s="357"/>
      <c r="BU137" s="357"/>
      <c r="BV137" s="357"/>
      <c r="BW137" s="357"/>
      <c r="BX137" s="357"/>
      <c r="BY137" s="357"/>
      <c r="BZ137" s="357"/>
      <c r="CA137" s="357"/>
      <c r="CB137" s="357"/>
      <c r="CC137" s="357"/>
      <c r="CD137" s="357"/>
      <c r="CE137" s="357"/>
      <c r="CF137" s="357"/>
      <c r="CG137" s="357"/>
      <c r="CH137" s="357"/>
      <c r="CI137" s="362"/>
      <c r="CJ137" s="378"/>
      <c r="CK137" s="378">
        <v>2</v>
      </c>
      <c r="CL137" s="362"/>
      <c r="CM137" s="362"/>
      <c r="CN137" s="362"/>
      <c r="CO137" s="362"/>
      <c r="CP137" s="362"/>
      <c r="CQ137" s="362"/>
      <c r="CR137" s="362"/>
      <c r="CS137" s="362"/>
      <c r="CT137" s="362"/>
      <c r="CU137" s="362"/>
      <c r="CV137" s="362"/>
      <c r="CW137" s="362"/>
      <c r="CX137" s="362"/>
      <c r="CY137" s="362"/>
      <c r="CZ137" s="362"/>
      <c r="DA137" s="362"/>
      <c r="DB137" s="362"/>
      <c r="DC137" s="362"/>
      <c r="DD137" s="362"/>
      <c r="DE137" s="362"/>
      <c r="DF137" s="362"/>
      <c r="DG137" s="362"/>
      <c r="DH137" s="362"/>
      <c r="DI137" s="362"/>
      <c r="DJ137" s="362"/>
      <c r="DK137" s="362"/>
      <c r="DL137" s="362"/>
      <c r="DM137" s="362"/>
      <c r="DN137" s="362"/>
      <c r="DO137" s="360"/>
      <c r="DP137" s="310"/>
      <c r="DQ137" s="310"/>
      <c r="DR137" s="310"/>
      <c r="DS137" s="310"/>
      <c r="DT137" s="310"/>
      <c r="DU137" s="310"/>
      <c r="DV137" s="310"/>
      <c r="DW137" s="310"/>
      <c r="DX137" s="310"/>
    </row>
    <row r="138" spans="1:128" s="63" customFormat="1">
      <c r="A138" s="376"/>
      <c r="B138" s="374" t="s">
        <v>368</v>
      </c>
      <c r="C138" s="357"/>
      <c r="D138" s="357"/>
      <c r="E138" s="375">
        <f>ROUNDUP(7.8,0)</f>
        <v>8</v>
      </c>
      <c r="F138" s="357"/>
      <c r="G138" s="357"/>
      <c r="H138" s="375"/>
      <c r="I138" s="357"/>
      <c r="J138" s="357"/>
      <c r="K138" s="357"/>
      <c r="L138" s="357"/>
      <c r="M138" s="357"/>
      <c r="N138" s="357"/>
      <c r="O138" s="357"/>
      <c r="P138" s="362"/>
      <c r="Q138" s="362"/>
      <c r="R138" s="362"/>
      <c r="S138" s="362"/>
      <c r="T138" s="360">
        <f t="shared" si="31"/>
        <v>8</v>
      </c>
      <c r="U138" s="361">
        <f>ROUNDUP((5*4.7)-BQ7,0)</f>
        <v>21</v>
      </c>
      <c r="V138" s="361"/>
      <c r="W138" s="361"/>
      <c r="X138" s="357"/>
      <c r="Y138" s="357"/>
      <c r="Z138" s="357"/>
      <c r="AA138" s="357"/>
      <c r="AB138" s="357"/>
      <c r="AC138" s="375"/>
      <c r="AD138" s="361">
        <f>ROUNDUP((12.83*4.7)-BQ7,0)</f>
        <v>58</v>
      </c>
      <c r="AE138" s="357"/>
      <c r="AF138" s="357"/>
      <c r="AG138" s="361">
        <f>ROUNDUP((12.83*2.7)-BQ7,0)</f>
        <v>33</v>
      </c>
      <c r="AH138" s="357"/>
      <c r="AI138" s="357"/>
      <c r="AJ138" s="357"/>
      <c r="AK138" s="357"/>
      <c r="AL138" s="357"/>
      <c r="AM138" s="357"/>
      <c r="AN138" s="357"/>
      <c r="AO138" s="357"/>
      <c r="AP138" s="357"/>
      <c r="AQ138" s="357">
        <f>BQ9</f>
        <v>5</v>
      </c>
      <c r="AR138" s="357"/>
      <c r="AS138" s="362"/>
      <c r="AT138" s="360">
        <f>BQ8</f>
        <v>1</v>
      </c>
      <c r="AU138" s="361"/>
      <c r="AV138" s="375">
        <f t="shared" si="32"/>
        <v>8</v>
      </c>
      <c r="AW138" s="357"/>
      <c r="AX138" s="357"/>
      <c r="AY138" s="360"/>
      <c r="AZ138" s="361"/>
      <c r="BA138" s="357"/>
      <c r="BB138" s="362"/>
      <c r="BC138" s="365">
        <f t="shared" si="24"/>
        <v>8</v>
      </c>
      <c r="BD138" s="361"/>
      <c r="BE138" s="357"/>
      <c r="BF138" s="357"/>
      <c r="BG138" s="357"/>
      <c r="BH138" s="357"/>
      <c r="BI138" s="357"/>
      <c r="BJ138" s="357"/>
      <c r="BK138" s="357"/>
      <c r="BL138" s="357"/>
      <c r="BM138" s="357"/>
      <c r="BN138" s="357"/>
      <c r="BO138" s="357"/>
      <c r="BP138" s="375"/>
      <c r="BQ138" s="375">
        <v>1</v>
      </c>
      <c r="BR138" s="357"/>
      <c r="BS138" s="357"/>
      <c r="BT138" s="357"/>
      <c r="BU138" s="357"/>
      <c r="BV138" s="357"/>
      <c r="BW138" s="357"/>
      <c r="BX138" s="357"/>
      <c r="BY138" s="357"/>
      <c r="BZ138" s="357"/>
      <c r="CA138" s="357"/>
      <c r="CB138" s="357"/>
      <c r="CC138" s="357"/>
      <c r="CD138" s="357"/>
      <c r="CE138" s="357"/>
      <c r="CF138" s="357"/>
      <c r="CG138" s="357"/>
      <c r="CH138" s="357"/>
      <c r="CI138" s="362"/>
      <c r="CJ138" s="378"/>
      <c r="CK138" s="378"/>
      <c r="CL138" s="362"/>
      <c r="CM138" s="362"/>
      <c r="CN138" s="362"/>
      <c r="CO138" s="362"/>
      <c r="CP138" s="362"/>
      <c r="CQ138" s="362"/>
      <c r="CR138" s="362"/>
      <c r="CS138" s="362"/>
      <c r="CT138" s="362"/>
      <c r="CU138" s="362"/>
      <c r="CV138" s="362"/>
      <c r="CW138" s="362"/>
      <c r="CX138" s="362"/>
      <c r="CY138" s="362"/>
      <c r="CZ138" s="362"/>
      <c r="DA138" s="362"/>
      <c r="DB138" s="362"/>
      <c r="DC138" s="362"/>
      <c r="DD138" s="362"/>
      <c r="DE138" s="362"/>
      <c r="DF138" s="362"/>
      <c r="DG138" s="362"/>
      <c r="DH138" s="362"/>
      <c r="DI138" s="362"/>
      <c r="DJ138" s="362"/>
      <c r="DK138" s="362"/>
      <c r="DL138" s="362"/>
      <c r="DM138" s="362"/>
      <c r="DN138" s="362"/>
      <c r="DO138" s="360"/>
      <c r="DP138" s="310"/>
      <c r="DQ138" s="310"/>
      <c r="DR138" s="310"/>
      <c r="DS138" s="310"/>
      <c r="DT138" s="310"/>
      <c r="DU138" s="310"/>
      <c r="DV138" s="310"/>
      <c r="DW138" s="310"/>
      <c r="DX138" s="310"/>
    </row>
    <row r="139" spans="1:128" s="63" customFormat="1">
      <c r="A139" s="376"/>
      <c r="B139" s="374" t="s">
        <v>369</v>
      </c>
      <c r="C139" s="357"/>
      <c r="D139" s="357"/>
      <c r="E139" s="375">
        <f>ROUNDUP(27.98,0)</f>
        <v>28</v>
      </c>
      <c r="F139" s="357"/>
      <c r="G139" s="357"/>
      <c r="H139" s="375"/>
      <c r="I139" s="357"/>
      <c r="J139" s="357"/>
      <c r="K139" s="357"/>
      <c r="L139" s="357"/>
      <c r="M139" s="357"/>
      <c r="N139" s="357"/>
      <c r="O139" s="357"/>
      <c r="P139" s="362"/>
      <c r="Q139" s="362"/>
      <c r="R139" s="362"/>
      <c r="S139" s="362"/>
      <c r="T139" s="360">
        <f t="shared" si="31"/>
        <v>28</v>
      </c>
      <c r="U139" s="361">
        <f>ROUNDUP((23*4.7)-(BH7+BP7),0)</f>
        <v>104</v>
      </c>
      <c r="V139" s="361"/>
      <c r="W139" s="361"/>
      <c r="X139" s="357"/>
      <c r="Y139" s="357"/>
      <c r="Z139" s="357"/>
      <c r="AA139" s="357"/>
      <c r="AB139" s="357"/>
      <c r="AC139" s="375"/>
      <c r="AD139" s="357">
        <f>ROUNDUP((23*4.7)-(BH7+BP7),0)</f>
        <v>104</v>
      </c>
      <c r="AE139" s="357"/>
      <c r="AF139" s="357"/>
      <c r="AG139" s="357">
        <f>ROUNDUP((23*2.7)-(BH7+BP7),0)</f>
        <v>58</v>
      </c>
      <c r="AH139" s="357"/>
      <c r="AI139" s="357"/>
      <c r="AJ139" s="357"/>
      <c r="AK139" s="357"/>
      <c r="AL139" s="357"/>
      <c r="AM139" s="357"/>
      <c r="AN139" s="357"/>
      <c r="AO139" s="357"/>
      <c r="AP139" s="357"/>
      <c r="AQ139" s="357">
        <f>ROUNDUP((8*4.7)+BH9+BP9,0)</f>
        <v>47</v>
      </c>
      <c r="AR139" s="357"/>
      <c r="AS139" s="362"/>
      <c r="AT139" s="360">
        <f>ROUNDUP(BH8+BP8,0)</f>
        <v>3</v>
      </c>
      <c r="AU139" s="361"/>
      <c r="AV139" s="375">
        <f t="shared" si="32"/>
        <v>28</v>
      </c>
      <c r="AW139" s="357"/>
      <c r="AX139" s="357"/>
      <c r="AY139" s="360"/>
      <c r="AZ139" s="361"/>
      <c r="BA139" s="357"/>
      <c r="BB139" s="362"/>
      <c r="BC139" s="365">
        <f t="shared" si="24"/>
        <v>28</v>
      </c>
      <c r="BD139" s="361"/>
      <c r="BE139" s="357"/>
      <c r="BF139" s="357"/>
      <c r="BG139" s="357"/>
      <c r="BH139" s="357"/>
      <c r="BI139" s="357"/>
      <c r="BJ139" s="357"/>
      <c r="BK139" s="357"/>
      <c r="BL139" s="357"/>
      <c r="BM139" s="357"/>
      <c r="BN139" s="357"/>
      <c r="BO139" s="357"/>
      <c r="BP139" s="375">
        <v>1</v>
      </c>
      <c r="BQ139" s="375"/>
      <c r="BR139" s="357"/>
      <c r="BS139" s="357"/>
      <c r="BT139" s="357"/>
      <c r="BU139" s="357"/>
      <c r="BV139" s="357"/>
      <c r="BW139" s="357"/>
      <c r="BX139" s="357"/>
      <c r="BY139" s="357"/>
      <c r="BZ139" s="357"/>
      <c r="CA139" s="357"/>
      <c r="CB139" s="357"/>
      <c r="CC139" s="357"/>
      <c r="CD139" s="357"/>
      <c r="CE139" s="357"/>
      <c r="CF139" s="357"/>
      <c r="CG139" s="357"/>
      <c r="CH139" s="357"/>
      <c r="CI139" s="362"/>
      <c r="CJ139" s="378"/>
      <c r="CK139" s="378"/>
      <c r="CL139" s="362"/>
      <c r="CM139" s="362"/>
      <c r="CN139" s="362"/>
      <c r="CO139" s="362"/>
      <c r="CP139" s="362"/>
      <c r="CQ139" s="362"/>
      <c r="CR139" s="362"/>
      <c r="CS139" s="362"/>
      <c r="CT139" s="362"/>
      <c r="CU139" s="362"/>
      <c r="CV139" s="362"/>
      <c r="CW139" s="362"/>
      <c r="CX139" s="362"/>
      <c r="CY139" s="362"/>
      <c r="CZ139" s="362"/>
      <c r="DA139" s="362"/>
      <c r="DB139" s="362"/>
      <c r="DC139" s="362"/>
      <c r="DD139" s="362"/>
      <c r="DE139" s="362"/>
      <c r="DF139" s="362"/>
      <c r="DG139" s="362"/>
      <c r="DH139" s="362"/>
      <c r="DI139" s="362"/>
      <c r="DJ139" s="362"/>
      <c r="DK139" s="362"/>
      <c r="DL139" s="362"/>
      <c r="DM139" s="362"/>
      <c r="DN139" s="362"/>
      <c r="DO139" s="360"/>
      <c r="DP139" s="310"/>
      <c r="DQ139" s="310"/>
      <c r="DR139" s="310"/>
      <c r="DS139" s="310"/>
      <c r="DT139" s="310"/>
      <c r="DU139" s="310"/>
      <c r="DV139" s="310"/>
      <c r="DW139" s="310"/>
      <c r="DX139" s="310"/>
    </row>
    <row r="140" spans="1:128" s="63" customFormat="1">
      <c r="A140" s="376"/>
      <c r="B140" s="374" t="s">
        <v>1359</v>
      </c>
      <c r="C140" s="357"/>
      <c r="D140" s="357"/>
      <c r="E140" s="375">
        <f>ROUNDUP(7.7,0)</f>
        <v>8</v>
      </c>
      <c r="F140" s="357"/>
      <c r="G140" s="357"/>
      <c r="H140" s="375"/>
      <c r="I140" s="357"/>
      <c r="J140" s="357"/>
      <c r="K140" s="357"/>
      <c r="L140" s="357"/>
      <c r="M140" s="357"/>
      <c r="N140" s="357"/>
      <c r="O140" s="357"/>
      <c r="P140" s="362"/>
      <c r="Q140" s="362"/>
      <c r="R140" s="362"/>
      <c r="S140" s="362"/>
      <c r="T140" s="360">
        <f t="shared" si="31"/>
        <v>8</v>
      </c>
      <c r="U140" s="361">
        <f>ROUNDUP((12*4.7)-(BH7+CL7),0)</f>
        <v>54</v>
      </c>
      <c r="V140" s="361"/>
      <c r="W140" s="361"/>
      <c r="X140" s="357"/>
      <c r="Y140" s="357"/>
      <c r="Z140" s="357"/>
      <c r="AA140" s="357"/>
      <c r="AB140" s="357"/>
      <c r="AC140" s="375"/>
      <c r="AD140" s="357">
        <f>ROUNDUP((12*4.7)-(BH7+CL7),0)</f>
        <v>54</v>
      </c>
      <c r="AE140" s="357"/>
      <c r="AF140" s="357"/>
      <c r="AG140" s="357">
        <f>ROUNDUP((12*2.7)-(BH7+CL7),0)</f>
        <v>30</v>
      </c>
      <c r="AH140" s="357"/>
      <c r="AI140" s="357"/>
      <c r="AJ140" s="357"/>
      <c r="AK140" s="357"/>
      <c r="AL140" s="357"/>
      <c r="AM140" s="357"/>
      <c r="AN140" s="357"/>
      <c r="AO140" s="357"/>
      <c r="AP140" s="357"/>
      <c r="AQ140" s="357">
        <f>(BH9+CL9)+(4.7*3)</f>
        <v>19.5</v>
      </c>
      <c r="AR140" s="357"/>
      <c r="AS140" s="362"/>
      <c r="AT140" s="360">
        <f>BH8+CL8</f>
        <v>4.2</v>
      </c>
      <c r="AU140" s="361"/>
      <c r="AV140" s="375">
        <f t="shared" si="32"/>
        <v>8</v>
      </c>
      <c r="AW140" s="357"/>
      <c r="AX140" s="357"/>
      <c r="AY140" s="360"/>
      <c r="AZ140" s="361"/>
      <c r="BA140" s="357"/>
      <c r="BB140" s="362"/>
      <c r="BC140" s="365">
        <f t="shared" si="24"/>
        <v>8</v>
      </c>
      <c r="BD140" s="361"/>
      <c r="BE140" s="357"/>
      <c r="BF140" s="357"/>
      <c r="BG140" s="357"/>
      <c r="BH140" s="357">
        <v>1</v>
      </c>
      <c r="BI140" s="357"/>
      <c r="BJ140" s="357"/>
      <c r="BK140" s="357"/>
      <c r="BL140" s="357"/>
      <c r="BM140" s="357"/>
      <c r="BN140" s="357"/>
      <c r="BO140" s="357"/>
      <c r="BP140" s="375"/>
      <c r="BQ140" s="375"/>
      <c r="BR140" s="375"/>
      <c r="BS140" s="357"/>
      <c r="BT140" s="357"/>
      <c r="BU140" s="357"/>
      <c r="BV140" s="357"/>
      <c r="BW140" s="357"/>
      <c r="BX140" s="357"/>
      <c r="BY140" s="357"/>
      <c r="BZ140" s="357"/>
      <c r="CA140" s="357"/>
      <c r="CB140" s="357"/>
      <c r="CC140" s="357"/>
      <c r="CD140" s="357"/>
      <c r="CE140" s="357"/>
      <c r="CF140" s="357"/>
      <c r="CG140" s="357"/>
      <c r="CH140" s="357"/>
      <c r="CI140" s="362"/>
      <c r="CJ140" s="378"/>
      <c r="CK140" s="378"/>
      <c r="CL140" s="378"/>
      <c r="CM140" s="378">
        <v>1</v>
      </c>
      <c r="CN140" s="362"/>
      <c r="CO140" s="362"/>
      <c r="CP140" s="362"/>
      <c r="CQ140" s="362"/>
      <c r="CR140" s="362"/>
      <c r="CS140" s="362"/>
      <c r="CT140" s="362"/>
      <c r="CU140" s="362"/>
      <c r="CV140" s="362"/>
      <c r="CW140" s="362"/>
      <c r="CX140" s="362"/>
      <c r="CY140" s="362"/>
      <c r="CZ140" s="362"/>
      <c r="DA140" s="362"/>
      <c r="DB140" s="362"/>
      <c r="DC140" s="362"/>
      <c r="DD140" s="362"/>
      <c r="DE140" s="362"/>
      <c r="DF140" s="362"/>
      <c r="DG140" s="362"/>
      <c r="DH140" s="362"/>
      <c r="DI140" s="362"/>
      <c r="DJ140" s="362"/>
      <c r="DK140" s="362"/>
      <c r="DL140" s="362"/>
      <c r="DM140" s="362"/>
      <c r="DN140" s="362"/>
      <c r="DO140" s="360"/>
      <c r="DP140" s="310"/>
      <c r="DQ140" s="310"/>
      <c r="DR140" s="310"/>
      <c r="DS140" s="310"/>
      <c r="DT140" s="310"/>
      <c r="DU140" s="310"/>
      <c r="DV140" s="310"/>
      <c r="DW140" s="310"/>
      <c r="DX140" s="310"/>
    </row>
    <row r="141" spans="1:128" s="63" customFormat="1">
      <c r="A141" s="376"/>
      <c r="B141" s="374" t="s">
        <v>370</v>
      </c>
      <c r="C141" s="357"/>
      <c r="D141" s="357"/>
      <c r="E141" s="375">
        <f>ROUNDUP(56.46,0)</f>
        <v>57</v>
      </c>
      <c r="F141" s="357"/>
      <c r="G141" s="357"/>
      <c r="H141" s="375"/>
      <c r="I141" s="357"/>
      <c r="J141" s="357"/>
      <c r="K141" s="357"/>
      <c r="L141" s="357"/>
      <c r="M141" s="357"/>
      <c r="N141" s="357"/>
      <c r="O141" s="357"/>
      <c r="P141" s="362"/>
      <c r="Q141" s="362"/>
      <c r="R141" s="362"/>
      <c r="S141" s="362"/>
      <c r="T141" s="360">
        <f t="shared" si="31"/>
        <v>57</v>
      </c>
      <c r="U141" s="361">
        <f>ROUNDUP((32*4.7)-(BP7+(CK7*2)),0)</f>
        <v>144</v>
      </c>
      <c r="V141" s="361"/>
      <c r="W141" s="361"/>
      <c r="X141" s="357"/>
      <c r="Y141" s="357"/>
      <c r="Z141" s="357"/>
      <c r="AA141" s="357"/>
      <c r="AB141" s="357"/>
      <c r="AC141" s="357"/>
      <c r="AD141" s="357">
        <f>ROUNDUP((32*4.7)-(BP7+(CK7*2)),0)</f>
        <v>144</v>
      </c>
      <c r="AE141" s="357"/>
      <c r="AF141" s="357"/>
      <c r="AG141" s="357">
        <f>ROUNDUP((32*2.7)-(BP7+(CJ7*2)),0)</f>
        <v>81</v>
      </c>
      <c r="AH141" s="357"/>
      <c r="AI141" s="357"/>
      <c r="AJ141" s="357"/>
      <c r="AK141" s="357"/>
      <c r="AL141" s="357"/>
      <c r="AM141" s="357"/>
      <c r="AN141" s="357"/>
      <c r="AO141" s="357"/>
      <c r="AP141" s="357"/>
      <c r="AQ141" s="357">
        <f>ROUNDUP(((3*4.7)+BP9+(CK9*2)),0)</f>
        <v>23</v>
      </c>
      <c r="AR141" s="357"/>
      <c r="AS141" s="362"/>
      <c r="AT141" s="360">
        <f>ROUNDUP(BP8+(CK8*2),0)</f>
        <v>12</v>
      </c>
      <c r="AU141" s="361"/>
      <c r="AV141" s="375">
        <f t="shared" si="32"/>
        <v>57</v>
      </c>
      <c r="AW141" s="357"/>
      <c r="AX141" s="357"/>
      <c r="AY141" s="360"/>
      <c r="AZ141" s="361"/>
      <c r="BA141" s="357"/>
      <c r="BB141" s="362"/>
      <c r="BC141" s="365">
        <f t="shared" si="24"/>
        <v>57</v>
      </c>
      <c r="BD141" s="361"/>
      <c r="BE141" s="357"/>
      <c r="BF141" s="357"/>
      <c r="BG141" s="357"/>
      <c r="BH141" s="357"/>
      <c r="BI141" s="357"/>
      <c r="BJ141" s="357"/>
      <c r="BK141" s="357"/>
      <c r="BL141" s="357"/>
      <c r="BM141" s="357"/>
      <c r="BN141" s="357"/>
      <c r="BO141" s="357"/>
      <c r="BP141" s="375">
        <v>1</v>
      </c>
      <c r="BQ141" s="375"/>
      <c r="BR141" s="357"/>
      <c r="BS141" s="357"/>
      <c r="BT141" s="357"/>
      <c r="BU141" s="357"/>
      <c r="BV141" s="357"/>
      <c r="BW141" s="357"/>
      <c r="BX141" s="357"/>
      <c r="BY141" s="357"/>
      <c r="BZ141" s="357"/>
      <c r="CA141" s="357"/>
      <c r="CB141" s="357"/>
      <c r="CC141" s="357"/>
      <c r="CD141" s="357"/>
      <c r="CE141" s="357"/>
      <c r="CF141" s="357"/>
      <c r="CG141" s="357"/>
      <c r="CH141" s="357"/>
      <c r="CI141" s="362"/>
      <c r="CJ141" s="378"/>
      <c r="CK141" s="378">
        <v>2</v>
      </c>
      <c r="CL141" s="362"/>
      <c r="CM141" s="362"/>
      <c r="CN141" s="362"/>
      <c r="CO141" s="362"/>
      <c r="CP141" s="362"/>
      <c r="CQ141" s="362"/>
      <c r="CR141" s="362"/>
      <c r="CS141" s="362"/>
      <c r="CT141" s="362"/>
      <c r="CU141" s="362"/>
      <c r="CV141" s="362"/>
      <c r="CW141" s="362"/>
      <c r="CX141" s="362"/>
      <c r="CY141" s="362"/>
      <c r="CZ141" s="362"/>
      <c r="DA141" s="362"/>
      <c r="DB141" s="362"/>
      <c r="DC141" s="362"/>
      <c r="DD141" s="362"/>
      <c r="DE141" s="362"/>
      <c r="DF141" s="362"/>
      <c r="DG141" s="362"/>
      <c r="DH141" s="362"/>
      <c r="DI141" s="362"/>
      <c r="DJ141" s="362"/>
      <c r="DK141" s="362"/>
      <c r="DL141" s="362"/>
      <c r="DM141" s="362"/>
      <c r="DN141" s="362"/>
      <c r="DO141" s="360"/>
      <c r="DP141" s="310"/>
      <c r="DQ141" s="310"/>
      <c r="DR141" s="310"/>
      <c r="DS141" s="310"/>
      <c r="DT141" s="310"/>
      <c r="DU141" s="310"/>
      <c r="DV141" s="310"/>
      <c r="DW141" s="310"/>
      <c r="DX141" s="310"/>
    </row>
    <row r="142" spans="1:128" s="63" customFormat="1">
      <c r="A142" s="376"/>
      <c r="B142" s="368" t="s">
        <v>459</v>
      </c>
      <c r="C142" s="375"/>
      <c r="D142" s="375">
        <v>34</v>
      </c>
      <c r="E142" s="357"/>
      <c r="F142" s="357"/>
      <c r="G142" s="357"/>
      <c r="H142" s="357"/>
      <c r="I142" s="357"/>
      <c r="J142" s="357"/>
      <c r="K142" s="357"/>
      <c r="L142" s="357"/>
      <c r="M142" s="357"/>
      <c r="N142" s="357"/>
      <c r="O142" s="357"/>
      <c r="P142" s="362"/>
      <c r="Q142" s="362"/>
      <c r="R142" s="362"/>
      <c r="S142" s="362"/>
      <c r="T142" s="360"/>
      <c r="U142" s="361">
        <f>ROUNDUP((26*5.7)-(BM7+CQ7),0)</f>
        <v>140</v>
      </c>
      <c r="V142" s="361"/>
      <c r="W142" s="361"/>
      <c r="X142" s="357"/>
      <c r="Y142" s="357"/>
      <c r="Z142" s="357"/>
      <c r="AA142" s="357"/>
      <c r="AB142" s="357"/>
      <c r="AC142" s="357">
        <f>ROUNDUP((8.4*3.8)-CL7,0)</f>
        <v>31</v>
      </c>
      <c r="AD142" s="361">
        <f>ROUNDUP((30.1*5.7)-(BM7+CQ7),0)</f>
        <v>163</v>
      </c>
      <c r="AE142" s="357"/>
      <c r="AF142" s="357"/>
      <c r="AG142" s="357"/>
      <c r="AH142" s="357"/>
      <c r="AI142" s="357"/>
      <c r="AJ142" s="357"/>
      <c r="AK142" s="357"/>
      <c r="AL142" s="357"/>
      <c r="AM142" s="357"/>
      <c r="AN142" s="357"/>
      <c r="AO142" s="357"/>
      <c r="AP142" s="357"/>
      <c r="AQ142" s="357">
        <f>ROUNDUP((BM9+CQ9)+(5.7*3),0)</f>
        <v>27</v>
      </c>
      <c r="AR142" s="357"/>
      <c r="AS142" s="362"/>
      <c r="AT142" s="360">
        <f>ROUNDUP(BM8+CQ8,0)</f>
        <v>6</v>
      </c>
      <c r="AU142" s="374"/>
      <c r="AV142" s="357"/>
      <c r="AW142" s="357">
        <f>D142</f>
        <v>34</v>
      </c>
      <c r="AX142" s="357"/>
      <c r="AY142" s="360"/>
      <c r="AZ142" s="361">
        <f>AD142</f>
        <v>163</v>
      </c>
      <c r="BA142" s="357">
        <f>AC142</f>
        <v>31</v>
      </c>
      <c r="BB142" s="362"/>
      <c r="BC142" s="365">
        <f t="shared" si="24"/>
        <v>34</v>
      </c>
      <c r="BD142" s="361"/>
      <c r="BE142" s="357"/>
      <c r="BF142" s="357"/>
      <c r="BG142" s="357"/>
      <c r="BH142" s="357"/>
      <c r="BI142" s="357"/>
      <c r="BJ142" s="357"/>
      <c r="BK142" s="357"/>
      <c r="BL142" s="357"/>
      <c r="BM142" s="357"/>
      <c r="BN142" s="357">
        <v>1</v>
      </c>
      <c r="BO142" s="357"/>
      <c r="BP142" s="357"/>
      <c r="BQ142" s="357"/>
      <c r="BR142" s="357"/>
      <c r="BS142" s="357"/>
      <c r="BT142" s="357"/>
      <c r="BU142" s="357"/>
      <c r="BV142" s="357"/>
      <c r="BW142" s="357"/>
      <c r="BX142" s="357"/>
      <c r="BY142" s="357"/>
      <c r="BZ142" s="357"/>
      <c r="CA142" s="357"/>
      <c r="CB142" s="357"/>
      <c r="CC142" s="357"/>
      <c r="CD142" s="357"/>
      <c r="CE142" s="357"/>
      <c r="CF142" s="357"/>
      <c r="CG142" s="357"/>
      <c r="CH142" s="357"/>
      <c r="CI142" s="362"/>
      <c r="CJ142" s="362"/>
      <c r="CK142" s="362"/>
      <c r="CL142" s="362"/>
      <c r="CM142" s="362"/>
      <c r="CN142" s="362"/>
      <c r="CO142" s="362"/>
      <c r="CP142" s="362"/>
      <c r="CQ142" s="362">
        <v>1</v>
      </c>
      <c r="CR142" s="362"/>
      <c r="CS142" s="362"/>
      <c r="CT142" s="362"/>
      <c r="CU142" s="362"/>
      <c r="CV142" s="362"/>
      <c r="CW142" s="362"/>
      <c r="CX142" s="362"/>
      <c r="CY142" s="362"/>
      <c r="CZ142" s="362"/>
      <c r="DA142" s="362"/>
      <c r="DB142" s="362"/>
      <c r="DC142" s="362"/>
      <c r="DD142" s="362"/>
      <c r="DE142" s="362"/>
      <c r="DF142" s="362"/>
      <c r="DG142" s="362"/>
      <c r="DH142" s="362"/>
      <c r="DI142" s="362"/>
      <c r="DJ142" s="362"/>
      <c r="DK142" s="362"/>
      <c r="DL142" s="362"/>
      <c r="DM142" s="362"/>
      <c r="DN142" s="362"/>
      <c r="DO142" s="360"/>
      <c r="DP142" s="310"/>
      <c r="DQ142" s="310"/>
      <c r="DR142" s="310"/>
      <c r="DS142" s="310"/>
      <c r="DT142" s="310"/>
      <c r="DU142" s="310"/>
      <c r="DV142" s="309"/>
      <c r="DW142" s="310"/>
      <c r="DX142" s="372"/>
    </row>
    <row r="143" spans="1:128" s="63" customFormat="1">
      <c r="A143" s="376"/>
      <c r="B143" s="374" t="s">
        <v>362</v>
      </c>
      <c r="C143" s="375">
        <v>11</v>
      </c>
      <c r="D143" s="375"/>
      <c r="E143" s="375"/>
      <c r="F143" s="357"/>
      <c r="G143" s="357"/>
      <c r="H143" s="357"/>
      <c r="I143" s="357"/>
      <c r="J143" s="357"/>
      <c r="K143" s="357"/>
      <c r="L143" s="357"/>
      <c r="M143" s="357"/>
      <c r="N143" s="357"/>
      <c r="O143" s="357"/>
      <c r="P143" s="362"/>
      <c r="Q143" s="362"/>
      <c r="R143" s="362"/>
      <c r="S143" s="362"/>
      <c r="T143" s="360"/>
      <c r="U143" s="361">
        <f>ROUNDUP((13.8*3.4)-(BR53),0)</f>
        <v>47</v>
      </c>
      <c r="V143" s="361"/>
      <c r="W143" s="361"/>
      <c r="X143" s="357"/>
      <c r="Y143" s="357"/>
      <c r="Z143" s="357"/>
      <c r="AA143" s="357"/>
      <c r="AB143" s="357"/>
      <c r="AC143" s="357">
        <f>ROUNDUP((2.7*4.7)-BR53,0)</f>
        <v>13</v>
      </c>
      <c r="AD143" s="357">
        <f>U143</f>
        <v>47</v>
      </c>
      <c r="AE143" s="357"/>
      <c r="AF143" s="357"/>
      <c r="AG143" s="357"/>
      <c r="AH143" s="357"/>
      <c r="AI143" s="357"/>
      <c r="AJ143" s="357"/>
      <c r="AK143" s="357"/>
      <c r="AL143" s="357"/>
      <c r="AM143" s="357"/>
      <c r="AN143" s="357"/>
      <c r="AO143" s="357"/>
      <c r="AP143" s="357"/>
      <c r="AQ143" s="357">
        <f>ROUNDUP(BR9+(2*3.4),0)</f>
        <v>11</v>
      </c>
      <c r="AR143" s="357"/>
      <c r="AS143" s="362"/>
      <c r="AT143" s="360">
        <f>ROUNDUP(BR8,0)</f>
        <v>2</v>
      </c>
      <c r="AU143" s="374"/>
      <c r="AV143" s="357"/>
      <c r="AW143" s="357">
        <f>C143</f>
        <v>11</v>
      </c>
      <c r="AX143" s="357"/>
      <c r="AY143" s="360"/>
      <c r="AZ143" s="361">
        <f>AD143</f>
        <v>47</v>
      </c>
      <c r="BA143" s="357">
        <f>AC143</f>
        <v>13</v>
      </c>
      <c r="BB143" s="362"/>
      <c r="BC143" s="365">
        <f t="shared" si="24"/>
        <v>11</v>
      </c>
      <c r="BD143" s="361"/>
      <c r="BE143" s="357"/>
      <c r="BF143" s="357"/>
      <c r="BG143" s="357"/>
      <c r="BH143" s="357"/>
      <c r="BI143" s="357"/>
      <c r="BJ143" s="357"/>
      <c r="BK143" s="375"/>
      <c r="BL143" s="357"/>
      <c r="BM143" s="357"/>
      <c r="BN143" s="357"/>
      <c r="BO143" s="357"/>
      <c r="BP143" s="357"/>
      <c r="BQ143" s="357"/>
      <c r="BR143" s="357">
        <v>1</v>
      </c>
      <c r="BS143" s="357"/>
      <c r="BT143" s="357"/>
      <c r="BU143" s="357"/>
      <c r="BV143" s="357"/>
      <c r="BW143" s="357"/>
      <c r="BX143" s="357"/>
      <c r="BY143" s="357"/>
      <c r="BZ143" s="357"/>
      <c r="CA143" s="357"/>
      <c r="CB143" s="375"/>
      <c r="CC143" s="375"/>
      <c r="CD143" s="357"/>
      <c r="CE143" s="357"/>
      <c r="CF143" s="357"/>
      <c r="CG143" s="357"/>
      <c r="CH143" s="357"/>
      <c r="CI143" s="362"/>
      <c r="CJ143" s="362"/>
      <c r="CK143" s="362"/>
      <c r="CL143" s="362"/>
      <c r="CM143" s="362"/>
      <c r="CN143" s="362"/>
      <c r="CO143" s="362"/>
      <c r="CP143" s="362"/>
      <c r="CQ143" s="362"/>
      <c r="CR143" s="362"/>
      <c r="CS143" s="362"/>
      <c r="CT143" s="362"/>
      <c r="CU143" s="362"/>
      <c r="CV143" s="362"/>
      <c r="CW143" s="362"/>
      <c r="CX143" s="362"/>
      <c r="CY143" s="362"/>
      <c r="CZ143" s="362"/>
      <c r="DA143" s="362"/>
      <c r="DB143" s="362"/>
      <c r="DC143" s="362"/>
      <c r="DD143" s="362"/>
      <c r="DE143" s="362"/>
      <c r="DF143" s="362"/>
      <c r="DG143" s="362"/>
      <c r="DH143" s="362"/>
      <c r="DI143" s="362"/>
      <c r="DJ143" s="362"/>
      <c r="DK143" s="362"/>
      <c r="DL143" s="362"/>
      <c r="DM143" s="362"/>
      <c r="DN143" s="362"/>
      <c r="DO143" s="360"/>
      <c r="DP143" s="310"/>
      <c r="DQ143" s="310"/>
      <c r="DR143" s="310"/>
      <c r="DS143" s="310"/>
      <c r="DT143" s="310"/>
      <c r="DU143" s="310"/>
      <c r="DV143" s="309"/>
      <c r="DW143" s="310"/>
      <c r="DX143" s="372"/>
    </row>
    <row r="144" spans="1:128">
      <c r="A144" s="406"/>
      <c r="B144" s="368" t="s">
        <v>1345</v>
      </c>
      <c r="C144" s="375"/>
      <c r="D144" s="375">
        <f>ROUND(((0.25*2.15)*20)+((0.18*2.15)*22)+(2*4.4),0)</f>
        <v>28</v>
      </c>
      <c r="E144" s="409"/>
      <c r="F144" s="409"/>
      <c r="G144" s="409"/>
      <c r="H144" s="409"/>
      <c r="I144" s="409"/>
      <c r="J144" s="409"/>
      <c r="K144" s="409"/>
      <c r="L144" s="409"/>
      <c r="M144" s="409"/>
      <c r="N144" s="409"/>
      <c r="O144" s="409"/>
      <c r="P144" s="410"/>
      <c r="Q144" s="410"/>
      <c r="R144" s="410"/>
      <c r="S144" s="410"/>
      <c r="T144" s="360"/>
      <c r="U144" s="405"/>
      <c r="V144" s="405"/>
      <c r="W144" s="405"/>
      <c r="X144" s="408"/>
      <c r="Y144" s="408"/>
      <c r="Z144" s="408"/>
      <c r="AA144" s="408"/>
      <c r="AB144" s="408"/>
      <c r="AC144" s="408"/>
      <c r="AD144" s="408"/>
      <c r="AE144" s="408"/>
      <c r="AF144" s="408"/>
      <c r="AG144" s="408"/>
      <c r="AH144" s="408"/>
      <c r="AI144" s="408"/>
      <c r="AJ144" s="408"/>
      <c r="AK144" s="408"/>
      <c r="AL144" s="408"/>
      <c r="AM144" s="408"/>
      <c r="AN144" s="408"/>
      <c r="AO144" s="408"/>
      <c r="AP144" s="408"/>
      <c r="AQ144" s="408"/>
      <c r="AR144" s="408"/>
      <c r="AS144" s="412"/>
      <c r="AT144" s="413"/>
      <c r="AU144" s="405"/>
      <c r="AV144" s="408"/>
      <c r="AW144" s="408"/>
      <c r="AX144" s="412"/>
      <c r="AY144" s="413"/>
      <c r="AZ144" s="405"/>
      <c r="BA144" s="408"/>
      <c r="BB144" s="1183"/>
      <c r="BC144" s="365">
        <f t="shared" si="24"/>
        <v>0</v>
      </c>
      <c r="BD144" s="414"/>
      <c r="BE144" s="415"/>
      <c r="BF144" s="415"/>
      <c r="BG144" s="415"/>
      <c r="BH144" s="415"/>
      <c r="BI144" s="415"/>
      <c r="BJ144" s="655"/>
      <c r="BK144" s="415"/>
      <c r="BL144" s="415"/>
      <c r="BM144" s="415"/>
      <c r="BN144" s="415"/>
      <c r="BO144" s="415"/>
      <c r="BP144" s="415"/>
      <c r="BQ144" s="415"/>
      <c r="BR144" s="415"/>
      <c r="BS144" s="415"/>
      <c r="BT144" s="415"/>
      <c r="BU144" s="655"/>
      <c r="BV144" s="415"/>
      <c r="BW144" s="415"/>
      <c r="BX144" s="415"/>
      <c r="BY144" s="655"/>
      <c r="BZ144" s="655"/>
      <c r="CA144" s="655"/>
      <c r="CB144" s="415"/>
      <c r="CC144" s="655"/>
      <c r="CD144" s="415"/>
      <c r="CE144" s="415"/>
      <c r="CF144" s="415"/>
      <c r="CG144" s="415"/>
      <c r="CH144" s="415"/>
      <c r="CI144" s="656"/>
      <c r="CJ144" s="416"/>
      <c r="CK144" s="656"/>
      <c r="CL144" s="416"/>
      <c r="CM144" s="656"/>
      <c r="CN144" s="416"/>
      <c r="CO144" s="416"/>
      <c r="CP144" s="416"/>
      <c r="CQ144" s="656"/>
      <c r="CR144" s="656"/>
      <c r="CS144" s="416"/>
      <c r="CT144" s="416"/>
      <c r="CU144" s="416"/>
      <c r="CV144" s="416"/>
      <c r="CW144" s="416"/>
      <c r="CX144" s="656"/>
      <c r="CY144" s="656"/>
      <c r="CZ144" s="416"/>
      <c r="DA144" s="416"/>
      <c r="DB144" s="416"/>
      <c r="DC144" s="416"/>
      <c r="DD144" s="416"/>
      <c r="DE144" s="416"/>
      <c r="DF144" s="416"/>
      <c r="DG144" s="416"/>
      <c r="DH144" s="416"/>
      <c r="DI144" s="416"/>
      <c r="DJ144" s="416"/>
      <c r="DK144" s="416"/>
      <c r="DL144" s="416"/>
      <c r="DM144" s="416"/>
      <c r="DN144" s="416"/>
      <c r="DO144" s="417"/>
    </row>
    <row r="145" spans="1:128">
      <c r="A145" s="406"/>
      <c r="B145" s="374" t="s">
        <v>402</v>
      </c>
      <c r="C145" s="375"/>
      <c r="D145" s="357"/>
      <c r="E145" s="409"/>
      <c r="F145" s="409"/>
      <c r="G145" s="409"/>
      <c r="H145" s="409">
        <f>ROUND(8.4*14,0)</f>
        <v>118</v>
      </c>
      <c r="I145" s="409"/>
      <c r="J145" s="409"/>
      <c r="K145" s="409"/>
      <c r="L145" s="409"/>
      <c r="M145" s="409"/>
      <c r="N145" s="409"/>
      <c r="O145" s="409"/>
      <c r="P145" s="410"/>
      <c r="Q145" s="410"/>
      <c r="R145" s="410"/>
      <c r="S145" s="410"/>
      <c r="T145" s="360"/>
      <c r="U145" s="405"/>
      <c r="V145" s="405"/>
      <c r="W145" s="405"/>
      <c r="X145" s="408"/>
      <c r="Y145" s="408"/>
      <c r="Z145" s="408"/>
      <c r="AA145" s="408"/>
      <c r="AB145" s="408"/>
      <c r="AC145" s="408"/>
      <c r="AD145" s="408"/>
      <c r="AE145" s="408"/>
      <c r="AF145" s="408"/>
      <c r="AG145" s="408"/>
      <c r="AH145" s="408"/>
      <c r="AI145" s="408"/>
      <c r="AJ145" s="408"/>
      <c r="AK145" s="408"/>
      <c r="AL145" s="408"/>
      <c r="AM145" s="408"/>
      <c r="AN145" s="408"/>
      <c r="AO145" s="408"/>
      <c r="AP145" s="408"/>
      <c r="AQ145" s="408"/>
      <c r="AR145" s="408"/>
      <c r="AS145" s="412"/>
      <c r="AT145" s="413"/>
      <c r="AU145" s="405"/>
      <c r="AV145" s="408"/>
      <c r="AW145" s="408"/>
      <c r="AX145" s="412"/>
      <c r="AY145" s="413"/>
      <c r="AZ145" s="405"/>
      <c r="BA145" s="408"/>
      <c r="BB145" s="1183"/>
      <c r="BC145" s="365">
        <f t="shared" si="24"/>
        <v>0</v>
      </c>
      <c r="BD145" s="414"/>
      <c r="BE145" s="415"/>
      <c r="BF145" s="415"/>
      <c r="BG145" s="415"/>
      <c r="BH145" s="415"/>
      <c r="BI145" s="415"/>
      <c r="BJ145" s="655"/>
      <c r="BK145" s="415"/>
      <c r="BL145" s="415"/>
      <c r="BM145" s="415"/>
      <c r="BN145" s="415"/>
      <c r="BO145" s="415"/>
      <c r="BP145" s="415"/>
      <c r="BQ145" s="415"/>
      <c r="BR145" s="415"/>
      <c r="BS145" s="415"/>
      <c r="BT145" s="415"/>
      <c r="BU145" s="655"/>
      <c r="BV145" s="415"/>
      <c r="BW145" s="415"/>
      <c r="BX145" s="415"/>
      <c r="BY145" s="655"/>
      <c r="BZ145" s="655"/>
      <c r="CA145" s="655"/>
      <c r="CB145" s="415"/>
      <c r="CC145" s="655"/>
      <c r="CD145" s="415"/>
      <c r="CE145" s="415"/>
      <c r="CF145" s="415"/>
      <c r="CG145" s="415"/>
      <c r="CH145" s="415"/>
      <c r="CI145" s="656"/>
      <c r="CJ145" s="416"/>
      <c r="CK145" s="656"/>
      <c r="CL145" s="416"/>
      <c r="CM145" s="656"/>
      <c r="CN145" s="416"/>
      <c r="CO145" s="416"/>
      <c r="CP145" s="416"/>
      <c r="CQ145" s="656"/>
      <c r="CR145" s="656"/>
      <c r="CS145" s="416"/>
      <c r="CT145" s="416"/>
      <c r="CU145" s="416"/>
      <c r="CV145" s="416"/>
      <c r="CW145" s="416"/>
      <c r="CX145" s="656"/>
      <c r="CY145" s="656"/>
      <c r="CZ145" s="416"/>
      <c r="DA145" s="416"/>
      <c r="DB145" s="416"/>
      <c r="DC145" s="416"/>
      <c r="DD145" s="416"/>
      <c r="DE145" s="416"/>
      <c r="DF145" s="416"/>
      <c r="DG145" s="416"/>
      <c r="DH145" s="416"/>
      <c r="DI145" s="416"/>
      <c r="DJ145" s="416"/>
      <c r="DK145" s="416"/>
      <c r="DL145" s="416"/>
      <c r="DM145" s="416"/>
      <c r="DN145" s="416"/>
      <c r="DO145" s="417"/>
    </row>
    <row r="146" spans="1:128">
      <c r="A146" s="406"/>
      <c r="B146" s="405"/>
      <c r="C146" s="408"/>
      <c r="D146" s="409"/>
      <c r="E146" s="409"/>
      <c r="F146" s="409"/>
      <c r="G146" s="409"/>
      <c r="H146" s="409"/>
      <c r="I146" s="409"/>
      <c r="J146" s="409"/>
      <c r="K146" s="409"/>
      <c r="L146" s="409"/>
      <c r="M146" s="409"/>
      <c r="N146" s="409"/>
      <c r="O146" s="409"/>
      <c r="P146" s="410"/>
      <c r="Q146" s="410"/>
      <c r="R146" s="410"/>
      <c r="S146" s="410"/>
      <c r="T146" s="360"/>
      <c r="U146" s="405"/>
      <c r="V146" s="405"/>
      <c r="W146" s="405"/>
      <c r="X146" s="408"/>
      <c r="Y146" s="408"/>
      <c r="Z146" s="408"/>
      <c r="AA146" s="408"/>
      <c r="AB146" s="408"/>
      <c r="AC146" s="408"/>
      <c r="AD146" s="408"/>
      <c r="AE146" s="408"/>
      <c r="AF146" s="408"/>
      <c r="AG146" s="408"/>
      <c r="AH146" s="408"/>
      <c r="AI146" s="408"/>
      <c r="AJ146" s="408"/>
      <c r="AK146" s="408"/>
      <c r="AL146" s="408"/>
      <c r="AM146" s="408"/>
      <c r="AN146" s="408"/>
      <c r="AO146" s="408"/>
      <c r="AP146" s="408"/>
      <c r="AQ146" s="408"/>
      <c r="AR146" s="408"/>
      <c r="AS146" s="412"/>
      <c r="AT146" s="413"/>
      <c r="AU146" s="405"/>
      <c r="AV146" s="408"/>
      <c r="AW146" s="408"/>
      <c r="AX146" s="412"/>
      <c r="AY146" s="413"/>
      <c r="AZ146" s="405"/>
      <c r="BA146" s="408"/>
      <c r="BB146" s="1183"/>
      <c r="BC146" s="365">
        <f t="shared" si="24"/>
        <v>0</v>
      </c>
      <c r="BD146" s="414"/>
      <c r="BE146" s="415"/>
      <c r="BF146" s="415"/>
      <c r="BG146" s="415"/>
      <c r="BH146" s="415"/>
      <c r="BI146" s="415"/>
      <c r="BJ146" s="655"/>
      <c r="BK146" s="415"/>
      <c r="BL146" s="415"/>
      <c r="BM146" s="415"/>
      <c r="BN146" s="415"/>
      <c r="BO146" s="415"/>
      <c r="BP146" s="415"/>
      <c r="BQ146" s="415"/>
      <c r="BR146" s="415"/>
      <c r="BS146" s="415"/>
      <c r="BT146" s="415"/>
      <c r="BU146" s="655"/>
      <c r="BV146" s="415"/>
      <c r="BW146" s="415"/>
      <c r="BX146" s="415"/>
      <c r="BY146" s="655"/>
      <c r="BZ146" s="655"/>
      <c r="CA146" s="655"/>
      <c r="CB146" s="415"/>
      <c r="CC146" s="655"/>
      <c r="CD146" s="415"/>
      <c r="CE146" s="415"/>
      <c r="CF146" s="415"/>
      <c r="CG146" s="415"/>
      <c r="CH146" s="415"/>
      <c r="CI146" s="656"/>
      <c r="CJ146" s="416"/>
      <c r="CK146" s="656"/>
      <c r="CL146" s="416"/>
      <c r="CM146" s="656"/>
      <c r="CN146" s="416"/>
      <c r="CO146" s="416"/>
      <c r="CP146" s="416"/>
      <c r="CQ146" s="656"/>
      <c r="CR146" s="656"/>
      <c r="CS146" s="416"/>
      <c r="CT146" s="416"/>
      <c r="CU146" s="416"/>
      <c r="CV146" s="416"/>
      <c r="CW146" s="416"/>
      <c r="CX146" s="656"/>
      <c r="CY146" s="656"/>
      <c r="CZ146" s="416"/>
      <c r="DA146" s="416"/>
      <c r="DB146" s="416"/>
      <c r="DC146" s="416"/>
      <c r="DD146" s="416"/>
      <c r="DE146" s="416"/>
      <c r="DF146" s="416"/>
      <c r="DG146" s="416"/>
      <c r="DH146" s="416"/>
      <c r="DI146" s="416"/>
      <c r="DJ146" s="416"/>
      <c r="DK146" s="416"/>
      <c r="DL146" s="416"/>
      <c r="DM146" s="416"/>
      <c r="DN146" s="416"/>
      <c r="DO146" s="417"/>
    </row>
    <row r="147" spans="1:128">
      <c r="A147" s="406"/>
      <c r="B147" s="405"/>
      <c r="C147" s="408"/>
      <c r="D147" s="409"/>
      <c r="E147" s="409"/>
      <c r="F147" s="409"/>
      <c r="G147" s="409"/>
      <c r="H147" s="409"/>
      <c r="I147" s="409"/>
      <c r="J147" s="409"/>
      <c r="K147" s="409"/>
      <c r="L147" s="409"/>
      <c r="M147" s="409"/>
      <c r="N147" s="409"/>
      <c r="O147" s="409"/>
      <c r="P147" s="410"/>
      <c r="Q147" s="410"/>
      <c r="R147" s="410"/>
      <c r="S147" s="410"/>
      <c r="T147" s="360"/>
      <c r="U147" s="405"/>
      <c r="V147" s="405"/>
      <c r="W147" s="405"/>
      <c r="X147" s="408"/>
      <c r="Y147" s="408"/>
      <c r="Z147" s="408"/>
      <c r="AA147" s="408"/>
      <c r="AB147" s="408"/>
      <c r="AC147" s="408"/>
      <c r="AD147" s="408"/>
      <c r="AE147" s="408"/>
      <c r="AF147" s="408"/>
      <c r="AG147" s="408"/>
      <c r="AH147" s="408"/>
      <c r="AI147" s="408"/>
      <c r="AJ147" s="408"/>
      <c r="AK147" s="408"/>
      <c r="AL147" s="408"/>
      <c r="AM147" s="408"/>
      <c r="AN147" s="408"/>
      <c r="AO147" s="408"/>
      <c r="AP147" s="408"/>
      <c r="AQ147" s="408"/>
      <c r="AR147" s="408"/>
      <c r="AS147" s="412"/>
      <c r="AT147" s="413"/>
      <c r="AU147" s="405"/>
      <c r="AV147" s="408"/>
      <c r="AW147" s="408"/>
      <c r="AX147" s="412"/>
      <c r="AY147" s="413"/>
      <c r="AZ147" s="405"/>
      <c r="BA147" s="408"/>
      <c r="BB147" s="1183"/>
      <c r="BC147" s="413"/>
      <c r="BD147" s="414"/>
      <c r="BE147" s="415"/>
      <c r="BF147" s="415"/>
      <c r="BG147" s="415"/>
      <c r="BH147" s="415"/>
      <c r="BI147" s="415"/>
      <c r="BJ147" s="655"/>
      <c r="BK147" s="415"/>
      <c r="BL147" s="415"/>
      <c r="BM147" s="415"/>
      <c r="BN147" s="415"/>
      <c r="BO147" s="415"/>
      <c r="BP147" s="415"/>
      <c r="BQ147" s="415"/>
      <c r="BR147" s="415"/>
      <c r="BS147" s="415"/>
      <c r="BT147" s="415"/>
      <c r="BU147" s="655"/>
      <c r="BV147" s="415"/>
      <c r="BW147" s="415"/>
      <c r="BX147" s="415"/>
      <c r="BY147" s="655"/>
      <c r="BZ147" s="655"/>
      <c r="CA147" s="655"/>
      <c r="CB147" s="415"/>
      <c r="CC147" s="655"/>
      <c r="CD147" s="415"/>
      <c r="CE147" s="415"/>
      <c r="CF147" s="415"/>
      <c r="CG147" s="415"/>
      <c r="CH147" s="415"/>
      <c r="CI147" s="656"/>
      <c r="CJ147" s="416"/>
      <c r="CK147" s="656"/>
      <c r="CL147" s="416"/>
      <c r="CM147" s="656"/>
      <c r="CN147" s="416"/>
      <c r="CO147" s="416"/>
      <c r="CP147" s="416"/>
      <c r="CQ147" s="656"/>
      <c r="CR147" s="656"/>
      <c r="CS147" s="416"/>
      <c r="CT147" s="416"/>
      <c r="CU147" s="416"/>
      <c r="CV147" s="416"/>
      <c r="CW147" s="416"/>
      <c r="CX147" s="656"/>
      <c r="CY147" s="656"/>
      <c r="CZ147" s="416"/>
      <c r="DA147" s="416"/>
      <c r="DB147" s="416"/>
      <c r="DC147" s="416"/>
      <c r="DD147" s="416"/>
      <c r="DE147" s="416"/>
      <c r="DF147" s="416"/>
      <c r="DG147" s="416"/>
      <c r="DH147" s="416"/>
      <c r="DI147" s="416"/>
      <c r="DJ147" s="416"/>
      <c r="DK147" s="416"/>
      <c r="DL147" s="416"/>
      <c r="DM147" s="416"/>
      <c r="DN147" s="416"/>
      <c r="DO147" s="417"/>
    </row>
    <row r="148" spans="1:128">
      <c r="A148" s="406"/>
      <c r="B148" s="405"/>
      <c r="C148" s="408"/>
      <c r="D148" s="409"/>
      <c r="E148" s="409"/>
      <c r="F148" s="409"/>
      <c r="G148" s="409"/>
      <c r="H148" s="409"/>
      <c r="I148" s="409"/>
      <c r="J148" s="409"/>
      <c r="K148" s="409"/>
      <c r="L148" s="409"/>
      <c r="M148" s="409"/>
      <c r="N148" s="409"/>
      <c r="O148" s="409"/>
      <c r="P148" s="410"/>
      <c r="Q148" s="410"/>
      <c r="R148" s="410"/>
      <c r="S148" s="410"/>
      <c r="T148" s="360">
        <f>SUM(C148:O148)</f>
        <v>0</v>
      </c>
      <c r="U148" s="405"/>
      <c r="V148" s="405"/>
      <c r="W148" s="405"/>
      <c r="X148" s="408"/>
      <c r="Y148" s="408"/>
      <c r="Z148" s="408"/>
      <c r="AA148" s="408"/>
      <c r="AB148" s="408"/>
      <c r="AC148" s="408"/>
      <c r="AD148" s="408"/>
      <c r="AE148" s="408"/>
      <c r="AF148" s="408"/>
      <c r="AG148" s="408"/>
      <c r="AH148" s="408"/>
      <c r="AI148" s="408"/>
      <c r="AJ148" s="408"/>
      <c r="AK148" s="408"/>
      <c r="AL148" s="408"/>
      <c r="AM148" s="408"/>
      <c r="AN148" s="408"/>
      <c r="AO148" s="408"/>
      <c r="AP148" s="408"/>
      <c r="AQ148" s="408"/>
      <c r="AR148" s="408"/>
      <c r="AS148" s="412"/>
      <c r="AT148" s="413"/>
      <c r="AU148" s="405"/>
      <c r="AV148" s="408"/>
      <c r="AW148" s="408"/>
      <c r="AX148" s="412"/>
      <c r="AY148" s="413"/>
      <c r="AZ148" s="405"/>
      <c r="BA148" s="408"/>
      <c r="BB148" s="1183"/>
      <c r="BC148" s="413"/>
      <c r="BD148" s="414"/>
      <c r="BE148" s="415"/>
      <c r="BF148" s="415"/>
      <c r="BG148" s="415"/>
      <c r="BH148" s="415"/>
      <c r="BI148" s="415"/>
      <c r="BJ148" s="655"/>
      <c r="BK148" s="415"/>
      <c r="BL148" s="415"/>
      <c r="BM148" s="415"/>
      <c r="BN148" s="415"/>
      <c r="BO148" s="415"/>
      <c r="BP148" s="415"/>
      <c r="BQ148" s="415"/>
      <c r="BR148" s="415"/>
      <c r="BS148" s="415"/>
      <c r="BT148" s="415"/>
      <c r="BU148" s="655"/>
      <c r="BV148" s="415"/>
      <c r="BW148" s="415"/>
      <c r="BX148" s="415"/>
      <c r="BY148" s="655"/>
      <c r="BZ148" s="655"/>
      <c r="CA148" s="655"/>
      <c r="CB148" s="415"/>
      <c r="CC148" s="655"/>
      <c r="CD148" s="415"/>
      <c r="CE148" s="415"/>
      <c r="CF148" s="415"/>
      <c r="CG148" s="415"/>
      <c r="CH148" s="415"/>
      <c r="CI148" s="656"/>
      <c r="CJ148" s="416"/>
      <c r="CK148" s="656"/>
      <c r="CL148" s="416"/>
      <c r="CM148" s="656"/>
      <c r="CN148" s="416"/>
      <c r="CO148" s="416"/>
      <c r="CP148" s="416"/>
      <c r="CQ148" s="656"/>
      <c r="CR148" s="656"/>
      <c r="CS148" s="416"/>
      <c r="CT148" s="416"/>
      <c r="CU148" s="416"/>
      <c r="CV148" s="416"/>
      <c r="CW148" s="416"/>
      <c r="CX148" s="656"/>
      <c r="CY148" s="656"/>
      <c r="CZ148" s="416"/>
      <c r="DA148" s="416"/>
      <c r="DB148" s="416"/>
      <c r="DC148" s="416"/>
      <c r="DD148" s="416"/>
      <c r="DE148" s="416"/>
      <c r="DF148" s="416"/>
      <c r="DG148" s="416"/>
      <c r="DH148" s="416"/>
      <c r="DI148" s="416"/>
      <c r="DJ148" s="416"/>
      <c r="DK148" s="416"/>
      <c r="DL148" s="416"/>
      <c r="DM148" s="416"/>
      <c r="DN148" s="416"/>
      <c r="DO148" s="383"/>
    </row>
    <row r="149" spans="1:128">
      <c r="A149" s="406"/>
      <c r="B149" s="405"/>
      <c r="C149" s="408"/>
      <c r="D149" s="409"/>
      <c r="E149" s="409"/>
      <c r="F149" s="409"/>
      <c r="G149" s="409"/>
      <c r="H149" s="409"/>
      <c r="I149" s="409"/>
      <c r="J149" s="409"/>
      <c r="K149" s="409"/>
      <c r="L149" s="409"/>
      <c r="M149" s="409"/>
      <c r="N149" s="409"/>
      <c r="O149" s="409"/>
      <c r="P149" s="410"/>
      <c r="Q149" s="410"/>
      <c r="R149" s="410"/>
      <c r="S149" s="410"/>
      <c r="T149" s="360">
        <f>SUM(C149:O149)</f>
        <v>0</v>
      </c>
      <c r="U149" s="405"/>
      <c r="V149" s="405"/>
      <c r="W149" s="405"/>
      <c r="X149" s="408"/>
      <c r="Y149" s="408"/>
      <c r="Z149" s="408"/>
      <c r="AA149" s="408"/>
      <c r="AB149" s="408"/>
      <c r="AC149" s="408"/>
      <c r="AD149" s="408"/>
      <c r="AE149" s="408"/>
      <c r="AF149" s="408"/>
      <c r="AG149" s="408"/>
      <c r="AH149" s="408"/>
      <c r="AI149" s="408"/>
      <c r="AJ149" s="408"/>
      <c r="AK149" s="408"/>
      <c r="AL149" s="408"/>
      <c r="AM149" s="408"/>
      <c r="AN149" s="408"/>
      <c r="AO149" s="408"/>
      <c r="AP149" s="408"/>
      <c r="AQ149" s="408"/>
      <c r="AR149" s="408"/>
      <c r="AS149" s="412"/>
      <c r="AT149" s="413"/>
      <c r="AU149" s="405"/>
      <c r="AV149" s="408"/>
      <c r="AW149" s="408"/>
      <c r="AX149" s="412"/>
      <c r="AY149" s="413"/>
      <c r="AZ149" s="405"/>
      <c r="BA149" s="408"/>
      <c r="BB149" s="1183"/>
      <c r="BC149" s="413"/>
      <c r="BD149" s="414"/>
      <c r="BE149" s="415"/>
      <c r="BF149" s="415"/>
      <c r="BG149" s="415"/>
      <c r="BH149" s="415"/>
      <c r="BI149" s="415"/>
      <c r="BJ149" s="655"/>
      <c r="BK149" s="415"/>
      <c r="BL149" s="415"/>
      <c r="BM149" s="415"/>
      <c r="BN149" s="415"/>
      <c r="BO149" s="415"/>
      <c r="BP149" s="415"/>
      <c r="BQ149" s="415"/>
      <c r="BR149" s="415"/>
      <c r="BS149" s="415"/>
      <c r="BT149" s="415"/>
      <c r="BU149" s="655"/>
      <c r="BV149" s="415"/>
      <c r="BW149" s="415"/>
      <c r="BX149" s="415"/>
      <c r="BY149" s="655"/>
      <c r="BZ149" s="655"/>
      <c r="CA149" s="655"/>
      <c r="CB149" s="415"/>
      <c r="CC149" s="655"/>
      <c r="CD149" s="415"/>
      <c r="CE149" s="415"/>
      <c r="CF149" s="415"/>
      <c r="CG149" s="415"/>
      <c r="CH149" s="415"/>
      <c r="CI149" s="656"/>
      <c r="CJ149" s="416"/>
      <c r="CK149" s="656"/>
      <c r="CL149" s="416"/>
      <c r="CM149" s="656"/>
      <c r="CN149" s="416"/>
      <c r="CO149" s="416"/>
      <c r="CP149" s="416"/>
      <c r="CQ149" s="656"/>
      <c r="CR149" s="656"/>
      <c r="CS149" s="416"/>
      <c r="CT149" s="416"/>
      <c r="CU149" s="416"/>
      <c r="CV149" s="416"/>
      <c r="CW149" s="416"/>
      <c r="CX149" s="656"/>
      <c r="CY149" s="656"/>
      <c r="CZ149" s="416"/>
      <c r="DA149" s="416"/>
      <c r="DB149" s="416"/>
      <c r="DC149" s="416"/>
      <c r="DD149" s="416"/>
      <c r="DE149" s="416"/>
      <c r="DF149" s="416"/>
      <c r="DG149" s="416"/>
      <c r="DH149" s="416"/>
      <c r="DI149" s="416"/>
      <c r="DJ149" s="416"/>
      <c r="DK149" s="416"/>
      <c r="DL149" s="416"/>
      <c r="DM149" s="416"/>
      <c r="DN149" s="416"/>
      <c r="DO149" s="417"/>
    </row>
    <row r="150" spans="1:128">
      <c r="A150" s="406"/>
      <c r="B150" s="405"/>
      <c r="C150" s="408"/>
      <c r="D150" s="409"/>
      <c r="E150" s="409"/>
      <c r="F150" s="409"/>
      <c r="G150" s="409"/>
      <c r="H150" s="409"/>
      <c r="I150" s="409"/>
      <c r="J150" s="409"/>
      <c r="K150" s="409"/>
      <c r="L150" s="409"/>
      <c r="M150" s="409"/>
      <c r="N150" s="409"/>
      <c r="O150" s="409"/>
      <c r="P150" s="410"/>
      <c r="Q150" s="410"/>
      <c r="R150" s="410"/>
      <c r="S150" s="410"/>
      <c r="T150" s="360">
        <f>SUM(C150:O150)</f>
        <v>0</v>
      </c>
      <c r="U150" s="405"/>
      <c r="V150" s="405"/>
      <c r="W150" s="405"/>
      <c r="X150" s="408"/>
      <c r="Y150" s="408"/>
      <c r="Z150" s="408"/>
      <c r="AA150" s="408"/>
      <c r="AB150" s="408"/>
      <c r="AC150" s="408"/>
      <c r="AD150" s="408"/>
      <c r="AE150" s="408"/>
      <c r="AF150" s="408"/>
      <c r="AG150" s="408"/>
      <c r="AH150" s="408"/>
      <c r="AI150" s="408"/>
      <c r="AJ150" s="408"/>
      <c r="AK150" s="408"/>
      <c r="AL150" s="408"/>
      <c r="AM150" s="408"/>
      <c r="AN150" s="408"/>
      <c r="AO150" s="408"/>
      <c r="AP150" s="408"/>
      <c r="AQ150" s="408"/>
      <c r="AR150" s="408"/>
      <c r="AS150" s="412"/>
      <c r="AT150" s="413"/>
      <c r="AU150" s="405"/>
      <c r="AV150" s="408"/>
      <c r="AW150" s="408"/>
      <c r="AX150" s="412"/>
      <c r="AY150" s="413"/>
      <c r="AZ150" s="405"/>
      <c r="BA150" s="408"/>
      <c r="BB150" s="1183"/>
      <c r="BC150" s="413"/>
      <c r="BD150" s="414"/>
      <c r="BE150" s="415"/>
      <c r="BF150" s="415"/>
      <c r="BG150" s="415"/>
      <c r="BH150" s="415"/>
      <c r="BI150" s="415"/>
      <c r="BJ150" s="655"/>
      <c r="BK150" s="415"/>
      <c r="BL150" s="415"/>
      <c r="BM150" s="415"/>
      <c r="BN150" s="415"/>
      <c r="BO150" s="415"/>
      <c r="BP150" s="415"/>
      <c r="BQ150" s="415"/>
      <c r="BR150" s="415"/>
      <c r="BS150" s="415"/>
      <c r="BT150" s="415"/>
      <c r="BU150" s="655"/>
      <c r="BV150" s="415"/>
      <c r="BW150" s="415"/>
      <c r="BX150" s="415"/>
      <c r="BY150" s="655"/>
      <c r="BZ150" s="655"/>
      <c r="CA150" s="655"/>
      <c r="CB150" s="415"/>
      <c r="CC150" s="655"/>
      <c r="CD150" s="415"/>
      <c r="CE150" s="415"/>
      <c r="CF150" s="415"/>
      <c r="CG150" s="415"/>
      <c r="CH150" s="415"/>
      <c r="CI150" s="656"/>
      <c r="CJ150" s="416"/>
      <c r="CK150" s="656"/>
      <c r="CL150" s="416"/>
      <c r="CM150" s="656"/>
      <c r="CN150" s="416"/>
      <c r="CO150" s="416"/>
      <c r="CP150" s="416"/>
      <c r="CQ150" s="656"/>
      <c r="CR150" s="656"/>
      <c r="CS150" s="416"/>
      <c r="CT150" s="416"/>
      <c r="CU150" s="416"/>
      <c r="CV150" s="416"/>
      <c r="CW150" s="416"/>
      <c r="CX150" s="656"/>
      <c r="CY150" s="656"/>
      <c r="CZ150" s="416"/>
      <c r="DA150" s="416"/>
      <c r="DB150" s="416"/>
      <c r="DC150" s="416"/>
      <c r="DD150" s="416"/>
      <c r="DE150" s="416"/>
      <c r="DF150" s="416"/>
      <c r="DG150" s="416"/>
      <c r="DH150" s="416"/>
      <c r="DI150" s="416"/>
      <c r="DJ150" s="416"/>
      <c r="DK150" s="416"/>
      <c r="DL150" s="416"/>
      <c r="DM150" s="416"/>
      <c r="DN150" s="416"/>
      <c r="DO150" s="417"/>
    </row>
    <row r="151" spans="1:128">
      <c r="A151" s="406"/>
      <c r="B151" s="405"/>
      <c r="C151" s="408"/>
      <c r="D151" s="409"/>
      <c r="E151" s="409"/>
      <c r="F151" s="409"/>
      <c r="G151" s="409"/>
      <c r="H151" s="409"/>
      <c r="I151" s="409"/>
      <c r="J151" s="409"/>
      <c r="K151" s="409"/>
      <c r="L151" s="409"/>
      <c r="M151" s="409"/>
      <c r="N151" s="409"/>
      <c r="O151" s="409"/>
      <c r="P151" s="410"/>
      <c r="Q151" s="410"/>
      <c r="R151" s="410"/>
      <c r="S151" s="410"/>
      <c r="T151" s="411"/>
      <c r="U151" s="405"/>
      <c r="V151" s="405"/>
      <c r="W151" s="405"/>
      <c r="X151" s="408"/>
      <c r="Y151" s="408"/>
      <c r="Z151" s="408"/>
      <c r="AA151" s="408"/>
      <c r="AB151" s="408"/>
      <c r="AC151" s="408"/>
      <c r="AD151" s="408"/>
      <c r="AE151" s="408"/>
      <c r="AF151" s="408"/>
      <c r="AG151" s="408"/>
      <c r="AH151" s="408"/>
      <c r="AI151" s="408"/>
      <c r="AJ151" s="408"/>
      <c r="AK151" s="408"/>
      <c r="AL151" s="408"/>
      <c r="AM151" s="408"/>
      <c r="AN151" s="408"/>
      <c r="AO151" s="408"/>
      <c r="AP151" s="408"/>
      <c r="AQ151" s="408"/>
      <c r="AR151" s="408"/>
      <c r="AS151" s="412"/>
      <c r="AT151" s="413"/>
      <c r="AU151" s="405"/>
      <c r="AV151" s="408"/>
      <c r="AW151" s="408"/>
      <c r="AX151" s="412"/>
      <c r="AY151" s="413"/>
      <c r="AZ151" s="405"/>
      <c r="BA151" s="408"/>
      <c r="BB151" s="1183"/>
      <c r="BC151" s="413"/>
      <c r="BD151" s="414"/>
      <c r="BE151" s="415"/>
      <c r="BF151" s="415"/>
      <c r="BG151" s="415"/>
      <c r="BH151" s="415"/>
      <c r="BI151" s="415"/>
      <c r="BJ151" s="655"/>
      <c r="BK151" s="415"/>
      <c r="BL151" s="415"/>
      <c r="BM151" s="415"/>
      <c r="BN151" s="415"/>
      <c r="BO151" s="415"/>
      <c r="BP151" s="415"/>
      <c r="BQ151" s="415"/>
      <c r="BR151" s="415"/>
      <c r="BS151" s="415"/>
      <c r="BT151" s="415"/>
      <c r="BU151" s="655"/>
      <c r="BV151" s="415"/>
      <c r="BW151" s="415"/>
      <c r="BX151" s="415"/>
      <c r="BY151" s="655"/>
      <c r="BZ151" s="655"/>
      <c r="CA151" s="655"/>
      <c r="CB151" s="415"/>
      <c r="CC151" s="655"/>
      <c r="CD151" s="415"/>
      <c r="CE151" s="415"/>
      <c r="CF151" s="415"/>
      <c r="CG151" s="415"/>
      <c r="CH151" s="415"/>
      <c r="CI151" s="656"/>
      <c r="CJ151" s="416"/>
      <c r="CK151" s="656"/>
      <c r="CL151" s="416"/>
      <c r="CM151" s="656"/>
      <c r="CN151" s="416"/>
      <c r="CO151" s="416"/>
      <c r="CP151" s="416"/>
      <c r="CQ151" s="656"/>
      <c r="CR151" s="656"/>
      <c r="CS151" s="416"/>
      <c r="CT151" s="416"/>
      <c r="CU151" s="416"/>
      <c r="CV151" s="416"/>
      <c r="CW151" s="416"/>
      <c r="CX151" s="656"/>
      <c r="CY151" s="656"/>
      <c r="CZ151" s="416"/>
      <c r="DA151" s="416"/>
      <c r="DB151" s="416"/>
      <c r="DC151" s="416"/>
      <c r="DD151" s="416"/>
      <c r="DE151" s="416"/>
      <c r="DF151" s="416"/>
      <c r="DG151" s="416"/>
      <c r="DH151" s="416"/>
      <c r="DI151" s="416"/>
      <c r="DJ151" s="416"/>
      <c r="DK151" s="416"/>
      <c r="DL151" s="416"/>
      <c r="DM151" s="416"/>
      <c r="DN151" s="416"/>
      <c r="DO151" s="417"/>
    </row>
    <row r="152" spans="1:128">
      <c r="A152" s="406"/>
      <c r="B152" s="405"/>
      <c r="C152" s="408"/>
      <c r="D152" s="409"/>
      <c r="E152" s="409"/>
      <c r="F152" s="409"/>
      <c r="G152" s="409"/>
      <c r="H152" s="409"/>
      <c r="I152" s="409"/>
      <c r="J152" s="409"/>
      <c r="K152" s="409"/>
      <c r="L152" s="409"/>
      <c r="M152" s="409"/>
      <c r="N152" s="409"/>
      <c r="O152" s="409"/>
      <c r="P152" s="410"/>
      <c r="Q152" s="410"/>
      <c r="R152" s="410"/>
      <c r="S152" s="410"/>
      <c r="T152" s="411"/>
      <c r="U152" s="405"/>
      <c r="V152" s="405"/>
      <c r="W152" s="405"/>
      <c r="X152" s="408"/>
      <c r="Y152" s="408"/>
      <c r="Z152" s="408"/>
      <c r="AA152" s="408"/>
      <c r="AB152" s="408"/>
      <c r="AC152" s="408"/>
      <c r="AD152" s="408"/>
      <c r="AE152" s="408"/>
      <c r="AF152" s="408"/>
      <c r="AG152" s="408"/>
      <c r="AH152" s="408"/>
      <c r="AI152" s="408"/>
      <c r="AJ152" s="408"/>
      <c r="AK152" s="408"/>
      <c r="AL152" s="408"/>
      <c r="AM152" s="408"/>
      <c r="AN152" s="408"/>
      <c r="AO152" s="408"/>
      <c r="AP152" s="408"/>
      <c r="AQ152" s="408"/>
      <c r="AR152" s="408"/>
      <c r="AS152" s="412"/>
      <c r="AT152" s="413"/>
      <c r="AU152" s="405"/>
      <c r="AV152" s="408"/>
      <c r="AW152" s="408"/>
      <c r="AX152" s="412"/>
      <c r="AY152" s="413"/>
      <c r="AZ152" s="405"/>
      <c r="BA152" s="408"/>
      <c r="BB152" s="1183"/>
      <c r="BC152" s="413"/>
      <c r="BD152" s="414"/>
      <c r="BE152" s="415"/>
      <c r="BF152" s="415"/>
      <c r="BG152" s="415"/>
      <c r="BH152" s="415"/>
      <c r="BI152" s="415"/>
      <c r="BJ152" s="655"/>
      <c r="BK152" s="415"/>
      <c r="BL152" s="415"/>
      <c r="BM152" s="415"/>
      <c r="BN152" s="415"/>
      <c r="BO152" s="415"/>
      <c r="BP152" s="415"/>
      <c r="BQ152" s="415"/>
      <c r="BR152" s="415"/>
      <c r="BS152" s="415"/>
      <c r="BT152" s="415"/>
      <c r="BU152" s="655"/>
      <c r="BV152" s="415"/>
      <c r="BW152" s="415"/>
      <c r="BX152" s="415"/>
      <c r="BY152" s="655"/>
      <c r="BZ152" s="655"/>
      <c r="CA152" s="655"/>
      <c r="CB152" s="415"/>
      <c r="CC152" s="655"/>
      <c r="CD152" s="415"/>
      <c r="CE152" s="415"/>
      <c r="CF152" s="415"/>
      <c r="CG152" s="415"/>
      <c r="CH152" s="415"/>
      <c r="CI152" s="656"/>
      <c r="CJ152" s="416"/>
      <c r="CK152" s="656"/>
      <c r="CL152" s="416"/>
      <c r="CM152" s="656"/>
      <c r="CN152" s="416"/>
      <c r="CO152" s="416"/>
      <c r="CP152" s="416"/>
      <c r="CQ152" s="656"/>
      <c r="CR152" s="656"/>
      <c r="CS152" s="416"/>
      <c r="CT152" s="416"/>
      <c r="CU152" s="416"/>
      <c r="CV152" s="416"/>
      <c r="CW152" s="416"/>
      <c r="CX152" s="656"/>
      <c r="CY152" s="656"/>
      <c r="CZ152" s="416"/>
      <c r="DA152" s="416"/>
      <c r="DB152" s="416"/>
      <c r="DC152" s="416"/>
      <c r="DD152" s="416"/>
      <c r="DE152" s="416"/>
      <c r="DF152" s="416"/>
      <c r="DG152" s="416"/>
      <c r="DH152" s="416"/>
      <c r="DI152" s="416"/>
      <c r="DJ152" s="416"/>
      <c r="DK152" s="416"/>
      <c r="DL152" s="416"/>
      <c r="DM152" s="416"/>
      <c r="DN152" s="416"/>
      <c r="DO152" s="417"/>
    </row>
    <row r="153" spans="1:128" ht="18.75">
      <c r="A153" s="406"/>
      <c r="B153" s="385" t="s">
        <v>182</v>
      </c>
      <c r="C153" s="386">
        <f t="shared" ref="C153:AK153" si="33">SUM(C101:C152)</f>
        <v>88</v>
      </c>
      <c r="D153" s="386">
        <f t="shared" si="33"/>
        <v>1527</v>
      </c>
      <c r="E153" s="386">
        <f t="shared" si="33"/>
        <v>161</v>
      </c>
      <c r="F153" s="386">
        <f t="shared" si="33"/>
        <v>0</v>
      </c>
      <c r="G153" s="386">
        <f t="shared" si="33"/>
        <v>0</v>
      </c>
      <c r="H153" s="386">
        <f t="shared" si="33"/>
        <v>118</v>
      </c>
      <c r="I153" s="386">
        <f t="shared" si="33"/>
        <v>0</v>
      </c>
      <c r="J153" s="386">
        <f t="shared" si="33"/>
        <v>0</v>
      </c>
      <c r="K153" s="386">
        <f t="shared" si="33"/>
        <v>0</v>
      </c>
      <c r="L153" s="386">
        <f t="shared" si="33"/>
        <v>0</v>
      </c>
      <c r="M153" s="386">
        <f t="shared" si="33"/>
        <v>0</v>
      </c>
      <c r="N153" s="386">
        <f t="shared" si="33"/>
        <v>0</v>
      </c>
      <c r="O153" s="386">
        <f t="shared" si="33"/>
        <v>0</v>
      </c>
      <c r="P153" s="386">
        <f t="shared" si="33"/>
        <v>0</v>
      </c>
      <c r="Q153" s="386">
        <f t="shared" si="33"/>
        <v>0</v>
      </c>
      <c r="R153" s="386">
        <f t="shared" si="33"/>
        <v>0</v>
      </c>
      <c r="S153" s="386">
        <f t="shared" si="33"/>
        <v>0</v>
      </c>
      <c r="T153" s="388">
        <f t="shared" si="33"/>
        <v>161</v>
      </c>
      <c r="U153" s="389">
        <f t="shared" si="33"/>
        <v>2426</v>
      </c>
      <c r="V153" s="389">
        <f t="shared" si="33"/>
        <v>153</v>
      </c>
      <c r="W153" s="389">
        <f t="shared" si="33"/>
        <v>0</v>
      </c>
      <c r="X153" s="389">
        <f t="shared" si="33"/>
        <v>0</v>
      </c>
      <c r="Y153" s="389">
        <f t="shared" si="33"/>
        <v>0</v>
      </c>
      <c r="Z153" s="389">
        <f t="shared" si="33"/>
        <v>0</v>
      </c>
      <c r="AA153" s="748"/>
      <c r="AB153" s="748"/>
      <c r="AC153" s="389">
        <f t="shared" si="33"/>
        <v>642</v>
      </c>
      <c r="AD153" s="389">
        <f t="shared" si="33"/>
        <v>3680</v>
      </c>
      <c r="AE153" s="389">
        <f t="shared" si="33"/>
        <v>0</v>
      </c>
      <c r="AF153" s="389">
        <f t="shared" si="33"/>
        <v>0</v>
      </c>
      <c r="AG153" s="389">
        <f t="shared" si="33"/>
        <v>343</v>
      </c>
      <c r="AH153" s="389">
        <f t="shared" si="33"/>
        <v>0</v>
      </c>
      <c r="AI153" s="389">
        <f t="shared" si="33"/>
        <v>0</v>
      </c>
      <c r="AJ153" s="389">
        <f t="shared" si="33"/>
        <v>0</v>
      </c>
      <c r="AK153" s="389">
        <f t="shared" si="33"/>
        <v>0</v>
      </c>
      <c r="AL153" s="389">
        <f t="shared" ref="AL153:BR153" si="34">SUM(AL101:AL152)</f>
        <v>0</v>
      </c>
      <c r="AM153" s="389">
        <f t="shared" si="34"/>
        <v>0</v>
      </c>
      <c r="AN153" s="389">
        <f t="shared" si="34"/>
        <v>0</v>
      </c>
      <c r="AO153" s="389">
        <f t="shared" si="34"/>
        <v>0</v>
      </c>
      <c r="AP153" s="389">
        <f t="shared" si="34"/>
        <v>0</v>
      </c>
      <c r="AQ153" s="389">
        <f t="shared" si="34"/>
        <v>510.5</v>
      </c>
      <c r="AR153" s="389">
        <f t="shared" si="34"/>
        <v>13.1</v>
      </c>
      <c r="AS153" s="389">
        <f t="shared" si="34"/>
        <v>0</v>
      </c>
      <c r="AT153" s="388">
        <f t="shared" si="34"/>
        <v>395.3</v>
      </c>
      <c r="AU153" s="389">
        <f t="shared" si="34"/>
        <v>880</v>
      </c>
      <c r="AV153" s="389">
        <f t="shared" si="34"/>
        <v>161</v>
      </c>
      <c r="AW153" s="389">
        <f t="shared" si="34"/>
        <v>707</v>
      </c>
      <c r="AX153" s="389">
        <f t="shared" si="34"/>
        <v>0</v>
      </c>
      <c r="AY153" s="388">
        <f t="shared" si="34"/>
        <v>0</v>
      </c>
      <c r="AZ153" s="389">
        <f>SUM(AZ101:AZ152)</f>
        <v>3077</v>
      </c>
      <c r="BA153" s="389">
        <f t="shared" si="34"/>
        <v>642</v>
      </c>
      <c r="BB153" s="389">
        <f t="shared" si="34"/>
        <v>0</v>
      </c>
      <c r="BC153" s="388">
        <f t="shared" si="34"/>
        <v>1748</v>
      </c>
      <c r="BD153" s="389">
        <f t="shared" si="34"/>
        <v>0</v>
      </c>
      <c r="BE153" s="389">
        <f t="shared" si="34"/>
        <v>1</v>
      </c>
      <c r="BF153" s="389">
        <f t="shared" si="34"/>
        <v>1</v>
      </c>
      <c r="BG153" s="389">
        <f t="shared" si="34"/>
        <v>0</v>
      </c>
      <c r="BH153" s="389">
        <f t="shared" si="34"/>
        <v>1</v>
      </c>
      <c r="BI153" s="389">
        <f t="shared" si="34"/>
        <v>0</v>
      </c>
      <c r="BJ153" s="389">
        <f t="shared" si="34"/>
        <v>1</v>
      </c>
      <c r="BK153" s="389">
        <f t="shared" si="34"/>
        <v>0</v>
      </c>
      <c r="BL153" s="389">
        <f t="shared" si="34"/>
        <v>0</v>
      </c>
      <c r="BM153" s="389">
        <f t="shared" si="34"/>
        <v>0</v>
      </c>
      <c r="BN153" s="389">
        <f t="shared" si="34"/>
        <v>1</v>
      </c>
      <c r="BO153" s="389">
        <f t="shared" si="34"/>
        <v>1</v>
      </c>
      <c r="BP153" s="389">
        <f t="shared" si="34"/>
        <v>4</v>
      </c>
      <c r="BQ153" s="389">
        <f t="shared" si="34"/>
        <v>1</v>
      </c>
      <c r="BR153" s="389">
        <f t="shared" si="34"/>
        <v>2</v>
      </c>
      <c r="BS153" s="389">
        <f t="shared" ref="BS153:CX153" si="35">SUM(BS101:BS152)</f>
        <v>28</v>
      </c>
      <c r="BT153" s="389">
        <f t="shared" si="35"/>
        <v>0</v>
      </c>
      <c r="BU153" s="389">
        <f t="shared" si="35"/>
        <v>0</v>
      </c>
      <c r="BV153" s="389">
        <f t="shared" si="35"/>
        <v>1</v>
      </c>
      <c r="BW153" s="389">
        <f t="shared" si="35"/>
        <v>0</v>
      </c>
      <c r="BX153" s="389">
        <f t="shared" si="35"/>
        <v>0</v>
      </c>
      <c r="BY153" s="389">
        <f t="shared" si="35"/>
        <v>0</v>
      </c>
      <c r="BZ153" s="389">
        <f t="shared" si="35"/>
        <v>0</v>
      </c>
      <c r="CA153" s="389">
        <f t="shared" si="35"/>
        <v>0</v>
      </c>
      <c r="CB153" s="389">
        <f t="shared" si="35"/>
        <v>17</v>
      </c>
      <c r="CC153" s="389">
        <f t="shared" si="35"/>
        <v>0</v>
      </c>
      <c r="CD153" s="389">
        <f t="shared" si="35"/>
        <v>0</v>
      </c>
      <c r="CE153" s="389">
        <f t="shared" si="35"/>
        <v>0</v>
      </c>
      <c r="CF153" s="389">
        <f t="shared" si="35"/>
        <v>0</v>
      </c>
      <c r="CG153" s="389">
        <f t="shared" si="35"/>
        <v>1</v>
      </c>
      <c r="CH153" s="389">
        <f t="shared" si="35"/>
        <v>0</v>
      </c>
      <c r="CI153" s="389">
        <f t="shared" si="35"/>
        <v>0</v>
      </c>
      <c r="CJ153" s="389">
        <f t="shared" si="35"/>
        <v>0</v>
      </c>
      <c r="CK153" s="389">
        <f t="shared" si="35"/>
        <v>6</v>
      </c>
      <c r="CL153" s="389">
        <f t="shared" si="35"/>
        <v>0</v>
      </c>
      <c r="CM153" s="389">
        <f t="shared" si="35"/>
        <v>1</v>
      </c>
      <c r="CN153" s="389">
        <f t="shared" si="35"/>
        <v>4</v>
      </c>
      <c r="CO153" s="389">
        <f t="shared" si="35"/>
        <v>4</v>
      </c>
      <c r="CP153" s="389">
        <f t="shared" si="35"/>
        <v>0</v>
      </c>
      <c r="CQ153" s="389">
        <f t="shared" si="35"/>
        <v>1</v>
      </c>
      <c r="CR153" s="389">
        <f t="shared" si="35"/>
        <v>0</v>
      </c>
      <c r="CS153" s="389">
        <f t="shared" si="35"/>
        <v>4</v>
      </c>
      <c r="CT153" s="389">
        <f t="shared" si="35"/>
        <v>0</v>
      </c>
      <c r="CU153" s="389">
        <f t="shared" si="35"/>
        <v>1</v>
      </c>
      <c r="CV153" s="389">
        <f t="shared" si="35"/>
        <v>1</v>
      </c>
      <c r="CW153" s="389">
        <f t="shared" si="35"/>
        <v>1</v>
      </c>
      <c r="CX153" s="389">
        <f t="shared" si="35"/>
        <v>0</v>
      </c>
      <c r="CY153" s="389">
        <f t="shared" ref="CY153:DO153" si="36">SUM(CY101:CY152)</f>
        <v>4</v>
      </c>
      <c r="CZ153" s="389">
        <f t="shared" si="36"/>
        <v>0</v>
      </c>
      <c r="DA153" s="389">
        <f t="shared" si="36"/>
        <v>0</v>
      </c>
      <c r="DB153" s="389">
        <f t="shared" si="36"/>
        <v>0</v>
      </c>
      <c r="DC153" s="389">
        <f t="shared" si="36"/>
        <v>0</v>
      </c>
      <c r="DD153" s="389">
        <f t="shared" si="36"/>
        <v>0</v>
      </c>
      <c r="DE153" s="389">
        <f t="shared" si="36"/>
        <v>0</v>
      </c>
      <c r="DF153" s="389">
        <f t="shared" si="36"/>
        <v>0</v>
      </c>
      <c r="DG153" s="389">
        <f t="shared" si="36"/>
        <v>0</v>
      </c>
      <c r="DH153" s="389">
        <f t="shared" si="36"/>
        <v>0</v>
      </c>
      <c r="DI153" s="389">
        <f t="shared" si="36"/>
        <v>0</v>
      </c>
      <c r="DJ153" s="389">
        <f t="shared" si="36"/>
        <v>0</v>
      </c>
      <c r="DK153" s="389">
        <f t="shared" si="36"/>
        <v>0</v>
      </c>
      <c r="DL153" s="389">
        <f t="shared" si="36"/>
        <v>0</v>
      </c>
      <c r="DM153" s="389">
        <f t="shared" si="36"/>
        <v>0</v>
      </c>
      <c r="DN153" s="389">
        <f t="shared" si="36"/>
        <v>0</v>
      </c>
      <c r="DO153" s="388">
        <f t="shared" si="36"/>
        <v>0</v>
      </c>
    </row>
    <row r="154" spans="1:128">
      <c r="A154" s="406"/>
      <c r="B154" s="405"/>
      <c r="C154" s="408"/>
      <c r="D154" s="409"/>
      <c r="E154" s="409"/>
      <c r="F154" s="409"/>
      <c r="G154" s="409"/>
      <c r="H154" s="409"/>
      <c r="I154" s="409"/>
      <c r="J154" s="409"/>
      <c r="K154" s="409"/>
      <c r="L154" s="409"/>
      <c r="M154" s="409"/>
      <c r="N154" s="409"/>
      <c r="O154" s="409"/>
      <c r="P154" s="410"/>
      <c r="Q154" s="410"/>
      <c r="R154" s="410"/>
      <c r="S154" s="410"/>
      <c r="T154" s="411"/>
      <c r="U154" s="405"/>
      <c r="V154" s="405"/>
      <c r="W154" s="405"/>
      <c r="X154" s="408"/>
      <c r="Y154" s="408"/>
      <c r="Z154" s="408"/>
      <c r="AA154" s="408"/>
      <c r="AB154" s="408"/>
      <c r="AC154" s="408"/>
      <c r="AD154" s="408"/>
      <c r="AE154" s="408"/>
      <c r="AF154" s="408"/>
      <c r="AG154" s="408"/>
      <c r="AH154" s="408"/>
      <c r="AI154" s="408"/>
      <c r="AJ154" s="408"/>
      <c r="AK154" s="408"/>
      <c r="AL154" s="408"/>
      <c r="AM154" s="408"/>
      <c r="AN154" s="408"/>
      <c r="AO154" s="408"/>
      <c r="AP154" s="408"/>
      <c r="AQ154" s="408"/>
      <c r="AR154" s="408"/>
      <c r="AS154" s="412"/>
      <c r="AT154" s="413"/>
      <c r="AU154" s="405"/>
      <c r="AV154" s="408"/>
      <c r="AW154" s="408"/>
      <c r="AX154" s="412"/>
      <c r="AY154" s="413"/>
      <c r="AZ154" s="405"/>
      <c r="BA154" s="408"/>
      <c r="BB154" s="1183"/>
      <c r="BC154" s="413"/>
      <c r="BD154" s="414"/>
      <c r="BE154" s="415"/>
      <c r="BF154" s="415"/>
      <c r="BG154" s="415"/>
      <c r="BH154" s="415"/>
      <c r="BI154" s="415"/>
      <c r="BJ154" s="655"/>
      <c r="BK154" s="415"/>
      <c r="BL154" s="415"/>
      <c r="BM154" s="415"/>
      <c r="BN154" s="415"/>
      <c r="BO154" s="415"/>
      <c r="BP154" s="415"/>
      <c r="BQ154" s="415"/>
      <c r="BR154" s="415"/>
      <c r="BS154" s="415"/>
      <c r="BT154" s="415"/>
      <c r="BU154" s="655"/>
      <c r="BV154" s="415"/>
      <c r="BW154" s="415"/>
      <c r="BX154" s="415"/>
      <c r="BY154" s="655"/>
      <c r="BZ154" s="655"/>
      <c r="CA154" s="655"/>
      <c r="CB154" s="415"/>
      <c r="CC154" s="655"/>
      <c r="CD154" s="415"/>
      <c r="CE154" s="415"/>
      <c r="CF154" s="415"/>
      <c r="CG154" s="415"/>
      <c r="CH154" s="415"/>
      <c r="CI154" s="656"/>
      <c r="CJ154" s="416"/>
      <c r="CK154" s="656"/>
      <c r="CL154" s="416"/>
      <c r="CM154" s="656"/>
      <c r="CN154" s="416"/>
      <c r="CO154" s="416"/>
      <c r="CP154" s="416"/>
      <c r="CQ154" s="656"/>
      <c r="CR154" s="656"/>
      <c r="CS154" s="416"/>
      <c r="CT154" s="416"/>
      <c r="CU154" s="416"/>
      <c r="CV154" s="416"/>
      <c r="CW154" s="416"/>
      <c r="CX154" s="656"/>
      <c r="CY154" s="656"/>
      <c r="CZ154" s="416"/>
      <c r="DA154" s="416"/>
      <c r="DB154" s="416"/>
      <c r="DC154" s="416"/>
      <c r="DD154" s="416"/>
      <c r="DE154" s="416"/>
      <c r="DF154" s="416"/>
      <c r="DG154" s="416"/>
      <c r="DH154" s="416"/>
      <c r="DI154" s="416"/>
      <c r="DJ154" s="416"/>
      <c r="DK154" s="416"/>
      <c r="DL154" s="416"/>
      <c r="DM154" s="416"/>
      <c r="DN154" s="416"/>
      <c r="DO154" s="417"/>
    </row>
    <row r="155" spans="1:128">
      <c r="A155" s="406"/>
      <c r="B155" s="394" t="s">
        <v>259</v>
      </c>
      <c r="C155" s="408"/>
      <c r="D155" s="409"/>
      <c r="E155" s="409"/>
      <c r="F155" s="409"/>
      <c r="G155" s="409"/>
      <c r="H155" s="409"/>
      <c r="I155" s="409"/>
      <c r="J155" s="409"/>
      <c r="K155" s="409"/>
      <c r="L155" s="409"/>
      <c r="M155" s="409"/>
      <c r="N155" s="409"/>
      <c r="O155" s="409"/>
      <c r="P155" s="410"/>
      <c r="Q155" s="410"/>
      <c r="R155" s="410"/>
      <c r="S155" s="410"/>
      <c r="T155" s="411"/>
      <c r="U155" s="405"/>
      <c r="V155" s="405"/>
      <c r="W155" s="405"/>
      <c r="X155" s="408"/>
      <c r="Y155" s="408"/>
      <c r="Z155" s="408"/>
      <c r="AA155" s="408"/>
      <c r="AB155" s="408"/>
      <c r="AC155" s="408"/>
      <c r="AD155" s="408"/>
      <c r="AE155" s="408"/>
      <c r="AF155" s="408"/>
      <c r="AG155" s="408"/>
      <c r="AH155" s="408"/>
      <c r="AI155" s="408"/>
      <c r="AJ155" s="408"/>
      <c r="AK155" s="408"/>
      <c r="AL155" s="408"/>
      <c r="AM155" s="408"/>
      <c r="AN155" s="408"/>
      <c r="AO155" s="408"/>
      <c r="AP155" s="408"/>
      <c r="AQ155" s="408"/>
      <c r="AR155" s="408"/>
      <c r="AS155" s="412"/>
      <c r="AT155" s="413"/>
      <c r="AU155" s="405"/>
      <c r="AV155" s="408"/>
      <c r="AW155" s="408"/>
      <c r="AX155" s="412"/>
      <c r="AY155" s="413"/>
      <c r="AZ155" s="405"/>
      <c r="BA155" s="408"/>
      <c r="BB155" s="1183"/>
      <c r="BC155" s="413"/>
      <c r="BD155" s="414"/>
      <c r="BE155" s="415"/>
      <c r="BF155" s="415"/>
      <c r="BG155" s="415"/>
      <c r="BH155" s="415"/>
      <c r="BI155" s="415"/>
      <c r="BJ155" s="655"/>
      <c r="BK155" s="415"/>
      <c r="BL155" s="415"/>
      <c r="BM155" s="415"/>
      <c r="BN155" s="415"/>
      <c r="BO155" s="415"/>
      <c r="BP155" s="415"/>
      <c r="BQ155" s="415"/>
      <c r="BR155" s="415"/>
      <c r="BS155" s="415"/>
      <c r="BT155" s="415"/>
      <c r="BU155" s="655"/>
      <c r="BV155" s="415"/>
      <c r="BW155" s="415"/>
      <c r="BX155" s="415"/>
      <c r="BY155" s="655"/>
      <c r="BZ155" s="655"/>
      <c r="CA155" s="655"/>
      <c r="CB155" s="415"/>
      <c r="CC155" s="655"/>
      <c r="CD155" s="415"/>
      <c r="CE155" s="415"/>
      <c r="CF155" s="415"/>
      <c r="CG155" s="415"/>
      <c r="CH155" s="415"/>
      <c r="CI155" s="656"/>
      <c r="CJ155" s="416"/>
      <c r="CK155" s="656"/>
      <c r="CL155" s="416"/>
      <c r="CM155" s="656"/>
      <c r="CN155" s="416"/>
      <c r="CO155" s="416"/>
      <c r="CP155" s="416"/>
      <c r="CQ155" s="656"/>
      <c r="CR155" s="656"/>
      <c r="CS155" s="416"/>
      <c r="CT155" s="416"/>
      <c r="CU155" s="416"/>
      <c r="CV155" s="416"/>
      <c r="CW155" s="416"/>
      <c r="CX155" s="656"/>
      <c r="CY155" s="656"/>
      <c r="CZ155" s="416"/>
      <c r="DA155" s="416"/>
      <c r="DB155" s="416"/>
      <c r="DC155" s="416"/>
      <c r="DD155" s="416"/>
      <c r="DE155" s="416"/>
      <c r="DF155" s="416"/>
      <c r="DG155" s="416"/>
      <c r="DH155" s="416"/>
      <c r="DI155" s="416"/>
      <c r="DJ155" s="416"/>
      <c r="DK155" s="416"/>
      <c r="DL155" s="416"/>
      <c r="DM155" s="416"/>
      <c r="DN155" s="416"/>
      <c r="DO155" s="417"/>
    </row>
    <row r="156" spans="1:128">
      <c r="A156" s="406"/>
      <c r="B156" s="405"/>
      <c r="C156" s="408"/>
      <c r="D156" s="409"/>
      <c r="E156" s="409"/>
      <c r="F156" s="409"/>
      <c r="G156" s="409"/>
      <c r="H156" s="409"/>
      <c r="I156" s="409"/>
      <c r="J156" s="409"/>
      <c r="K156" s="409"/>
      <c r="L156" s="409"/>
      <c r="M156" s="409"/>
      <c r="N156" s="409"/>
      <c r="O156" s="409"/>
      <c r="P156" s="410"/>
      <c r="Q156" s="410"/>
      <c r="R156" s="410"/>
      <c r="S156" s="410"/>
      <c r="T156" s="411"/>
      <c r="U156" s="405"/>
      <c r="V156" s="405"/>
      <c r="W156" s="405"/>
      <c r="X156" s="408"/>
      <c r="Y156" s="408"/>
      <c r="Z156" s="408"/>
      <c r="AA156" s="408"/>
      <c r="AB156" s="408"/>
      <c r="AC156" s="408"/>
      <c r="AD156" s="408"/>
      <c r="AE156" s="408"/>
      <c r="AF156" s="408"/>
      <c r="AG156" s="408"/>
      <c r="AH156" s="408"/>
      <c r="AI156" s="408"/>
      <c r="AJ156" s="408"/>
      <c r="AK156" s="408"/>
      <c r="AL156" s="408"/>
      <c r="AM156" s="408"/>
      <c r="AN156" s="408"/>
      <c r="AO156" s="408"/>
      <c r="AP156" s="408"/>
      <c r="AQ156" s="408"/>
      <c r="AR156" s="408"/>
      <c r="AS156" s="412"/>
      <c r="AT156" s="413"/>
      <c r="AU156" s="405"/>
      <c r="AV156" s="408"/>
      <c r="AW156" s="408"/>
      <c r="AX156" s="412"/>
      <c r="AY156" s="413"/>
      <c r="AZ156" s="405"/>
      <c r="BA156" s="408"/>
      <c r="BB156" s="1183"/>
      <c r="BC156" s="413"/>
      <c r="BD156" s="414"/>
      <c r="BE156" s="415"/>
      <c r="BF156" s="415"/>
      <c r="BG156" s="415"/>
      <c r="BH156" s="415"/>
      <c r="BI156" s="415"/>
      <c r="BJ156" s="655"/>
      <c r="BK156" s="415"/>
      <c r="BL156" s="415"/>
      <c r="BM156" s="415"/>
      <c r="BN156" s="415"/>
      <c r="BO156" s="415"/>
      <c r="BP156" s="415"/>
      <c r="BQ156" s="415"/>
      <c r="BR156" s="415"/>
      <c r="BS156" s="415"/>
      <c r="BT156" s="415"/>
      <c r="BU156" s="655"/>
      <c r="BV156" s="415"/>
      <c r="BW156" s="415"/>
      <c r="BX156" s="415"/>
      <c r="BY156" s="655"/>
      <c r="BZ156" s="655"/>
      <c r="CA156" s="655"/>
      <c r="CB156" s="415"/>
      <c r="CC156" s="655"/>
      <c r="CD156" s="415"/>
      <c r="CE156" s="415"/>
      <c r="CF156" s="415"/>
      <c r="CG156" s="415"/>
      <c r="CH156" s="415"/>
      <c r="CI156" s="656"/>
      <c r="CJ156" s="416"/>
      <c r="CK156" s="656"/>
      <c r="CL156" s="416"/>
      <c r="CM156" s="656"/>
      <c r="CN156" s="416"/>
      <c r="CO156" s="416"/>
      <c r="CP156" s="416"/>
      <c r="CQ156" s="656"/>
      <c r="CR156" s="656"/>
      <c r="CS156" s="416"/>
      <c r="CT156" s="416"/>
      <c r="CU156" s="416"/>
      <c r="CV156" s="416"/>
      <c r="CW156" s="416"/>
      <c r="CX156" s="656"/>
      <c r="CY156" s="656"/>
      <c r="CZ156" s="416"/>
      <c r="DA156" s="416"/>
      <c r="DB156" s="416"/>
      <c r="DC156" s="416"/>
      <c r="DD156" s="416"/>
      <c r="DE156" s="416"/>
      <c r="DF156" s="416"/>
      <c r="DG156" s="416"/>
      <c r="DH156" s="416"/>
      <c r="DI156" s="416"/>
      <c r="DJ156" s="416"/>
      <c r="DK156" s="416"/>
      <c r="DL156" s="416"/>
      <c r="DM156" s="416"/>
      <c r="DN156" s="416"/>
      <c r="DO156" s="383"/>
    </row>
    <row r="157" spans="1:128" s="63" customFormat="1">
      <c r="A157" s="376"/>
      <c r="B157" s="374" t="s">
        <v>402</v>
      </c>
      <c r="C157" s="357"/>
      <c r="D157" s="375"/>
      <c r="E157" s="357"/>
      <c r="F157" s="357"/>
      <c r="G157" s="357"/>
      <c r="H157" s="357">
        <v>2177</v>
      </c>
      <c r="I157" s="357"/>
      <c r="J157" s="357"/>
      <c r="K157" s="375"/>
      <c r="L157" s="357"/>
      <c r="M157" s="357"/>
      <c r="N157" s="357"/>
      <c r="O157" s="357"/>
      <c r="P157" s="362"/>
      <c r="Q157" s="362"/>
      <c r="R157" s="362"/>
      <c r="S157" s="362"/>
      <c r="T157" s="360"/>
      <c r="U157" s="361"/>
      <c r="V157" s="361"/>
      <c r="W157" s="361"/>
      <c r="X157" s="357"/>
      <c r="Y157" s="357"/>
      <c r="Z157" s="357"/>
      <c r="AA157" s="357"/>
      <c r="AB157" s="357"/>
      <c r="AC157" s="357"/>
      <c r="AD157" s="357"/>
      <c r="AE157" s="357"/>
      <c r="AF157" s="357"/>
      <c r="AG157" s="357"/>
      <c r="AH157" s="357"/>
      <c r="AI157" s="357"/>
      <c r="AJ157" s="357"/>
      <c r="AK157" s="357"/>
      <c r="AL157" s="357"/>
      <c r="AM157" s="357"/>
      <c r="AN157" s="357"/>
      <c r="AO157" s="357"/>
      <c r="AP157" s="357"/>
      <c r="AQ157" s="357"/>
      <c r="AR157" s="357"/>
      <c r="AS157" s="362"/>
      <c r="AT157" s="360"/>
      <c r="AU157" s="374"/>
      <c r="AV157" s="357"/>
      <c r="AW157" s="357"/>
      <c r="AX157" s="357"/>
      <c r="AY157" s="360"/>
      <c r="AZ157" s="361"/>
      <c r="BA157" s="357"/>
      <c r="BB157" s="362"/>
      <c r="BC157" s="377"/>
      <c r="BD157" s="361"/>
      <c r="BE157" s="357"/>
      <c r="BF157" s="357"/>
      <c r="BG157" s="357"/>
      <c r="BH157" s="357"/>
      <c r="BI157" s="357"/>
      <c r="BJ157" s="357"/>
      <c r="BK157" s="357"/>
      <c r="BL157" s="357"/>
      <c r="BM157" s="357"/>
      <c r="BN157" s="357"/>
      <c r="BO157" s="357"/>
      <c r="BP157" s="357"/>
      <c r="BQ157" s="357"/>
      <c r="BR157" s="357"/>
      <c r="BS157" s="357"/>
      <c r="BT157" s="357"/>
      <c r="BU157" s="357"/>
      <c r="BV157" s="357"/>
      <c r="BW157" s="357"/>
      <c r="BX157" s="357"/>
      <c r="BY157" s="357"/>
      <c r="BZ157" s="357"/>
      <c r="CA157" s="357"/>
      <c r="CB157" s="357"/>
      <c r="CC157" s="357"/>
      <c r="CD157" s="357"/>
      <c r="CE157" s="357"/>
      <c r="CF157" s="357"/>
      <c r="CG157" s="357"/>
      <c r="CH157" s="357"/>
      <c r="CI157" s="362"/>
      <c r="CJ157" s="362"/>
      <c r="CK157" s="362"/>
      <c r="CL157" s="362"/>
      <c r="CM157" s="362"/>
      <c r="CN157" s="362"/>
      <c r="CO157" s="362"/>
      <c r="CP157" s="362"/>
      <c r="CQ157" s="362"/>
      <c r="CR157" s="362"/>
      <c r="CS157" s="362"/>
      <c r="CT157" s="362"/>
      <c r="CU157" s="362"/>
      <c r="CV157" s="362"/>
      <c r="CW157" s="362"/>
      <c r="CX157" s="362"/>
      <c r="CY157" s="362"/>
      <c r="CZ157" s="362"/>
      <c r="DA157" s="362"/>
      <c r="DB157" s="362"/>
      <c r="DC157" s="362"/>
      <c r="DD157" s="362"/>
      <c r="DE157" s="362"/>
      <c r="DF157" s="362"/>
      <c r="DG157" s="362"/>
      <c r="DH157" s="362"/>
      <c r="DI157" s="362"/>
      <c r="DJ157" s="362"/>
      <c r="DK157" s="362"/>
      <c r="DL157" s="362"/>
      <c r="DM157" s="362"/>
      <c r="DN157" s="362"/>
      <c r="DO157" s="360"/>
      <c r="DP157" s="310"/>
      <c r="DQ157" s="310"/>
      <c r="DR157" s="310"/>
      <c r="DS157" s="310"/>
      <c r="DT157" s="310"/>
      <c r="DU157" s="310"/>
      <c r="DV157" s="310"/>
      <c r="DW157" s="310"/>
      <c r="DX157" s="310"/>
    </row>
    <row r="158" spans="1:128" s="63" customFormat="1">
      <c r="A158" s="376"/>
      <c r="B158" s="368" t="s">
        <v>459</v>
      </c>
      <c r="C158" s="375"/>
      <c r="D158" s="375">
        <v>34</v>
      </c>
      <c r="E158" s="357"/>
      <c r="F158" s="357"/>
      <c r="G158" s="357"/>
      <c r="H158" s="357"/>
      <c r="I158" s="357"/>
      <c r="J158" s="357"/>
      <c r="K158" s="357"/>
      <c r="L158" s="357"/>
      <c r="M158" s="357"/>
      <c r="N158" s="357"/>
      <c r="O158" s="357"/>
      <c r="P158" s="362"/>
      <c r="Q158" s="362"/>
      <c r="R158" s="362"/>
      <c r="S158" s="362"/>
      <c r="T158" s="360"/>
      <c r="U158" s="361">
        <f>ROUNDUP(((24+5.7+0.7)*2.25)-(BO7+CR7),0)</f>
        <v>65</v>
      </c>
      <c r="V158" s="361"/>
      <c r="W158" s="361"/>
      <c r="X158" s="357"/>
      <c r="Y158" s="357"/>
      <c r="Z158" s="357"/>
      <c r="AA158" s="357"/>
      <c r="AB158" s="357"/>
      <c r="AC158" s="357">
        <f>ROUND((25*2.4)-(BO7+CR7),0)</f>
        <v>56</v>
      </c>
      <c r="AD158" s="357">
        <f>U158</f>
        <v>65</v>
      </c>
      <c r="AE158" s="357"/>
      <c r="AF158" s="357"/>
      <c r="AG158" s="357"/>
      <c r="AH158" s="357"/>
      <c r="AI158" s="357"/>
      <c r="AJ158" s="357"/>
      <c r="AK158" s="357"/>
      <c r="AL158" s="357"/>
      <c r="AM158" s="357"/>
      <c r="AN158" s="357"/>
      <c r="AO158" s="357"/>
      <c r="AP158" s="357"/>
      <c r="AQ158" s="357">
        <f>ROUNDUP((5*2.4)+BO9+CR9,0)</f>
        <v>19</v>
      </c>
      <c r="AR158" s="357"/>
      <c r="AS158" s="362"/>
      <c r="AT158" s="360">
        <f>ROUNDUP(BO8+CR8,0)</f>
        <v>5</v>
      </c>
      <c r="AU158" s="374"/>
      <c r="AV158" s="357"/>
      <c r="AW158" s="357"/>
      <c r="AX158" s="357"/>
      <c r="AY158" s="360"/>
      <c r="AZ158" s="361">
        <f>AD158</f>
        <v>65</v>
      </c>
      <c r="BA158" s="357">
        <f>AC158</f>
        <v>56</v>
      </c>
      <c r="BB158" s="362"/>
      <c r="BC158" s="377"/>
      <c r="BD158" s="361"/>
      <c r="BE158" s="357"/>
      <c r="BF158" s="357"/>
      <c r="BG158" s="357"/>
      <c r="BH158" s="357"/>
      <c r="BI158" s="357"/>
      <c r="BJ158" s="357"/>
      <c r="BK158" s="357"/>
      <c r="BL158" s="357"/>
      <c r="BM158" s="357"/>
      <c r="BN158" s="357"/>
      <c r="BO158" s="357">
        <v>1</v>
      </c>
      <c r="BP158" s="357"/>
      <c r="BQ158" s="357"/>
      <c r="BR158" s="357"/>
      <c r="BS158" s="357"/>
      <c r="BT158" s="357"/>
      <c r="BU158" s="357"/>
      <c r="BV158" s="357"/>
      <c r="BW158" s="357"/>
      <c r="BX158" s="357"/>
      <c r="BY158" s="357"/>
      <c r="BZ158" s="357"/>
      <c r="CA158" s="357"/>
      <c r="CB158" s="357"/>
      <c r="CC158" s="357"/>
      <c r="CD158" s="357"/>
      <c r="CE158" s="357"/>
      <c r="CF158" s="357"/>
      <c r="CG158" s="357"/>
      <c r="CH158" s="357"/>
      <c r="CI158" s="362"/>
      <c r="CJ158" s="362"/>
      <c r="CK158" s="362"/>
      <c r="CL158" s="362"/>
      <c r="CM158" s="362"/>
      <c r="CN158" s="362"/>
      <c r="CO158" s="362"/>
      <c r="CP158" s="362"/>
      <c r="CQ158" s="362"/>
      <c r="CR158" s="362">
        <v>1</v>
      </c>
      <c r="CS158" s="362"/>
      <c r="CT158" s="362"/>
      <c r="CU158" s="362"/>
      <c r="CV158" s="362"/>
      <c r="CW158" s="362"/>
      <c r="CX158" s="362"/>
      <c r="CY158" s="362"/>
      <c r="CZ158" s="362"/>
      <c r="DA158" s="362"/>
      <c r="DB158" s="362"/>
      <c r="DC158" s="362"/>
      <c r="DD158" s="362"/>
      <c r="DE158" s="362"/>
      <c r="DF158" s="362"/>
      <c r="DG158" s="362"/>
      <c r="DH158" s="362"/>
      <c r="DI158" s="362"/>
      <c r="DJ158" s="362"/>
      <c r="DK158" s="362"/>
      <c r="DL158" s="362"/>
      <c r="DM158" s="362"/>
      <c r="DN158" s="362"/>
      <c r="DO158" s="360"/>
      <c r="DP158" s="310"/>
      <c r="DQ158" s="310"/>
      <c r="DR158" s="310"/>
      <c r="DS158" s="310"/>
      <c r="DT158" s="310"/>
      <c r="DU158" s="310"/>
      <c r="DV158" s="309"/>
      <c r="DW158" s="310"/>
      <c r="DX158" s="372"/>
    </row>
    <row r="159" spans="1:128">
      <c r="A159" s="403"/>
      <c r="B159" s="404" t="s">
        <v>382</v>
      </c>
      <c r="C159" s="357"/>
      <c r="D159" s="357"/>
      <c r="E159" s="357"/>
      <c r="F159" s="357"/>
      <c r="G159" s="357"/>
      <c r="H159" s="357"/>
      <c r="I159" s="357"/>
      <c r="J159" s="357"/>
      <c r="K159" s="357"/>
      <c r="L159" s="357"/>
      <c r="M159" s="357"/>
      <c r="N159" s="357"/>
      <c r="O159" s="357"/>
      <c r="P159" s="362"/>
      <c r="Q159" s="362"/>
      <c r="R159" s="362"/>
      <c r="S159" s="362"/>
      <c r="T159" s="360"/>
      <c r="U159" s="361"/>
      <c r="V159" s="361"/>
      <c r="W159" s="361"/>
      <c r="X159" s="357"/>
      <c r="Y159" s="357"/>
      <c r="Z159" s="357"/>
      <c r="AA159" s="357"/>
      <c r="AB159" s="357"/>
      <c r="AC159" s="357"/>
      <c r="AD159" s="357"/>
      <c r="AE159" s="357"/>
      <c r="AF159" s="357"/>
      <c r="AG159" s="357"/>
      <c r="AH159" s="357"/>
      <c r="AI159" s="357"/>
      <c r="AJ159" s="357"/>
      <c r="AK159" s="357"/>
      <c r="AL159" s="357"/>
      <c r="AM159" s="357"/>
      <c r="AN159" s="357"/>
      <c r="AO159" s="357"/>
      <c r="AP159" s="357"/>
      <c r="AQ159" s="357"/>
      <c r="AR159" s="357"/>
      <c r="AS159" s="362"/>
      <c r="AT159" s="360"/>
      <c r="AU159" s="363"/>
      <c r="AV159" s="364"/>
      <c r="AW159" s="364"/>
      <c r="AX159" s="395"/>
      <c r="AY159" s="365"/>
      <c r="AZ159" s="361"/>
      <c r="BA159" s="357"/>
      <c r="BB159" s="362"/>
      <c r="BC159" s="360"/>
      <c r="BD159" s="380"/>
      <c r="BE159" s="381"/>
      <c r="BF159" s="381"/>
      <c r="BG159" s="381"/>
      <c r="BH159" s="381"/>
      <c r="BI159" s="381"/>
      <c r="BJ159" s="381"/>
      <c r="BK159" s="381"/>
      <c r="BL159" s="381"/>
      <c r="BM159" s="381"/>
      <c r="BN159" s="381"/>
      <c r="BO159" s="381"/>
      <c r="BP159" s="381"/>
      <c r="BQ159" s="381"/>
      <c r="BR159" s="381"/>
      <c r="BS159" s="381"/>
      <c r="BT159" s="381"/>
      <c r="BU159" s="381"/>
      <c r="BV159" s="381"/>
      <c r="BW159" s="381"/>
      <c r="BX159" s="381"/>
      <c r="BY159" s="381"/>
      <c r="BZ159" s="381"/>
      <c r="CA159" s="381"/>
      <c r="CB159" s="381"/>
      <c r="CC159" s="381"/>
      <c r="CD159" s="381"/>
      <c r="CE159" s="381"/>
      <c r="CF159" s="381"/>
      <c r="CG159" s="381"/>
      <c r="CH159" s="381"/>
      <c r="CI159" s="382"/>
      <c r="CJ159" s="382"/>
      <c r="CK159" s="382"/>
      <c r="CL159" s="382"/>
      <c r="CM159" s="382"/>
      <c r="CN159" s="382"/>
      <c r="CO159" s="382"/>
      <c r="CP159" s="382"/>
      <c r="CQ159" s="382"/>
      <c r="CR159" s="382"/>
      <c r="CS159" s="382"/>
      <c r="CT159" s="382"/>
      <c r="CU159" s="382"/>
      <c r="CV159" s="382"/>
      <c r="CW159" s="382"/>
      <c r="CX159" s="382"/>
      <c r="CY159" s="382"/>
      <c r="CZ159" s="382"/>
      <c r="DA159" s="382"/>
      <c r="DB159" s="382"/>
      <c r="DC159" s="382"/>
      <c r="DD159" s="382"/>
      <c r="DE159" s="382"/>
      <c r="DF159" s="382"/>
      <c r="DG159" s="382"/>
      <c r="DH159" s="382"/>
      <c r="DI159" s="382"/>
      <c r="DJ159" s="382"/>
      <c r="DK159" s="382"/>
      <c r="DL159" s="382"/>
      <c r="DM159" s="382"/>
      <c r="DN159" s="400">
        <f>ROUNDUP(34+62+34+62+120,0)</f>
        <v>312</v>
      </c>
      <c r="DO159" s="383"/>
    </row>
    <row r="160" spans="1:128">
      <c r="A160" s="406"/>
      <c r="B160" s="405" t="s">
        <v>1363</v>
      </c>
      <c r="C160" s="408">
        <v>11</v>
      </c>
      <c r="D160" s="409"/>
      <c r="E160" s="409"/>
      <c r="F160" s="409"/>
      <c r="G160" s="409"/>
      <c r="H160" s="409"/>
      <c r="I160" s="409"/>
      <c r="J160" s="409"/>
      <c r="K160" s="409"/>
      <c r="L160" s="409"/>
      <c r="M160" s="409"/>
      <c r="N160" s="409"/>
      <c r="O160" s="409"/>
      <c r="P160" s="410"/>
      <c r="Q160" s="410"/>
      <c r="R160" s="410"/>
      <c r="S160" s="410"/>
      <c r="T160" s="411"/>
      <c r="U160" s="405">
        <f>ROUND(((2.6+14)*2.25)-BK7,0)</f>
        <v>33</v>
      </c>
      <c r="V160" s="405"/>
      <c r="W160" s="405"/>
      <c r="X160" s="408"/>
      <c r="Y160" s="408"/>
      <c r="Z160" s="408"/>
      <c r="AA160" s="408"/>
      <c r="AB160" s="408"/>
      <c r="AC160" s="408">
        <f>ROUND(((2.6+2.6)*2.4)-BK7,0)</f>
        <v>9</v>
      </c>
      <c r="AD160" s="408">
        <f>U160</f>
        <v>33</v>
      </c>
      <c r="AE160" s="408"/>
      <c r="AF160" s="408"/>
      <c r="AG160" s="408"/>
      <c r="AH160" s="408"/>
      <c r="AI160" s="408"/>
      <c r="AJ160" s="408"/>
      <c r="AK160" s="408"/>
      <c r="AL160" s="408"/>
      <c r="AM160" s="408"/>
      <c r="AN160" s="408"/>
      <c r="AO160" s="408"/>
      <c r="AP160" s="408"/>
      <c r="AQ160" s="408">
        <f>BK9</f>
        <v>4.0999999999999996</v>
      </c>
      <c r="AR160" s="408"/>
      <c r="AS160" s="412"/>
      <c r="AT160" s="413">
        <f>BK8</f>
        <v>1.9</v>
      </c>
      <c r="AU160" s="405"/>
      <c r="AV160" s="408"/>
      <c r="AW160" s="408"/>
      <c r="AX160" s="412"/>
      <c r="AY160" s="413"/>
      <c r="AZ160" s="405">
        <f>AD160</f>
        <v>33</v>
      </c>
      <c r="BA160" s="408">
        <f>AC160</f>
        <v>9</v>
      </c>
      <c r="BB160" s="1183"/>
      <c r="BC160" s="413"/>
      <c r="BD160" s="414"/>
      <c r="BE160" s="415"/>
      <c r="BF160" s="415"/>
      <c r="BG160" s="415"/>
      <c r="BH160" s="415"/>
      <c r="BI160" s="415"/>
      <c r="BJ160" s="655"/>
      <c r="BK160" s="415">
        <v>1</v>
      </c>
      <c r="BL160" s="415"/>
      <c r="BM160" s="415"/>
      <c r="BN160" s="415"/>
      <c r="BO160" s="415"/>
      <c r="BP160" s="415"/>
      <c r="BQ160" s="415"/>
      <c r="BR160" s="415"/>
      <c r="BS160" s="415"/>
      <c r="BT160" s="415"/>
      <c r="BU160" s="655"/>
      <c r="BV160" s="415"/>
      <c r="BW160" s="415"/>
      <c r="BX160" s="415"/>
      <c r="BY160" s="655"/>
      <c r="BZ160" s="655"/>
      <c r="CA160" s="655"/>
      <c r="CB160" s="415"/>
      <c r="CC160" s="655"/>
      <c r="CD160" s="415"/>
      <c r="CE160" s="415"/>
      <c r="CF160" s="415"/>
      <c r="CG160" s="415"/>
      <c r="CH160" s="415"/>
      <c r="CI160" s="656"/>
      <c r="CJ160" s="416"/>
      <c r="CK160" s="656"/>
      <c r="CL160" s="416"/>
      <c r="CM160" s="656"/>
      <c r="CN160" s="416"/>
      <c r="CO160" s="416"/>
      <c r="CP160" s="416"/>
      <c r="CQ160" s="656"/>
      <c r="CR160" s="656"/>
      <c r="CS160" s="416"/>
      <c r="CT160" s="416"/>
      <c r="CU160" s="416"/>
      <c r="CV160" s="416"/>
      <c r="CW160" s="416"/>
      <c r="CX160" s="656"/>
      <c r="CY160" s="656"/>
      <c r="CZ160" s="416"/>
      <c r="DA160" s="416"/>
      <c r="DB160" s="416"/>
      <c r="DC160" s="416"/>
      <c r="DD160" s="416"/>
      <c r="DE160" s="416"/>
      <c r="DF160" s="416"/>
      <c r="DG160" s="416"/>
      <c r="DH160" s="416"/>
      <c r="DI160" s="416"/>
      <c r="DJ160" s="416"/>
      <c r="DK160" s="416"/>
      <c r="DL160" s="416"/>
      <c r="DM160" s="416"/>
      <c r="DN160" s="416"/>
      <c r="DO160" s="417"/>
    </row>
    <row r="161" spans="1:121">
      <c r="A161" s="406"/>
      <c r="B161" s="404" t="s">
        <v>1364</v>
      </c>
      <c r="C161" s="408"/>
      <c r="D161" s="409"/>
      <c r="E161" s="409"/>
      <c r="F161" s="409"/>
      <c r="G161" s="409"/>
      <c r="H161" s="409"/>
      <c r="I161" s="409"/>
      <c r="J161" s="409"/>
      <c r="K161" s="409"/>
      <c r="L161" s="409"/>
      <c r="M161" s="409"/>
      <c r="N161" s="409"/>
      <c r="O161" s="409"/>
      <c r="P161" s="410"/>
      <c r="Q161" s="410"/>
      <c r="R161" s="410"/>
      <c r="S161" s="410"/>
      <c r="T161" s="411"/>
      <c r="U161" s="405"/>
      <c r="V161" s="405"/>
      <c r="W161" s="405"/>
      <c r="X161" s="408"/>
      <c r="Y161" s="408"/>
      <c r="Z161" s="408"/>
      <c r="AA161" s="408"/>
      <c r="AB161" s="408"/>
      <c r="AC161" s="408"/>
      <c r="AD161" s="408"/>
      <c r="AE161" s="408"/>
      <c r="AF161" s="408"/>
      <c r="AG161" s="408"/>
      <c r="AH161" s="408"/>
      <c r="AI161" s="408"/>
      <c r="AJ161" s="408"/>
      <c r="AK161" s="408"/>
      <c r="AL161" s="408"/>
      <c r="AM161" s="408"/>
      <c r="AN161" s="408"/>
      <c r="AO161" s="408"/>
      <c r="AP161" s="408"/>
      <c r="AQ161" s="408"/>
      <c r="AR161" s="408"/>
      <c r="AS161" s="412"/>
      <c r="AT161" s="413"/>
      <c r="AU161" s="405"/>
      <c r="AV161" s="408"/>
      <c r="AW161" s="408"/>
      <c r="AX161" s="412"/>
      <c r="AY161" s="413"/>
      <c r="AZ161" s="405"/>
      <c r="BA161" s="408"/>
      <c r="BB161" s="1183"/>
      <c r="BC161" s="413"/>
      <c r="BD161" s="414"/>
      <c r="BE161" s="415"/>
      <c r="BF161" s="415"/>
      <c r="BG161" s="415"/>
      <c r="BH161" s="415"/>
      <c r="BI161" s="415"/>
      <c r="BJ161" s="655"/>
      <c r="BK161" s="415"/>
      <c r="BL161" s="415"/>
      <c r="BM161" s="415"/>
      <c r="BN161" s="415"/>
      <c r="BO161" s="415"/>
      <c r="BP161" s="415"/>
      <c r="BQ161" s="415"/>
      <c r="BR161" s="415"/>
      <c r="BS161" s="415"/>
      <c r="BT161" s="415"/>
      <c r="BU161" s="655"/>
      <c r="BV161" s="415"/>
      <c r="BW161" s="415"/>
      <c r="BX161" s="415"/>
      <c r="BY161" s="655"/>
      <c r="BZ161" s="655"/>
      <c r="CA161" s="655"/>
      <c r="CB161" s="415"/>
      <c r="CC161" s="655"/>
      <c r="CD161" s="415"/>
      <c r="CE161" s="415"/>
      <c r="CF161" s="415"/>
      <c r="CG161" s="415"/>
      <c r="CH161" s="415"/>
      <c r="CI161" s="656"/>
      <c r="CJ161" s="416"/>
      <c r="CK161" s="656"/>
      <c r="CL161" s="416"/>
      <c r="CM161" s="656"/>
      <c r="CN161" s="416"/>
      <c r="CO161" s="416"/>
      <c r="CP161" s="416"/>
      <c r="CQ161" s="656"/>
      <c r="CR161" s="656"/>
      <c r="CS161" s="416"/>
      <c r="CT161" s="416"/>
      <c r="CU161" s="416"/>
      <c r="CV161" s="416"/>
      <c r="CW161" s="416"/>
      <c r="CX161" s="656"/>
      <c r="CY161" s="656"/>
      <c r="CZ161" s="416"/>
      <c r="DA161" s="416"/>
      <c r="DB161" s="416"/>
      <c r="DC161" s="416"/>
      <c r="DD161" s="416"/>
      <c r="DE161" s="416"/>
      <c r="DF161" s="416">
        <f>ROUNDUP(25*10.6,0)</f>
        <v>265</v>
      </c>
      <c r="DG161" s="416"/>
      <c r="DH161" s="416"/>
      <c r="DI161" s="416"/>
      <c r="DJ161" s="416"/>
      <c r="DK161" s="416"/>
      <c r="DL161" s="416">
        <f>DF161</f>
        <v>265</v>
      </c>
      <c r="DM161" s="416">
        <f>ROUNDUP(54.4*2,0)</f>
        <v>109</v>
      </c>
      <c r="DN161" s="416"/>
      <c r="DO161" s="417">
        <f>ROUNDUP(((0.65*12.4)*2)+((0.65*56.4)*2)+(0.4*137.6)+((1.05*12.4)*2)+((1.05*56.4)*2),0)</f>
        <v>289</v>
      </c>
      <c r="DQ161" s="309" t="s">
        <v>1366</v>
      </c>
    </row>
    <row r="162" spans="1:121" ht="24">
      <c r="A162" s="406"/>
      <c r="B162" s="405"/>
      <c r="C162" s="408"/>
      <c r="D162" s="409"/>
      <c r="E162" s="409"/>
      <c r="F162" s="409"/>
      <c r="G162" s="409"/>
      <c r="H162" s="409"/>
      <c r="I162" s="409"/>
      <c r="J162" s="409"/>
      <c r="K162" s="409"/>
      <c r="L162" s="409"/>
      <c r="M162" s="409"/>
      <c r="N162" s="409"/>
      <c r="O162" s="409"/>
      <c r="P162" s="410"/>
      <c r="Q162" s="410"/>
      <c r="R162" s="410"/>
      <c r="S162" s="410"/>
      <c r="T162" s="411"/>
      <c r="U162" s="405"/>
      <c r="V162" s="405"/>
      <c r="W162" s="405"/>
      <c r="X162" s="408"/>
      <c r="Y162" s="408"/>
      <c r="Z162" s="408"/>
      <c r="AA162" s="408"/>
      <c r="AB162" s="408"/>
      <c r="AC162" s="408"/>
      <c r="AD162" s="408"/>
      <c r="AE162" s="408"/>
      <c r="AF162" s="408"/>
      <c r="AG162" s="408"/>
      <c r="AH162" s="408"/>
      <c r="AI162" s="408"/>
      <c r="AJ162" s="408"/>
      <c r="AK162" s="408"/>
      <c r="AL162" s="408"/>
      <c r="AM162" s="408"/>
      <c r="AN162" s="408"/>
      <c r="AO162" s="408"/>
      <c r="AP162" s="408"/>
      <c r="AQ162" s="408"/>
      <c r="AR162" s="408"/>
      <c r="AS162" s="412"/>
      <c r="AT162" s="413"/>
      <c r="AU162" s="405"/>
      <c r="AV162" s="408"/>
      <c r="AW162" s="408"/>
      <c r="AX162" s="412"/>
      <c r="AY162" s="413"/>
      <c r="AZ162" s="405"/>
      <c r="BA162" s="408"/>
      <c r="BB162" s="1183"/>
      <c r="BC162" s="413"/>
      <c r="BD162" s="414"/>
      <c r="BE162" s="415"/>
      <c r="BF162" s="415"/>
      <c r="BG162" s="415"/>
      <c r="BH162" s="415"/>
      <c r="BI162" s="415"/>
      <c r="BJ162" s="655"/>
      <c r="BK162" s="415"/>
      <c r="BL162" s="415"/>
      <c r="BM162" s="415"/>
      <c r="BN162" s="415"/>
      <c r="BO162" s="415"/>
      <c r="BP162" s="415"/>
      <c r="BQ162" s="415"/>
      <c r="BR162" s="415"/>
      <c r="BS162" s="415"/>
      <c r="BT162" s="415"/>
      <c r="BU162" s="655"/>
      <c r="BV162" s="415"/>
      <c r="BW162" s="415"/>
      <c r="BX162" s="415"/>
      <c r="BY162" s="655"/>
      <c r="BZ162" s="655"/>
      <c r="CA162" s="655"/>
      <c r="CB162" s="415"/>
      <c r="CC162" s="655"/>
      <c r="CD162" s="415"/>
      <c r="CE162" s="415"/>
      <c r="CF162" s="415"/>
      <c r="CG162" s="415"/>
      <c r="CH162" s="415"/>
      <c r="CI162" s="656"/>
      <c r="CJ162" s="416"/>
      <c r="CK162" s="656"/>
      <c r="CL162" s="416"/>
      <c r="CM162" s="656"/>
      <c r="CN162" s="416"/>
      <c r="CO162" s="416"/>
      <c r="CP162" s="416"/>
      <c r="CQ162" s="656"/>
      <c r="CR162" s="656"/>
      <c r="CS162" s="416"/>
      <c r="CT162" s="416"/>
      <c r="CU162" s="416"/>
      <c r="CV162" s="416"/>
      <c r="CW162" s="416"/>
      <c r="CX162" s="656"/>
      <c r="CY162" s="656"/>
      <c r="CZ162" s="416"/>
      <c r="DA162" s="416"/>
      <c r="DB162" s="416"/>
      <c r="DC162" s="416"/>
      <c r="DD162" s="416"/>
      <c r="DE162" s="416"/>
      <c r="DF162" s="416"/>
      <c r="DG162" s="416"/>
      <c r="DH162" s="416"/>
      <c r="DI162" s="416"/>
      <c r="DJ162" s="416"/>
      <c r="DK162" s="416"/>
      <c r="DL162" s="416"/>
      <c r="DM162" s="416"/>
      <c r="DN162" s="416"/>
      <c r="DO162" s="417"/>
      <c r="DQ162" s="498">
        <f>ROUNDUP((((2.92*2)*4)+((5.75*2)*16)+((4.82*2)*4)+(0.8*((4*4)+(3*4)+(4*16)))*1000)+(((2.92*4)+(5.75*16)+(4.82*4))*14)*250,0)</f>
        <v>504206</v>
      </c>
    </row>
    <row r="163" spans="1:121">
      <c r="A163" s="406"/>
      <c r="B163" s="405"/>
      <c r="C163" s="408"/>
      <c r="D163" s="409"/>
      <c r="E163" s="409"/>
      <c r="F163" s="409"/>
      <c r="G163" s="409"/>
      <c r="H163" s="409"/>
      <c r="I163" s="409"/>
      <c r="J163" s="409"/>
      <c r="K163" s="409"/>
      <c r="L163" s="409"/>
      <c r="M163" s="409"/>
      <c r="N163" s="409"/>
      <c r="O163" s="409"/>
      <c r="P163" s="410"/>
      <c r="Q163" s="410"/>
      <c r="R163" s="410"/>
      <c r="S163" s="410"/>
      <c r="T163" s="411"/>
      <c r="U163" s="405"/>
      <c r="V163" s="405"/>
      <c r="W163" s="405"/>
      <c r="X163" s="408"/>
      <c r="Y163" s="408"/>
      <c r="Z163" s="408"/>
      <c r="AA163" s="408"/>
      <c r="AB163" s="408"/>
      <c r="AC163" s="408"/>
      <c r="AD163" s="408"/>
      <c r="AE163" s="408"/>
      <c r="AF163" s="408"/>
      <c r="AG163" s="408"/>
      <c r="AH163" s="408"/>
      <c r="AI163" s="408"/>
      <c r="AJ163" s="408"/>
      <c r="AK163" s="408"/>
      <c r="AL163" s="408"/>
      <c r="AM163" s="408"/>
      <c r="AN163" s="408"/>
      <c r="AO163" s="408"/>
      <c r="AP163" s="408"/>
      <c r="AQ163" s="408"/>
      <c r="AR163" s="408"/>
      <c r="AS163" s="412"/>
      <c r="AT163" s="413"/>
      <c r="AU163" s="405"/>
      <c r="AV163" s="408"/>
      <c r="AW163" s="408"/>
      <c r="AX163" s="412"/>
      <c r="AY163" s="413"/>
      <c r="AZ163" s="405"/>
      <c r="BA163" s="408"/>
      <c r="BB163" s="1183"/>
      <c r="BC163" s="413"/>
      <c r="BD163" s="414"/>
      <c r="BE163" s="415"/>
      <c r="BF163" s="415"/>
      <c r="BG163" s="415"/>
      <c r="BH163" s="415"/>
      <c r="BI163" s="415"/>
      <c r="BJ163" s="655"/>
      <c r="BK163" s="415"/>
      <c r="BL163" s="415"/>
      <c r="BM163" s="415"/>
      <c r="BN163" s="415"/>
      <c r="BO163" s="415"/>
      <c r="BP163" s="415"/>
      <c r="BQ163" s="415"/>
      <c r="BR163" s="415"/>
      <c r="BS163" s="415"/>
      <c r="BT163" s="415"/>
      <c r="BU163" s="655"/>
      <c r="BV163" s="415"/>
      <c r="BW163" s="415"/>
      <c r="BX163" s="415"/>
      <c r="BY163" s="655"/>
      <c r="BZ163" s="655"/>
      <c r="CA163" s="655"/>
      <c r="CB163" s="415"/>
      <c r="CC163" s="655"/>
      <c r="CD163" s="415"/>
      <c r="CE163" s="415"/>
      <c r="CF163" s="415"/>
      <c r="CG163" s="415"/>
      <c r="CH163" s="415"/>
      <c r="CI163" s="656"/>
      <c r="CJ163" s="416"/>
      <c r="CK163" s="656"/>
      <c r="CL163" s="416"/>
      <c r="CM163" s="656"/>
      <c r="CN163" s="416"/>
      <c r="CO163" s="416"/>
      <c r="CP163" s="416"/>
      <c r="CQ163" s="656"/>
      <c r="CR163" s="656"/>
      <c r="CS163" s="416"/>
      <c r="CT163" s="416"/>
      <c r="CU163" s="416"/>
      <c r="CV163" s="416"/>
      <c r="CW163" s="416"/>
      <c r="CX163" s="656"/>
      <c r="CY163" s="656"/>
      <c r="CZ163" s="416"/>
      <c r="DA163" s="416"/>
      <c r="DB163" s="416"/>
      <c r="DC163" s="416"/>
      <c r="DD163" s="416"/>
      <c r="DE163" s="416"/>
      <c r="DF163" s="416"/>
      <c r="DG163" s="416"/>
      <c r="DH163" s="416"/>
      <c r="DI163" s="416"/>
      <c r="DJ163" s="416"/>
      <c r="DK163" s="416"/>
      <c r="DL163" s="416"/>
      <c r="DM163" s="416"/>
      <c r="DN163" s="416"/>
      <c r="DO163" s="417"/>
    </row>
    <row r="164" spans="1:121">
      <c r="A164" s="406"/>
      <c r="B164" s="405"/>
      <c r="C164" s="408"/>
      <c r="D164" s="409"/>
      <c r="E164" s="409"/>
      <c r="F164" s="409"/>
      <c r="G164" s="409"/>
      <c r="H164" s="409"/>
      <c r="I164" s="409"/>
      <c r="J164" s="409"/>
      <c r="K164" s="409"/>
      <c r="L164" s="409"/>
      <c r="M164" s="409"/>
      <c r="N164" s="409"/>
      <c r="O164" s="409"/>
      <c r="P164" s="410"/>
      <c r="Q164" s="410"/>
      <c r="R164" s="410"/>
      <c r="S164" s="410"/>
      <c r="T164" s="411"/>
      <c r="U164" s="405"/>
      <c r="V164" s="405"/>
      <c r="W164" s="405"/>
      <c r="X164" s="408"/>
      <c r="Y164" s="408"/>
      <c r="Z164" s="408"/>
      <c r="AA164" s="408"/>
      <c r="AB164" s="408"/>
      <c r="AC164" s="408"/>
      <c r="AD164" s="408"/>
      <c r="AE164" s="408"/>
      <c r="AF164" s="408"/>
      <c r="AG164" s="408"/>
      <c r="AH164" s="408"/>
      <c r="AI164" s="408"/>
      <c r="AJ164" s="408"/>
      <c r="AK164" s="408"/>
      <c r="AL164" s="408"/>
      <c r="AM164" s="408"/>
      <c r="AN164" s="408"/>
      <c r="AO164" s="408"/>
      <c r="AP164" s="408"/>
      <c r="AQ164" s="408"/>
      <c r="AR164" s="408"/>
      <c r="AS164" s="412"/>
      <c r="AT164" s="413"/>
      <c r="AU164" s="405"/>
      <c r="AV164" s="408"/>
      <c r="AW164" s="408"/>
      <c r="AX164" s="412"/>
      <c r="AY164" s="413"/>
      <c r="AZ164" s="405"/>
      <c r="BA164" s="408"/>
      <c r="BB164" s="1183"/>
      <c r="BC164" s="413"/>
      <c r="BD164" s="414"/>
      <c r="BE164" s="415"/>
      <c r="BF164" s="415"/>
      <c r="BG164" s="415"/>
      <c r="BH164" s="415"/>
      <c r="BI164" s="415"/>
      <c r="BJ164" s="655"/>
      <c r="BK164" s="415"/>
      <c r="BL164" s="415"/>
      <c r="BM164" s="415"/>
      <c r="BN164" s="415"/>
      <c r="BO164" s="415"/>
      <c r="BP164" s="415"/>
      <c r="BQ164" s="415"/>
      <c r="BR164" s="415"/>
      <c r="BS164" s="415"/>
      <c r="BT164" s="415"/>
      <c r="BU164" s="655"/>
      <c r="BV164" s="415"/>
      <c r="BW164" s="415"/>
      <c r="BX164" s="415"/>
      <c r="BY164" s="655"/>
      <c r="BZ164" s="655"/>
      <c r="CA164" s="655"/>
      <c r="CB164" s="415"/>
      <c r="CC164" s="655"/>
      <c r="CD164" s="415"/>
      <c r="CE164" s="415"/>
      <c r="CF164" s="415"/>
      <c r="CG164" s="415"/>
      <c r="CH164" s="415"/>
      <c r="CI164" s="656"/>
      <c r="CJ164" s="416"/>
      <c r="CK164" s="656"/>
      <c r="CL164" s="416"/>
      <c r="CM164" s="656"/>
      <c r="CN164" s="416"/>
      <c r="CO164" s="416"/>
      <c r="CP164" s="416"/>
      <c r="CQ164" s="656"/>
      <c r="CR164" s="656"/>
      <c r="CS164" s="416"/>
      <c r="CT164" s="416"/>
      <c r="CU164" s="416"/>
      <c r="CV164" s="416"/>
      <c r="CW164" s="416"/>
      <c r="CX164" s="656"/>
      <c r="CY164" s="656"/>
      <c r="CZ164" s="416"/>
      <c r="DA164" s="416"/>
      <c r="DB164" s="416"/>
      <c r="DC164" s="416"/>
      <c r="DD164" s="416"/>
      <c r="DE164" s="416"/>
      <c r="DF164" s="416"/>
      <c r="DG164" s="416"/>
      <c r="DH164" s="416"/>
      <c r="DI164" s="416"/>
      <c r="DJ164" s="416"/>
      <c r="DK164" s="416"/>
      <c r="DL164" s="416"/>
      <c r="DM164" s="416"/>
      <c r="DN164" s="416"/>
      <c r="DO164" s="417"/>
    </row>
    <row r="165" spans="1:121" ht="18.75">
      <c r="A165" s="406"/>
      <c r="B165" s="385" t="s">
        <v>182</v>
      </c>
      <c r="C165" s="386">
        <f>SUM(C156:C164)</f>
        <v>11</v>
      </c>
      <c r="D165" s="386">
        <f t="shared" ref="D165:BV165" si="37">SUM(D156:D164)</f>
        <v>34</v>
      </c>
      <c r="E165" s="386">
        <f t="shared" si="37"/>
        <v>0</v>
      </c>
      <c r="F165" s="386">
        <f t="shared" si="37"/>
        <v>0</v>
      </c>
      <c r="G165" s="386">
        <f t="shared" si="37"/>
        <v>0</v>
      </c>
      <c r="H165" s="386">
        <f t="shared" si="37"/>
        <v>2177</v>
      </c>
      <c r="I165" s="386">
        <f t="shared" si="37"/>
        <v>0</v>
      </c>
      <c r="J165" s="386">
        <f t="shared" si="37"/>
        <v>0</v>
      </c>
      <c r="K165" s="386">
        <f t="shared" si="37"/>
        <v>0</v>
      </c>
      <c r="L165" s="386">
        <f t="shared" si="37"/>
        <v>0</v>
      </c>
      <c r="M165" s="386">
        <f t="shared" si="37"/>
        <v>0</v>
      </c>
      <c r="N165" s="386">
        <f t="shared" si="37"/>
        <v>0</v>
      </c>
      <c r="O165" s="386">
        <f t="shared" si="37"/>
        <v>0</v>
      </c>
      <c r="P165" s="386">
        <f t="shared" si="37"/>
        <v>0</v>
      </c>
      <c r="Q165" s="386">
        <f t="shared" si="37"/>
        <v>0</v>
      </c>
      <c r="R165" s="386">
        <f t="shared" si="37"/>
        <v>0</v>
      </c>
      <c r="S165" s="386">
        <f t="shared" si="37"/>
        <v>0</v>
      </c>
      <c r="T165" s="386">
        <f t="shared" si="37"/>
        <v>0</v>
      </c>
      <c r="U165" s="386">
        <f t="shared" si="37"/>
        <v>98</v>
      </c>
      <c r="V165" s="386">
        <f t="shared" si="37"/>
        <v>0</v>
      </c>
      <c r="W165" s="386">
        <f t="shared" si="37"/>
        <v>0</v>
      </c>
      <c r="X165" s="386">
        <f t="shared" si="37"/>
        <v>0</v>
      </c>
      <c r="Y165" s="386">
        <f t="shared" si="37"/>
        <v>0</v>
      </c>
      <c r="Z165" s="386">
        <f t="shared" si="37"/>
        <v>0</v>
      </c>
      <c r="AA165" s="386"/>
      <c r="AB165" s="386"/>
      <c r="AC165" s="386">
        <f t="shared" si="37"/>
        <v>65</v>
      </c>
      <c r="AD165" s="386">
        <f t="shared" si="37"/>
        <v>98</v>
      </c>
      <c r="AE165" s="386">
        <f t="shared" si="37"/>
        <v>0</v>
      </c>
      <c r="AF165" s="386">
        <f t="shared" si="37"/>
        <v>0</v>
      </c>
      <c r="AG165" s="386">
        <f t="shared" si="37"/>
        <v>0</v>
      </c>
      <c r="AH165" s="386">
        <f t="shared" si="37"/>
        <v>0</v>
      </c>
      <c r="AI165" s="386">
        <f t="shared" si="37"/>
        <v>0</v>
      </c>
      <c r="AJ165" s="386">
        <f t="shared" si="37"/>
        <v>0</v>
      </c>
      <c r="AK165" s="386">
        <f t="shared" si="37"/>
        <v>0</v>
      </c>
      <c r="AL165" s="386">
        <f t="shared" si="37"/>
        <v>0</v>
      </c>
      <c r="AM165" s="386">
        <f t="shared" si="37"/>
        <v>0</v>
      </c>
      <c r="AN165" s="386">
        <f t="shared" si="37"/>
        <v>0</v>
      </c>
      <c r="AO165" s="386">
        <f t="shared" si="37"/>
        <v>0</v>
      </c>
      <c r="AP165" s="386">
        <f t="shared" si="37"/>
        <v>0</v>
      </c>
      <c r="AQ165" s="386">
        <f t="shared" si="37"/>
        <v>23.1</v>
      </c>
      <c r="AR165" s="386">
        <f t="shared" si="37"/>
        <v>0</v>
      </c>
      <c r="AS165" s="386">
        <f t="shared" si="37"/>
        <v>0</v>
      </c>
      <c r="AT165" s="386">
        <f t="shared" si="37"/>
        <v>6.9</v>
      </c>
      <c r="AU165" s="386">
        <f t="shared" si="37"/>
        <v>0</v>
      </c>
      <c r="AV165" s="386">
        <f t="shared" si="37"/>
        <v>0</v>
      </c>
      <c r="AW165" s="386">
        <f t="shared" si="37"/>
        <v>0</v>
      </c>
      <c r="AX165" s="386">
        <f t="shared" si="37"/>
        <v>0</v>
      </c>
      <c r="AY165" s="386">
        <f t="shared" si="37"/>
        <v>0</v>
      </c>
      <c r="AZ165" s="386">
        <f t="shared" si="37"/>
        <v>98</v>
      </c>
      <c r="BA165" s="386">
        <f t="shared" si="37"/>
        <v>65</v>
      </c>
      <c r="BB165" s="386">
        <f t="shared" si="37"/>
        <v>0</v>
      </c>
      <c r="BC165" s="386">
        <f t="shared" si="37"/>
        <v>0</v>
      </c>
      <c r="BD165" s="386">
        <f t="shared" si="37"/>
        <v>0</v>
      </c>
      <c r="BE165" s="386">
        <f t="shared" si="37"/>
        <v>0</v>
      </c>
      <c r="BF165" s="386">
        <f t="shared" si="37"/>
        <v>0</v>
      </c>
      <c r="BG165" s="386">
        <f t="shared" si="37"/>
        <v>0</v>
      </c>
      <c r="BH165" s="386">
        <f t="shared" si="37"/>
        <v>0</v>
      </c>
      <c r="BI165" s="386">
        <f t="shared" si="37"/>
        <v>0</v>
      </c>
      <c r="BJ165" s="386">
        <f t="shared" si="37"/>
        <v>0</v>
      </c>
      <c r="BK165" s="386">
        <f t="shared" si="37"/>
        <v>1</v>
      </c>
      <c r="BL165" s="386">
        <f t="shared" si="37"/>
        <v>0</v>
      </c>
      <c r="BM165" s="386">
        <f t="shared" si="37"/>
        <v>0</v>
      </c>
      <c r="BN165" s="386">
        <f t="shared" si="37"/>
        <v>0</v>
      </c>
      <c r="BO165" s="386">
        <f t="shared" si="37"/>
        <v>1</v>
      </c>
      <c r="BP165" s="386">
        <f t="shared" si="37"/>
        <v>0</v>
      </c>
      <c r="BQ165" s="386">
        <f t="shared" si="37"/>
        <v>0</v>
      </c>
      <c r="BR165" s="386">
        <f t="shared" si="37"/>
        <v>0</v>
      </c>
      <c r="BS165" s="386">
        <f t="shared" si="37"/>
        <v>0</v>
      </c>
      <c r="BT165" s="386">
        <f t="shared" si="37"/>
        <v>0</v>
      </c>
      <c r="BU165" s="386">
        <f t="shared" si="37"/>
        <v>0</v>
      </c>
      <c r="BV165" s="386">
        <f t="shared" si="37"/>
        <v>0</v>
      </c>
      <c r="BW165" s="386">
        <f t="shared" ref="BW165:DE165" si="38">SUM(BW156:BW164)</f>
        <v>0</v>
      </c>
      <c r="BX165" s="386">
        <f t="shared" si="38"/>
        <v>0</v>
      </c>
      <c r="BY165" s="386">
        <f t="shared" si="38"/>
        <v>0</v>
      </c>
      <c r="BZ165" s="386">
        <f t="shared" si="38"/>
        <v>0</v>
      </c>
      <c r="CA165" s="386">
        <f t="shared" si="38"/>
        <v>0</v>
      </c>
      <c r="CB165" s="386">
        <f t="shared" si="38"/>
        <v>0</v>
      </c>
      <c r="CC165" s="386">
        <f t="shared" si="38"/>
        <v>0</v>
      </c>
      <c r="CD165" s="386">
        <f t="shared" si="38"/>
        <v>0</v>
      </c>
      <c r="CE165" s="386">
        <f t="shared" si="38"/>
        <v>0</v>
      </c>
      <c r="CF165" s="386">
        <f t="shared" si="38"/>
        <v>0</v>
      </c>
      <c r="CG165" s="386">
        <f t="shared" si="38"/>
        <v>0</v>
      </c>
      <c r="CH165" s="386">
        <f t="shared" si="38"/>
        <v>0</v>
      </c>
      <c r="CI165" s="386">
        <f t="shared" si="38"/>
        <v>0</v>
      </c>
      <c r="CJ165" s="386">
        <f t="shared" si="38"/>
        <v>0</v>
      </c>
      <c r="CK165" s="386">
        <f t="shared" si="38"/>
        <v>0</v>
      </c>
      <c r="CL165" s="386">
        <f t="shared" si="38"/>
        <v>0</v>
      </c>
      <c r="CM165" s="386">
        <f t="shared" si="38"/>
        <v>0</v>
      </c>
      <c r="CN165" s="386">
        <f t="shared" si="38"/>
        <v>0</v>
      </c>
      <c r="CO165" s="386">
        <f t="shared" si="38"/>
        <v>0</v>
      </c>
      <c r="CP165" s="386">
        <f t="shared" si="38"/>
        <v>0</v>
      </c>
      <c r="CQ165" s="386">
        <f t="shared" si="38"/>
        <v>0</v>
      </c>
      <c r="CR165" s="386">
        <f t="shared" si="38"/>
        <v>1</v>
      </c>
      <c r="CS165" s="386">
        <f t="shared" si="38"/>
        <v>0</v>
      </c>
      <c r="CT165" s="386">
        <f t="shared" si="38"/>
        <v>0</v>
      </c>
      <c r="CU165" s="386">
        <f t="shared" si="38"/>
        <v>0</v>
      </c>
      <c r="CV165" s="386">
        <f t="shared" si="38"/>
        <v>0</v>
      </c>
      <c r="CW165" s="386">
        <f t="shared" si="38"/>
        <v>0</v>
      </c>
      <c r="CX165" s="386">
        <f t="shared" si="38"/>
        <v>0</v>
      </c>
      <c r="CY165" s="386">
        <f t="shared" si="38"/>
        <v>0</v>
      </c>
      <c r="CZ165" s="386">
        <f t="shared" si="38"/>
        <v>0</v>
      </c>
      <c r="DA165" s="386">
        <f t="shared" si="38"/>
        <v>0</v>
      </c>
      <c r="DB165" s="386">
        <f t="shared" si="38"/>
        <v>0</v>
      </c>
      <c r="DC165" s="386">
        <f t="shared" si="38"/>
        <v>0</v>
      </c>
      <c r="DD165" s="386">
        <f t="shared" si="38"/>
        <v>0</v>
      </c>
      <c r="DE165" s="386">
        <f t="shared" si="38"/>
        <v>0</v>
      </c>
      <c r="DF165" s="386">
        <f t="shared" ref="DF165:DO165" si="39">SUM(DF156:DF164)</f>
        <v>265</v>
      </c>
      <c r="DG165" s="386">
        <f t="shared" si="39"/>
        <v>0</v>
      </c>
      <c r="DH165" s="386">
        <f t="shared" si="39"/>
        <v>0</v>
      </c>
      <c r="DI165" s="386">
        <f t="shared" si="39"/>
        <v>0</v>
      </c>
      <c r="DJ165" s="386">
        <f>SUM(DJ156:DJ164)</f>
        <v>0</v>
      </c>
      <c r="DK165" s="386">
        <f>SUM(DK156:DK164)</f>
        <v>0</v>
      </c>
      <c r="DL165" s="386">
        <f>SUM(DL156:DL164)</f>
        <v>265</v>
      </c>
      <c r="DM165" s="386">
        <f t="shared" si="39"/>
        <v>109</v>
      </c>
      <c r="DN165" s="386">
        <f t="shared" si="39"/>
        <v>312</v>
      </c>
      <c r="DO165" s="386">
        <f t="shared" si="39"/>
        <v>289</v>
      </c>
    </row>
    <row r="166" spans="1:121">
      <c r="A166" s="406"/>
      <c r="B166" s="405"/>
      <c r="C166" s="408"/>
      <c r="D166" s="409"/>
      <c r="E166" s="409"/>
      <c r="F166" s="409"/>
      <c r="G166" s="409"/>
      <c r="H166" s="409"/>
      <c r="I166" s="409"/>
      <c r="J166" s="409"/>
      <c r="K166" s="409"/>
      <c r="L166" s="409"/>
      <c r="M166" s="409"/>
      <c r="N166" s="409"/>
      <c r="O166" s="409"/>
      <c r="P166" s="410"/>
      <c r="Q166" s="410"/>
      <c r="R166" s="410"/>
      <c r="S166" s="410"/>
      <c r="T166" s="411"/>
      <c r="U166" s="405"/>
      <c r="V166" s="405"/>
      <c r="W166" s="405"/>
      <c r="X166" s="408"/>
      <c r="Y166" s="408"/>
      <c r="Z166" s="408"/>
      <c r="AA166" s="408"/>
      <c r="AB166" s="408"/>
      <c r="AC166" s="408"/>
      <c r="AD166" s="408"/>
      <c r="AE166" s="408"/>
      <c r="AF166" s="408"/>
      <c r="AG166" s="408"/>
      <c r="AH166" s="408"/>
      <c r="AI166" s="408"/>
      <c r="AJ166" s="408"/>
      <c r="AK166" s="408"/>
      <c r="AL166" s="408"/>
      <c r="AM166" s="408"/>
      <c r="AN166" s="408"/>
      <c r="AO166" s="408"/>
      <c r="AP166" s="408"/>
      <c r="AQ166" s="408"/>
      <c r="AR166" s="408"/>
      <c r="AS166" s="412"/>
      <c r="AT166" s="413"/>
      <c r="AU166" s="405"/>
      <c r="AV166" s="408"/>
      <c r="AW166" s="408"/>
      <c r="AX166" s="412"/>
      <c r="AY166" s="413"/>
      <c r="AZ166" s="405"/>
      <c r="BA166" s="408"/>
      <c r="BB166" s="1183"/>
      <c r="BC166" s="413"/>
      <c r="BD166" s="414"/>
      <c r="BE166" s="415"/>
      <c r="BF166" s="415"/>
      <c r="BG166" s="415"/>
      <c r="BH166" s="415"/>
      <c r="BI166" s="415"/>
      <c r="BJ166" s="655"/>
      <c r="BK166" s="415"/>
      <c r="BL166" s="415"/>
      <c r="BM166" s="415"/>
      <c r="BN166" s="415"/>
      <c r="BO166" s="415"/>
      <c r="BP166" s="415"/>
      <c r="BQ166" s="415"/>
      <c r="BR166" s="415"/>
      <c r="BS166" s="415"/>
      <c r="BT166" s="415"/>
      <c r="BU166" s="655"/>
      <c r="BV166" s="415"/>
      <c r="BW166" s="415"/>
      <c r="BX166" s="415"/>
      <c r="BY166" s="655"/>
      <c r="BZ166" s="655"/>
      <c r="CA166" s="655"/>
      <c r="CB166" s="415"/>
      <c r="CC166" s="655"/>
      <c r="CD166" s="415"/>
      <c r="CE166" s="415"/>
      <c r="CF166" s="415"/>
      <c r="CG166" s="415"/>
      <c r="CH166" s="415"/>
      <c r="CI166" s="656"/>
      <c r="CJ166" s="416"/>
      <c r="CK166" s="656"/>
      <c r="CL166" s="416"/>
      <c r="CM166" s="656"/>
      <c r="CN166" s="416"/>
      <c r="CO166" s="416"/>
      <c r="CP166" s="416"/>
      <c r="CQ166" s="656"/>
      <c r="CR166" s="656"/>
      <c r="CS166" s="416"/>
      <c r="CT166" s="416"/>
      <c r="CU166" s="416"/>
      <c r="CV166" s="416"/>
      <c r="CW166" s="416"/>
      <c r="CX166" s="656"/>
      <c r="CY166" s="656"/>
      <c r="CZ166" s="416"/>
      <c r="DA166" s="416"/>
      <c r="DB166" s="416"/>
      <c r="DC166" s="416"/>
      <c r="DD166" s="416"/>
      <c r="DE166" s="416"/>
      <c r="DF166" s="416"/>
      <c r="DG166" s="416"/>
      <c r="DH166" s="416"/>
      <c r="DI166" s="416"/>
      <c r="DJ166" s="416"/>
      <c r="DK166" s="416"/>
      <c r="DL166" s="416"/>
      <c r="DM166" s="416"/>
      <c r="DN166" s="416"/>
      <c r="DO166" s="417"/>
    </row>
    <row r="167" spans="1:121">
      <c r="A167" s="406"/>
      <c r="B167" s="405"/>
      <c r="C167" s="408"/>
      <c r="D167" s="409"/>
      <c r="E167" s="409"/>
      <c r="F167" s="409"/>
      <c r="G167" s="409"/>
      <c r="H167" s="409"/>
      <c r="I167" s="409"/>
      <c r="J167" s="409"/>
      <c r="K167" s="409"/>
      <c r="L167" s="409"/>
      <c r="M167" s="409"/>
      <c r="N167" s="409"/>
      <c r="O167" s="409"/>
      <c r="P167" s="410"/>
      <c r="Q167" s="410"/>
      <c r="R167" s="410"/>
      <c r="S167" s="410"/>
      <c r="T167" s="411"/>
      <c r="U167" s="405"/>
      <c r="V167" s="405"/>
      <c r="W167" s="405"/>
      <c r="X167" s="408"/>
      <c r="Y167" s="408"/>
      <c r="Z167" s="408"/>
      <c r="AA167" s="408"/>
      <c r="AB167" s="408"/>
      <c r="AC167" s="408"/>
      <c r="AD167" s="408"/>
      <c r="AE167" s="408"/>
      <c r="AF167" s="408"/>
      <c r="AG167" s="408"/>
      <c r="AH167" s="408"/>
      <c r="AI167" s="408"/>
      <c r="AJ167" s="408"/>
      <c r="AK167" s="408"/>
      <c r="AL167" s="408"/>
      <c r="AM167" s="408"/>
      <c r="AN167" s="408"/>
      <c r="AO167" s="408"/>
      <c r="AP167" s="408"/>
      <c r="AQ167" s="408"/>
      <c r="AR167" s="408"/>
      <c r="AS167" s="412"/>
      <c r="AT167" s="413"/>
      <c r="AU167" s="405"/>
      <c r="AV167" s="408"/>
      <c r="AW167" s="408"/>
      <c r="AX167" s="412"/>
      <c r="AY167" s="413"/>
      <c r="AZ167" s="405"/>
      <c r="BA167" s="408"/>
      <c r="BB167" s="1183"/>
      <c r="BC167" s="413"/>
      <c r="BD167" s="414"/>
      <c r="BE167" s="415"/>
      <c r="BF167" s="415"/>
      <c r="BG167" s="415"/>
      <c r="BH167" s="415"/>
      <c r="BI167" s="415"/>
      <c r="BJ167" s="655"/>
      <c r="BK167" s="415"/>
      <c r="BL167" s="415"/>
      <c r="BM167" s="415"/>
      <c r="BN167" s="415"/>
      <c r="BO167" s="415"/>
      <c r="BP167" s="415"/>
      <c r="BQ167" s="415"/>
      <c r="BR167" s="415"/>
      <c r="BS167" s="415"/>
      <c r="BT167" s="415"/>
      <c r="BU167" s="655"/>
      <c r="BV167" s="415"/>
      <c r="BW167" s="415"/>
      <c r="BX167" s="415"/>
      <c r="BY167" s="655"/>
      <c r="BZ167" s="655"/>
      <c r="CA167" s="655"/>
      <c r="CB167" s="415"/>
      <c r="CC167" s="655"/>
      <c r="CD167" s="415"/>
      <c r="CE167" s="415"/>
      <c r="CF167" s="415"/>
      <c r="CG167" s="415"/>
      <c r="CH167" s="415"/>
      <c r="CI167" s="656"/>
      <c r="CJ167" s="416"/>
      <c r="CK167" s="656"/>
      <c r="CL167" s="416"/>
      <c r="CM167" s="656"/>
      <c r="CN167" s="416"/>
      <c r="CO167" s="416"/>
      <c r="CP167" s="416"/>
      <c r="CQ167" s="656"/>
      <c r="CR167" s="656"/>
      <c r="CS167" s="416"/>
      <c r="CT167" s="416"/>
      <c r="CU167" s="416"/>
      <c r="CV167" s="416"/>
      <c r="CW167" s="416"/>
      <c r="CX167" s="656"/>
      <c r="CY167" s="656"/>
      <c r="CZ167" s="416"/>
      <c r="DA167" s="416"/>
      <c r="DB167" s="416"/>
      <c r="DC167" s="416"/>
      <c r="DD167" s="416"/>
      <c r="DE167" s="416"/>
      <c r="DF167" s="416"/>
      <c r="DG167" s="416"/>
      <c r="DH167" s="416"/>
      <c r="DI167" s="416"/>
      <c r="DJ167" s="416"/>
      <c r="DK167" s="416"/>
      <c r="DL167" s="416"/>
      <c r="DM167" s="416"/>
      <c r="DN167" s="416"/>
      <c r="DO167" s="417"/>
    </row>
    <row r="168" spans="1:121">
      <c r="A168" s="406"/>
      <c r="B168" s="405"/>
      <c r="C168" s="408"/>
      <c r="D168" s="409"/>
      <c r="E168" s="409"/>
      <c r="F168" s="409"/>
      <c r="G168" s="409"/>
      <c r="H168" s="409"/>
      <c r="I168" s="409"/>
      <c r="J168" s="409"/>
      <c r="K168" s="409"/>
      <c r="L168" s="409"/>
      <c r="M168" s="409"/>
      <c r="N168" s="409"/>
      <c r="O168" s="409"/>
      <c r="P168" s="410"/>
      <c r="Q168" s="410"/>
      <c r="R168" s="410"/>
      <c r="S168" s="410"/>
      <c r="T168" s="411"/>
      <c r="U168" s="405"/>
      <c r="V168" s="405"/>
      <c r="W168" s="405"/>
      <c r="X168" s="408"/>
      <c r="Y168" s="408"/>
      <c r="Z168" s="408"/>
      <c r="AA168" s="408"/>
      <c r="AB168" s="408"/>
      <c r="AC168" s="408"/>
      <c r="AD168" s="408"/>
      <c r="AE168" s="408"/>
      <c r="AF168" s="408"/>
      <c r="AG168" s="408"/>
      <c r="AH168" s="408"/>
      <c r="AI168" s="408"/>
      <c r="AJ168" s="408"/>
      <c r="AK168" s="408"/>
      <c r="AL168" s="408"/>
      <c r="AM168" s="408"/>
      <c r="AN168" s="408"/>
      <c r="AO168" s="408"/>
      <c r="AP168" s="408"/>
      <c r="AQ168" s="408"/>
      <c r="AR168" s="408"/>
      <c r="AS168" s="412"/>
      <c r="AT168" s="413"/>
      <c r="AU168" s="405"/>
      <c r="AV168" s="408"/>
      <c r="AW168" s="408"/>
      <c r="AX168" s="412"/>
      <c r="AY168" s="413"/>
      <c r="AZ168" s="405"/>
      <c r="BA168" s="408"/>
      <c r="BB168" s="1183"/>
      <c r="BC168" s="413"/>
      <c r="BD168" s="414"/>
      <c r="BE168" s="415"/>
      <c r="BF168" s="415"/>
      <c r="BG168" s="415"/>
      <c r="BH168" s="415"/>
      <c r="BI168" s="415"/>
      <c r="BJ168" s="655"/>
      <c r="BK168" s="415"/>
      <c r="BL168" s="415"/>
      <c r="BM168" s="415"/>
      <c r="BN168" s="415"/>
      <c r="BO168" s="415"/>
      <c r="BP168" s="415"/>
      <c r="BQ168" s="415"/>
      <c r="BR168" s="415"/>
      <c r="BS168" s="415"/>
      <c r="BT168" s="415"/>
      <c r="BU168" s="655"/>
      <c r="BV168" s="415"/>
      <c r="BW168" s="415"/>
      <c r="BX168" s="415"/>
      <c r="BY168" s="655"/>
      <c r="BZ168" s="655"/>
      <c r="CA168" s="655"/>
      <c r="CB168" s="415"/>
      <c r="CC168" s="655"/>
      <c r="CD168" s="415"/>
      <c r="CE168" s="415"/>
      <c r="CF168" s="415"/>
      <c r="CG168" s="415"/>
      <c r="CH168" s="415"/>
      <c r="CI168" s="656"/>
      <c r="CJ168" s="416"/>
      <c r="CK168" s="656"/>
      <c r="CL168" s="416"/>
      <c r="CM168" s="656"/>
      <c r="CN168" s="416"/>
      <c r="CO168" s="416"/>
      <c r="CP168" s="416"/>
      <c r="CQ168" s="656"/>
      <c r="CR168" s="656"/>
      <c r="CS168" s="416"/>
      <c r="CT168" s="416"/>
      <c r="CU168" s="416"/>
      <c r="CV168" s="416"/>
      <c r="CW168" s="416"/>
      <c r="CX168" s="656"/>
      <c r="CY168" s="656"/>
      <c r="CZ168" s="416"/>
      <c r="DA168" s="416"/>
      <c r="DB168" s="416"/>
      <c r="DC168" s="416"/>
      <c r="DD168" s="416"/>
      <c r="DE168" s="416"/>
      <c r="DF168" s="416"/>
      <c r="DG168" s="416"/>
      <c r="DH168" s="416"/>
      <c r="DI168" s="416"/>
      <c r="DJ168" s="416"/>
      <c r="DK168" s="416"/>
      <c r="DL168" s="416"/>
      <c r="DM168" s="416"/>
      <c r="DN168" s="416"/>
      <c r="DO168" s="417"/>
    </row>
    <row r="169" spans="1:121">
      <c r="A169" s="406"/>
      <c r="B169" s="405"/>
      <c r="C169" s="408"/>
      <c r="D169" s="409"/>
      <c r="E169" s="409"/>
      <c r="F169" s="409"/>
      <c r="G169" s="409"/>
      <c r="H169" s="409"/>
      <c r="I169" s="409"/>
      <c r="J169" s="409"/>
      <c r="K169" s="409"/>
      <c r="L169" s="409"/>
      <c r="M169" s="409"/>
      <c r="N169" s="409"/>
      <c r="O169" s="409"/>
      <c r="P169" s="410"/>
      <c r="Q169" s="410"/>
      <c r="R169" s="410"/>
      <c r="S169" s="410"/>
      <c r="T169" s="411"/>
      <c r="U169" s="405"/>
      <c r="V169" s="405"/>
      <c r="W169" s="405"/>
      <c r="X169" s="408"/>
      <c r="Y169" s="408"/>
      <c r="Z169" s="408"/>
      <c r="AA169" s="408"/>
      <c r="AB169" s="408"/>
      <c r="AC169" s="408"/>
      <c r="AD169" s="408"/>
      <c r="AE169" s="408"/>
      <c r="AF169" s="408"/>
      <c r="AG169" s="408"/>
      <c r="AH169" s="408"/>
      <c r="AI169" s="408"/>
      <c r="AJ169" s="408"/>
      <c r="AK169" s="408"/>
      <c r="AL169" s="408"/>
      <c r="AM169" s="408"/>
      <c r="AN169" s="408"/>
      <c r="AO169" s="408"/>
      <c r="AP169" s="408"/>
      <c r="AQ169" s="408"/>
      <c r="AR169" s="408"/>
      <c r="AS169" s="412"/>
      <c r="AT169" s="413"/>
      <c r="AU169" s="405"/>
      <c r="AV169" s="408"/>
      <c r="AW169" s="408"/>
      <c r="AX169" s="412"/>
      <c r="AY169" s="413"/>
      <c r="AZ169" s="405"/>
      <c r="BA169" s="408"/>
      <c r="BB169" s="1183"/>
      <c r="BC169" s="413"/>
      <c r="BD169" s="414"/>
      <c r="BE169" s="415"/>
      <c r="BF169" s="415"/>
      <c r="BG169" s="415"/>
      <c r="BH169" s="415"/>
      <c r="BI169" s="415"/>
      <c r="BJ169" s="655"/>
      <c r="BK169" s="415"/>
      <c r="BL169" s="415"/>
      <c r="BM169" s="415"/>
      <c r="BN169" s="415"/>
      <c r="BO169" s="415"/>
      <c r="BP169" s="415"/>
      <c r="BQ169" s="415"/>
      <c r="BR169" s="415"/>
      <c r="BS169" s="415"/>
      <c r="BT169" s="415"/>
      <c r="BU169" s="655"/>
      <c r="BV169" s="415"/>
      <c r="BW169" s="415"/>
      <c r="BX169" s="415"/>
      <c r="BY169" s="655"/>
      <c r="BZ169" s="655"/>
      <c r="CA169" s="655"/>
      <c r="CB169" s="415"/>
      <c r="CC169" s="655"/>
      <c r="CD169" s="415"/>
      <c r="CE169" s="415"/>
      <c r="CF169" s="415"/>
      <c r="CG169" s="415"/>
      <c r="CH169" s="415"/>
      <c r="CI169" s="656"/>
      <c r="CJ169" s="416"/>
      <c r="CK169" s="656"/>
      <c r="CL169" s="416"/>
      <c r="CM169" s="656"/>
      <c r="CN169" s="416"/>
      <c r="CO169" s="416"/>
      <c r="CP169" s="416"/>
      <c r="CQ169" s="656"/>
      <c r="CR169" s="656"/>
      <c r="CS169" s="416"/>
      <c r="CT169" s="416"/>
      <c r="CU169" s="416"/>
      <c r="CV169" s="416"/>
      <c r="CW169" s="416"/>
      <c r="CX169" s="656"/>
      <c r="CY169" s="656"/>
      <c r="CZ169" s="416"/>
      <c r="DA169" s="416"/>
      <c r="DB169" s="416"/>
      <c r="DC169" s="416"/>
      <c r="DD169" s="416"/>
      <c r="DE169" s="416"/>
      <c r="DF169" s="416"/>
      <c r="DG169" s="416"/>
      <c r="DH169" s="416"/>
      <c r="DI169" s="416"/>
      <c r="DJ169" s="416"/>
      <c r="DK169" s="416"/>
      <c r="DL169" s="416"/>
      <c r="DM169" s="416"/>
      <c r="DN169" s="416"/>
      <c r="DO169" s="417"/>
    </row>
    <row r="170" spans="1:121">
      <c r="A170" s="406"/>
      <c r="B170" s="405"/>
      <c r="C170" s="408"/>
      <c r="D170" s="409"/>
      <c r="E170" s="409"/>
      <c r="F170" s="409"/>
      <c r="G170" s="409"/>
      <c r="H170" s="409"/>
      <c r="I170" s="409"/>
      <c r="J170" s="409"/>
      <c r="K170" s="409"/>
      <c r="L170" s="409"/>
      <c r="M170" s="409"/>
      <c r="N170" s="409"/>
      <c r="O170" s="409"/>
      <c r="P170" s="410"/>
      <c r="Q170" s="410"/>
      <c r="R170" s="410"/>
      <c r="S170" s="410"/>
      <c r="T170" s="411"/>
      <c r="U170" s="405"/>
      <c r="V170" s="405"/>
      <c r="W170" s="405"/>
      <c r="X170" s="408"/>
      <c r="Y170" s="408"/>
      <c r="Z170" s="408"/>
      <c r="AA170" s="408"/>
      <c r="AB170" s="408"/>
      <c r="AC170" s="408"/>
      <c r="AD170" s="408"/>
      <c r="AE170" s="408"/>
      <c r="AF170" s="408"/>
      <c r="AG170" s="408"/>
      <c r="AH170" s="408"/>
      <c r="AI170" s="408"/>
      <c r="AJ170" s="408"/>
      <c r="AK170" s="408"/>
      <c r="AL170" s="408"/>
      <c r="AM170" s="408"/>
      <c r="AN170" s="408"/>
      <c r="AO170" s="408"/>
      <c r="AP170" s="408"/>
      <c r="AQ170" s="408"/>
      <c r="AR170" s="408"/>
      <c r="AS170" s="412"/>
      <c r="AT170" s="413"/>
      <c r="AU170" s="405"/>
      <c r="AV170" s="408"/>
      <c r="AW170" s="408"/>
      <c r="AX170" s="412"/>
      <c r="AY170" s="413"/>
      <c r="AZ170" s="405"/>
      <c r="BA170" s="408"/>
      <c r="BB170" s="1183"/>
      <c r="BC170" s="413"/>
      <c r="BD170" s="414"/>
      <c r="BE170" s="415"/>
      <c r="BF170" s="415"/>
      <c r="BG170" s="415"/>
      <c r="BH170" s="415"/>
      <c r="BI170" s="415"/>
      <c r="BJ170" s="655"/>
      <c r="BK170" s="415"/>
      <c r="BL170" s="415"/>
      <c r="BM170" s="415"/>
      <c r="BN170" s="415"/>
      <c r="BO170" s="415"/>
      <c r="BP170" s="415"/>
      <c r="BQ170" s="415"/>
      <c r="BR170" s="415"/>
      <c r="BS170" s="415"/>
      <c r="BT170" s="415"/>
      <c r="BU170" s="655"/>
      <c r="BV170" s="415"/>
      <c r="BW170" s="415"/>
      <c r="BX170" s="415"/>
      <c r="BY170" s="655"/>
      <c r="BZ170" s="655"/>
      <c r="CA170" s="655"/>
      <c r="CB170" s="415"/>
      <c r="CC170" s="655"/>
      <c r="CD170" s="415"/>
      <c r="CE170" s="415"/>
      <c r="CF170" s="415"/>
      <c r="CG170" s="415"/>
      <c r="CH170" s="415"/>
      <c r="CI170" s="656"/>
      <c r="CJ170" s="416"/>
      <c r="CK170" s="656"/>
      <c r="CL170" s="416"/>
      <c r="CM170" s="656"/>
      <c r="CN170" s="416"/>
      <c r="CO170" s="416"/>
      <c r="CP170" s="416"/>
      <c r="CQ170" s="656"/>
      <c r="CR170" s="656"/>
      <c r="CS170" s="416"/>
      <c r="CT170" s="416"/>
      <c r="CU170" s="416"/>
      <c r="CV170" s="416"/>
      <c r="CW170" s="416"/>
      <c r="CX170" s="656"/>
      <c r="CY170" s="656"/>
      <c r="CZ170" s="416"/>
      <c r="DA170" s="416"/>
      <c r="DB170" s="416"/>
      <c r="DC170" s="416"/>
      <c r="DD170" s="416"/>
      <c r="DE170" s="416"/>
      <c r="DF170" s="416"/>
      <c r="DG170" s="416"/>
      <c r="DH170" s="416"/>
      <c r="DI170" s="416"/>
      <c r="DJ170" s="416"/>
      <c r="DK170" s="416"/>
      <c r="DL170" s="416"/>
      <c r="DM170" s="416"/>
      <c r="DN170" s="416"/>
      <c r="DO170" s="417"/>
    </row>
    <row r="171" spans="1:121">
      <c r="A171" s="406"/>
      <c r="B171" s="405"/>
      <c r="C171" s="408"/>
      <c r="D171" s="409"/>
      <c r="E171" s="409"/>
      <c r="F171" s="409"/>
      <c r="G171" s="409"/>
      <c r="H171" s="409"/>
      <c r="I171" s="409"/>
      <c r="J171" s="409"/>
      <c r="K171" s="409"/>
      <c r="L171" s="409"/>
      <c r="M171" s="409"/>
      <c r="N171" s="409"/>
      <c r="O171" s="409"/>
      <c r="P171" s="410"/>
      <c r="Q171" s="410"/>
      <c r="R171" s="410"/>
      <c r="S171" s="410"/>
      <c r="T171" s="411"/>
      <c r="U171" s="405"/>
      <c r="V171" s="405"/>
      <c r="W171" s="405"/>
      <c r="X171" s="408"/>
      <c r="Y171" s="408"/>
      <c r="Z171" s="408"/>
      <c r="AA171" s="408"/>
      <c r="AB171" s="408"/>
      <c r="AC171" s="408"/>
      <c r="AD171" s="408"/>
      <c r="AE171" s="408"/>
      <c r="AF171" s="408"/>
      <c r="AG171" s="408"/>
      <c r="AH171" s="408"/>
      <c r="AI171" s="408"/>
      <c r="AJ171" s="408"/>
      <c r="AK171" s="408"/>
      <c r="AL171" s="408"/>
      <c r="AM171" s="408"/>
      <c r="AN171" s="408"/>
      <c r="AO171" s="408"/>
      <c r="AP171" s="408"/>
      <c r="AQ171" s="408"/>
      <c r="AR171" s="408"/>
      <c r="AS171" s="412"/>
      <c r="AT171" s="413"/>
      <c r="AU171" s="405"/>
      <c r="AV171" s="408"/>
      <c r="AW171" s="408"/>
      <c r="AX171" s="412"/>
      <c r="AY171" s="413"/>
      <c r="AZ171" s="405"/>
      <c r="BA171" s="408"/>
      <c r="BB171" s="1183"/>
      <c r="BC171" s="413"/>
      <c r="BD171" s="414"/>
      <c r="BE171" s="415"/>
      <c r="BF171" s="415"/>
      <c r="BG171" s="415"/>
      <c r="BH171" s="415"/>
      <c r="BI171" s="415"/>
      <c r="BJ171" s="655"/>
      <c r="BK171" s="415"/>
      <c r="BL171" s="415"/>
      <c r="BM171" s="415"/>
      <c r="BN171" s="415"/>
      <c r="BO171" s="415"/>
      <c r="BP171" s="415"/>
      <c r="BQ171" s="415"/>
      <c r="BR171" s="415"/>
      <c r="BS171" s="415"/>
      <c r="BT171" s="415"/>
      <c r="BU171" s="655"/>
      <c r="BV171" s="415"/>
      <c r="BW171" s="415"/>
      <c r="BX171" s="415"/>
      <c r="BY171" s="655"/>
      <c r="BZ171" s="655"/>
      <c r="CA171" s="655"/>
      <c r="CB171" s="415"/>
      <c r="CC171" s="655"/>
      <c r="CD171" s="415"/>
      <c r="CE171" s="415"/>
      <c r="CF171" s="415"/>
      <c r="CG171" s="415"/>
      <c r="CH171" s="415"/>
      <c r="CI171" s="656"/>
      <c r="CJ171" s="416"/>
      <c r="CK171" s="656"/>
      <c r="CL171" s="416"/>
      <c r="CM171" s="656"/>
      <c r="CN171" s="416"/>
      <c r="CO171" s="416"/>
      <c r="CP171" s="416"/>
      <c r="CQ171" s="656"/>
      <c r="CR171" s="656"/>
      <c r="CS171" s="416"/>
      <c r="CT171" s="416"/>
      <c r="CU171" s="416"/>
      <c r="CV171" s="416"/>
      <c r="CW171" s="416"/>
      <c r="CX171" s="656"/>
      <c r="CY171" s="656"/>
      <c r="CZ171" s="416"/>
      <c r="DA171" s="416"/>
      <c r="DB171" s="416"/>
      <c r="DC171" s="416"/>
      <c r="DD171" s="416"/>
      <c r="DE171" s="416"/>
      <c r="DF171" s="416"/>
      <c r="DG171" s="416"/>
      <c r="DH171" s="416"/>
      <c r="DI171" s="416"/>
      <c r="DJ171" s="416"/>
      <c r="DK171" s="416"/>
      <c r="DL171" s="416"/>
      <c r="DM171" s="416"/>
      <c r="DN171" s="416"/>
      <c r="DO171" s="417"/>
    </row>
    <row r="172" spans="1:121">
      <c r="A172" s="316"/>
      <c r="B172" s="419"/>
      <c r="C172" s="420"/>
      <c r="D172" s="421"/>
      <c r="E172" s="421"/>
      <c r="F172" s="421"/>
      <c r="G172" s="421"/>
      <c r="H172" s="421"/>
      <c r="I172" s="421"/>
      <c r="J172" s="421"/>
      <c r="K172" s="421"/>
      <c r="L172" s="421"/>
      <c r="M172" s="421"/>
      <c r="N172" s="421"/>
      <c r="O172" s="421"/>
      <c r="P172" s="422"/>
      <c r="Q172" s="422"/>
      <c r="R172" s="422"/>
      <c r="S172" s="422"/>
      <c r="T172" s="423"/>
      <c r="U172" s="419"/>
      <c r="V172" s="419"/>
      <c r="W172" s="419"/>
      <c r="X172" s="420"/>
      <c r="Y172" s="420"/>
      <c r="Z172" s="420"/>
      <c r="AA172" s="420"/>
      <c r="AB172" s="420"/>
      <c r="AC172" s="420"/>
      <c r="AD172" s="420"/>
      <c r="AE172" s="420"/>
      <c r="AF172" s="420"/>
      <c r="AG172" s="420"/>
      <c r="AH172" s="420"/>
      <c r="AI172" s="420"/>
      <c r="AJ172" s="420"/>
      <c r="AK172" s="420"/>
      <c r="AL172" s="420"/>
      <c r="AM172" s="420"/>
      <c r="AN172" s="420"/>
      <c r="AO172" s="420"/>
      <c r="AP172" s="420"/>
      <c r="AQ172" s="420"/>
      <c r="AR172" s="420"/>
      <c r="AS172" s="424"/>
      <c r="AT172" s="425"/>
      <c r="AU172" s="419"/>
      <c r="AV172" s="420"/>
      <c r="AW172" s="420"/>
      <c r="AX172" s="424"/>
      <c r="AY172" s="425"/>
      <c r="AZ172" s="419"/>
      <c r="BA172" s="420"/>
      <c r="BB172" s="424"/>
      <c r="BC172" s="425"/>
      <c r="BD172" s="426"/>
      <c r="BE172" s="427"/>
      <c r="BF172" s="427"/>
      <c r="BG172" s="427"/>
      <c r="BH172" s="427"/>
      <c r="BI172" s="427"/>
      <c r="BJ172" s="427"/>
      <c r="BK172" s="427"/>
      <c r="BL172" s="427"/>
      <c r="BM172" s="427"/>
      <c r="BN172" s="427"/>
      <c r="BO172" s="427"/>
      <c r="BP172" s="427"/>
      <c r="BQ172" s="427"/>
      <c r="BR172" s="427"/>
      <c r="BS172" s="427"/>
      <c r="BT172" s="427"/>
      <c r="BU172" s="427"/>
      <c r="BV172" s="427"/>
      <c r="BW172" s="427"/>
      <c r="BX172" s="427"/>
      <c r="BY172" s="427"/>
      <c r="BZ172" s="427"/>
      <c r="CA172" s="427"/>
      <c r="CB172" s="427"/>
      <c r="CC172" s="427"/>
      <c r="CD172" s="427"/>
      <c r="CE172" s="427"/>
      <c r="CF172" s="427"/>
      <c r="CG172" s="427"/>
      <c r="CH172" s="427"/>
      <c r="CI172" s="428"/>
      <c r="CJ172" s="428"/>
      <c r="CK172" s="428"/>
      <c r="CL172" s="428"/>
      <c r="CM172" s="428"/>
      <c r="CN172" s="428"/>
      <c r="CO172" s="428"/>
      <c r="CP172" s="428"/>
      <c r="CQ172" s="428"/>
      <c r="CR172" s="428"/>
      <c r="CS172" s="428"/>
      <c r="CT172" s="428"/>
      <c r="CU172" s="428"/>
      <c r="CV172" s="428"/>
      <c r="CW172" s="428"/>
      <c r="CX172" s="428"/>
      <c r="CY172" s="428"/>
      <c r="CZ172" s="428"/>
      <c r="DA172" s="428"/>
      <c r="DB172" s="428"/>
      <c r="DC172" s="428"/>
      <c r="DD172" s="428"/>
      <c r="DE172" s="428"/>
      <c r="DF172" s="428"/>
      <c r="DG172" s="428"/>
      <c r="DH172" s="428"/>
      <c r="DI172" s="428"/>
      <c r="DJ172" s="428"/>
      <c r="DK172" s="428"/>
      <c r="DL172" s="428"/>
      <c r="DM172" s="428"/>
      <c r="DN172" s="428"/>
      <c r="DO172" s="429"/>
    </row>
    <row r="173" spans="1:121" ht="19.5" thickBot="1">
      <c r="A173" s="430"/>
      <c r="B173" s="431" t="s">
        <v>181</v>
      </c>
      <c r="C173" s="432">
        <f t="shared" ref="C173:AK173" si="40">SUM(C66+C99+C153+C165)</f>
        <v>655</v>
      </c>
      <c r="D173" s="432">
        <f t="shared" si="40"/>
        <v>5036</v>
      </c>
      <c r="E173" s="432">
        <f t="shared" si="40"/>
        <v>483</v>
      </c>
      <c r="F173" s="432">
        <f t="shared" si="40"/>
        <v>186</v>
      </c>
      <c r="G173" s="432">
        <f t="shared" si="40"/>
        <v>0</v>
      </c>
      <c r="H173" s="432">
        <f t="shared" si="40"/>
        <v>3351</v>
      </c>
      <c r="I173" s="432">
        <f t="shared" si="40"/>
        <v>0</v>
      </c>
      <c r="J173" s="432">
        <f t="shared" si="40"/>
        <v>0</v>
      </c>
      <c r="K173" s="432">
        <f t="shared" si="40"/>
        <v>0</v>
      </c>
      <c r="L173" s="432">
        <f t="shared" si="40"/>
        <v>0</v>
      </c>
      <c r="M173" s="432">
        <f t="shared" si="40"/>
        <v>0</v>
      </c>
      <c r="N173" s="432">
        <f t="shared" si="40"/>
        <v>0</v>
      </c>
      <c r="O173" s="432">
        <f t="shared" si="40"/>
        <v>0</v>
      </c>
      <c r="P173" s="432">
        <f t="shared" si="40"/>
        <v>0</v>
      </c>
      <c r="Q173" s="432">
        <f t="shared" si="40"/>
        <v>0</v>
      </c>
      <c r="R173" s="432">
        <f t="shared" si="40"/>
        <v>0</v>
      </c>
      <c r="S173" s="432">
        <f t="shared" si="40"/>
        <v>0</v>
      </c>
      <c r="T173" s="432">
        <f t="shared" si="40"/>
        <v>483</v>
      </c>
      <c r="U173" s="432">
        <f t="shared" si="40"/>
        <v>6342</v>
      </c>
      <c r="V173" s="432">
        <f t="shared" si="40"/>
        <v>501</v>
      </c>
      <c r="W173" s="432">
        <f t="shared" si="40"/>
        <v>0</v>
      </c>
      <c r="X173" s="432">
        <f t="shared" si="40"/>
        <v>0</v>
      </c>
      <c r="Y173" s="432">
        <f t="shared" si="40"/>
        <v>0</v>
      </c>
      <c r="Z173" s="432">
        <f t="shared" si="40"/>
        <v>124</v>
      </c>
      <c r="AA173" s="432"/>
      <c r="AB173" s="432"/>
      <c r="AC173" s="432">
        <f t="shared" si="40"/>
        <v>5331</v>
      </c>
      <c r="AD173" s="432">
        <f t="shared" si="40"/>
        <v>10028</v>
      </c>
      <c r="AE173" s="432">
        <f t="shared" si="40"/>
        <v>0</v>
      </c>
      <c r="AF173" s="432">
        <f t="shared" si="40"/>
        <v>0</v>
      </c>
      <c r="AG173" s="432">
        <f t="shared" si="40"/>
        <v>1028</v>
      </c>
      <c r="AH173" s="432">
        <f t="shared" si="40"/>
        <v>0</v>
      </c>
      <c r="AI173" s="432">
        <f t="shared" si="40"/>
        <v>0</v>
      </c>
      <c r="AJ173" s="432">
        <f t="shared" si="40"/>
        <v>0</v>
      </c>
      <c r="AK173" s="432">
        <f t="shared" si="40"/>
        <v>0</v>
      </c>
      <c r="AL173" s="432">
        <f t="shared" ref="AL173:BR173" si="41">SUM(AL66+AL99+AL153+AL165)</f>
        <v>0</v>
      </c>
      <c r="AM173" s="432">
        <f t="shared" si="41"/>
        <v>0</v>
      </c>
      <c r="AN173" s="432">
        <f t="shared" si="41"/>
        <v>0</v>
      </c>
      <c r="AO173" s="432">
        <f t="shared" si="41"/>
        <v>0</v>
      </c>
      <c r="AP173" s="432">
        <f t="shared" si="41"/>
        <v>0</v>
      </c>
      <c r="AQ173" s="432">
        <f t="shared" si="41"/>
        <v>1505.6999999999998</v>
      </c>
      <c r="AR173" s="432">
        <f t="shared" si="41"/>
        <v>48.000000000000007</v>
      </c>
      <c r="AS173" s="432">
        <f t="shared" si="41"/>
        <v>0</v>
      </c>
      <c r="AT173" s="432">
        <f t="shared" si="41"/>
        <v>1045.2</v>
      </c>
      <c r="AU173" s="432">
        <f t="shared" si="41"/>
        <v>1715</v>
      </c>
      <c r="AV173" s="432">
        <f t="shared" si="41"/>
        <v>483</v>
      </c>
      <c r="AW173" s="432">
        <f t="shared" si="41"/>
        <v>3111</v>
      </c>
      <c r="AX173" s="432">
        <f t="shared" si="41"/>
        <v>0</v>
      </c>
      <c r="AY173" s="432">
        <f t="shared" si="41"/>
        <v>0</v>
      </c>
      <c r="AZ173" s="432">
        <f t="shared" si="41"/>
        <v>7311</v>
      </c>
      <c r="BA173" s="432">
        <f t="shared" si="41"/>
        <v>5247</v>
      </c>
      <c r="BB173" s="432">
        <f t="shared" si="41"/>
        <v>0</v>
      </c>
      <c r="BC173" s="432">
        <f t="shared" si="41"/>
        <v>5309</v>
      </c>
      <c r="BD173" s="432">
        <f t="shared" si="41"/>
        <v>1</v>
      </c>
      <c r="BE173" s="432">
        <f t="shared" si="41"/>
        <v>7</v>
      </c>
      <c r="BF173" s="432">
        <f t="shared" si="41"/>
        <v>3</v>
      </c>
      <c r="BG173" s="432">
        <f t="shared" si="41"/>
        <v>2</v>
      </c>
      <c r="BH173" s="432">
        <f t="shared" si="41"/>
        <v>3</v>
      </c>
      <c r="BI173" s="432">
        <f t="shared" si="41"/>
        <v>2</v>
      </c>
      <c r="BJ173" s="432">
        <f t="shared" si="41"/>
        <v>2</v>
      </c>
      <c r="BK173" s="432">
        <f t="shared" si="41"/>
        <v>3</v>
      </c>
      <c r="BL173" s="432">
        <f t="shared" si="41"/>
        <v>1</v>
      </c>
      <c r="BM173" s="432">
        <f t="shared" si="41"/>
        <v>2</v>
      </c>
      <c r="BN173" s="432">
        <f t="shared" si="41"/>
        <v>2</v>
      </c>
      <c r="BO173" s="432">
        <f t="shared" si="41"/>
        <v>4</v>
      </c>
      <c r="BP173" s="432">
        <f t="shared" si="41"/>
        <v>12</v>
      </c>
      <c r="BQ173" s="432">
        <f t="shared" si="41"/>
        <v>3</v>
      </c>
      <c r="BR173" s="432">
        <f t="shared" si="41"/>
        <v>5</v>
      </c>
      <c r="BS173" s="432">
        <f t="shared" ref="BS173:CX173" si="42">SUM(BS66+BS99+BS153+BS165)</f>
        <v>44</v>
      </c>
      <c r="BT173" s="432">
        <f t="shared" si="42"/>
        <v>1</v>
      </c>
      <c r="BU173" s="432">
        <f t="shared" si="42"/>
        <v>0</v>
      </c>
      <c r="BV173" s="432">
        <f t="shared" si="42"/>
        <v>1</v>
      </c>
      <c r="BW173" s="432">
        <f t="shared" si="42"/>
        <v>1</v>
      </c>
      <c r="BX173" s="432">
        <f t="shared" si="42"/>
        <v>0</v>
      </c>
      <c r="BY173" s="432">
        <f t="shared" si="42"/>
        <v>0</v>
      </c>
      <c r="BZ173" s="432">
        <f t="shared" si="42"/>
        <v>0</v>
      </c>
      <c r="CA173" s="432">
        <f t="shared" si="42"/>
        <v>0</v>
      </c>
      <c r="CB173" s="432">
        <f t="shared" si="42"/>
        <v>37</v>
      </c>
      <c r="CC173" s="432">
        <f t="shared" si="42"/>
        <v>14</v>
      </c>
      <c r="CD173" s="432">
        <f t="shared" si="42"/>
        <v>5</v>
      </c>
      <c r="CE173" s="432">
        <f t="shared" si="42"/>
        <v>1</v>
      </c>
      <c r="CF173" s="432">
        <f t="shared" si="42"/>
        <v>2</v>
      </c>
      <c r="CG173" s="432">
        <f t="shared" si="42"/>
        <v>4</v>
      </c>
      <c r="CH173" s="432">
        <f t="shared" si="42"/>
        <v>2</v>
      </c>
      <c r="CI173" s="432">
        <f t="shared" si="42"/>
        <v>1</v>
      </c>
      <c r="CJ173" s="432">
        <f t="shared" si="42"/>
        <v>6</v>
      </c>
      <c r="CK173" s="432">
        <f t="shared" si="42"/>
        <v>12</v>
      </c>
      <c r="CL173" s="432">
        <f t="shared" si="42"/>
        <v>1</v>
      </c>
      <c r="CM173" s="432">
        <f t="shared" si="42"/>
        <v>2</v>
      </c>
      <c r="CN173" s="432">
        <f t="shared" si="42"/>
        <v>4</v>
      </c>
      <c r="CO173" s="432">
        <f t="shared" si="42"/>
        <v>4</v>
      </c>
      <c r="CP173" s="432">
        <f t="shared" si="42"/>
        <v>1</v>
      </c>
      <c r="CQ173" s="432">
        <f t="shared" si="42"/>
        <v>2</v>
      </c>
      <c r="CR173" s="432">
        <f t="shared" si="42"/>
        <v>1</v>
      </c>
      <c r="CS173" s="432">
        <f t="shared" si="42"/>
        <v>4</v>
      </c>
      <c r="CT173" s="432">
        <f t="shared" si="42"/>
        <v>1</v>
      </c>
      <c r="CU173" s="432">
        <f t="shared" si="42"/>
        <v>1</v>
      </c>
      <c r="CV173" s="432">
        <f t="shared" si="42"/>
        <v>1</v>
      </c>
      <c r="CW173" s="432">
        <f t="shared" si="42"/>
        <v>2</v>
      </c>
      <c r="CX173" s="432">
        <f t="shared" si="42"/>
        <v>1</v>
      </c>
      <c r="CY173" s="432">
        <f t="shared" ref="CY173:DO173" si="43">SUM(CY66+CY99+CY153+CY165)</f>
        <v>4</v>
      </c>
      <c r="CZ173" s="432">
        <f t="shared" si="43"/>
        <v>0</v>
      </c>
      <c r="DA173" s="432">
        <f t="shared" si="43"/>
        <v>0</v>
      </c>
      <c r="DB173" s="432">
        <f t="shared" si="43"/>
        <v>0</v>
      </c>
      <c r="DC173" s="432">
        <f t="shared" si="43"/>
        <v>0</v>
      </c>
      <c r="DD173" s="432">
        <f t="shared" si="43"/>
        <v>0</v>
      </c>
      <c r="DE173" s="432">
        <f t="shared" si="43"/>
        <v>0</v>
      </c>
      <c r="DF173" s="432">
        <f t="shared" si="43"/>
        <v>265</v>
      </c>
      <c r="DG173" s="432">
        <f t="shared" si="43"/>
        <v>0</v>
      </c>
      <c r="DH173" s="432">
        <f t="shared" si="43"/>
        <v>0</v>
      </c>
      <c r="DI173" s="432">
        <f t="shared" si="43"/>
        <v>0</v>
      </c>
      <c r="DJ173" s="432">
        <f t="shared" si="43"/>
        <v>0</v>
      </c>
      <c r="DK173" s="432">
        <f t="shared" si="43"/>
        <v>0</v>
      </c>
      <c r="DL173" s="432">
        <f t="shared" si="43"/>
        <v>265</v>
      </c>
      <c r="DM173" s="432">
        <f t="shared" si="43"/>
        <v>109</v>
      </c>
      <c r="DN173" s="432">
        <f t="shared" si="43"/>
        <v>852</v>
      </c>
      <c r="DO173" s="432">
        <f t="shared" si="43"/>
        <v>289</v>
      </c>
    </row>
    <row r="174" spans="1:121" ht="17.25" thickTop="1">
      <c r="AT174" s="433"/>
      <c r="AU174" s="433"/>
    </row>
    <row r="175" spans="1:121">
      <c r="AT175" s="433"/>
      <c r="AU175" s="433"/>
    </row>
    <row r="176" spans="1:121">
      <c r="AT176" s="433"/>
      <c r="AU176" s="433"/>
    </row>
    <row r="177" spans="1:128">
      <c r="AT177" s="433"/>
      <c r="AU177" s="433"/>
    </row>
    <row r="178" spans="1:128">
      <c r="B178" s="317" t="s">
        <v>645</v>
      </c>
      <c r="AT178" s="433"/>
      <c r="AU178" s="433"/>
    </row>
    <row r="179" spans="1:128">
      <c r="B179" s="654"/>
      <c r="AT179" s="433"/>
      <c r="AU179" s="433"/>
    </row>
    <row r="180" spans="1:128">
      <c r="B180" s="654"/>
      <c r="AT180" s="433"/>
      <c r="AU180" s="433"/>
    </row>
    <row r="181" spans="1:128">
      <c r="B181" s="654"/>
      <c r="AT181" s="433"/>
      <c r="AU181" s="433"/>
      <c r="BF181" s="751" t="s">
        <v>215</v>
      </c>
      <c r="BG181" s="751" t="s">
        <v>214</v>
      </c>
      <c r="BH181" s="751" t="s">
        <v>213</v>
      </c>
      <c r="BI181" s="327" t="s">
        <v>212</v>
      </c>
      <c r="BJ181" s="327"/>
      <c r="BK181" s="327" t="s">
        <v>352</v>
      </c>
      <c r="BL181" s="327" t="s">
        <v>353</v>
      </c>
      <c r="BM181" s="327" t="s">
        <v>354</v>
      </c>
      <c r="BN181" s="327"/>
      <c r="BO181" s="327" t="s">
        <v>355</v>
      </c>
      <c r="BP181" s="327" t="s">
        <v>356</v>
      </c>
      <c r="BQ181" s="327" t="s">
        <v>357</v>
      </c>
      <c r="BR181" s="327" t="s">
        <v>358</v>
      </c>
      <c r="BS181" s="327" t="s">
        <v>359</v>
      </c>
      <c r="BT181" s="327" t="s">
        <v>360</v>
      </c>
      <c r="BU181" s="327"/>
      <c r="BV181" s="327" t="s">
        <v>361</v>
      </c>
      <c r="BW181" s="327" t="s">
        <v>377</v>
      </c>
      <c r="BX181" s="327" t="s">
        <v>378</v>
      </c>
      <c r="BY181" s="327" t="s">
        <v>379</v>
      </c>
      <c r="BZ181" s="328" t="s">
        <v>380</v>
      </c>
      <c r="CA181" s="328"/>
      <c r="CB181" s="328" t="s">
        <v>1272</v>
      </c>
      <c r="CC181" s="328"/>
      <c r="CD181" s="328" t="s">
        <v>1273</v>
      </c>
      <c r="CE181" s="756" t="s">
        <v>211</v>
      </c>
      <c r="CF181" s="756" t="s">
        <v>210</v>
      </c>
      <c r="CG181" s="315"/>
      <c r="CH181" s="756" t="s">
        <v>209</v>
      </c>
      <c r="CI181" s="315"/>
      <c r="CJ181" s="756" t="s">
        <v>208</v>
      </c>
      <c r="CK181" s="315"/>
      <c r="CL181" s="756" t="s">
        <v>207</v>
      </c>
      <c r="CM181" s="315"/>
      <c r="CN181" s="315" t="s">
        <v>206</v>
      </c>
      <c r="CO181" s="315" t="s">
        <v>205</v>
      </c>
      <c r="CP181" s="315" t="s">
        <v>204</v>
      </c>
      <c r="CQ181" s="315"/>
      <c r="CR181" s="315"/>
      <c r="CS181" s="315" t="s">
        <v>203</v>
      </c>
      <c r="CT181" s="315" t="s">
        <v>202</v>
      </c>
      <c r="CU181" s="315" t="s">
        <v>201</v>
      </c>
      <c r="CV181" s="315" t="s">
        <v>200</v>
      </c>
      <c r="CW181" s="315" t="s">
        <v>199</v>
      </c>
      <c r="CX181" s="315" t="s">
        <v>198</v>
      </c>
      <c r="CY181" s="321" t="s">
        <v>197</v>
      </c>
      <c r="CZ181" s="321"/>
      <c r="DA181" s="321"/>
      <c r="DB181" s="321"/>
      <c r="DC181" s="321"/>
      <c r="DD181" s="321"/>
      <c r="DE181" s="321"/>
      <c r="DF181" s="321" t="s">
        <v>1274</v>
      </c>
      <c r="DG181" s="321" t="s">
        <v>1275</v>
      </c>
    </row>
    <row r="182" spans="1:128">
      <c r="B182" s="654"/>
      <c r="AT182" s="433"/>
      <c r="AU182" s="433"/>
      <c r="BF182" s="752">
        <f>5.5*3.2</f>
        <v>17.600000000000001</v>
      </c>
      <c r="BG182" s="753">
        <f>2*2.05</f>
        <v>4.0999999999999996</v>
      </c>
      <c r="BH182" s="752">
        <f>1.1*2.5</f>
        <v>2.75</v>
      </c>
      <c r="BI182" s="313"/>
      <c r="BJ182" s="313"/>
      <c r="BK182" s="313"/>
      <c r="BL182" s="313"/>
      <c r="BM182" s="313"/>
      <c r="BN182" s="313"/>
      <c r="BO182" s="313"/>
      <c r="BP182" s="313"/>
      <c r="BQ182" s="313"/>
      <c r="BR182" s="313"/>
      <c r="BS182" s="313"/>
      <c r="BT182" s="313"/>
      <c r="BU182" s="313"/>
      <c r="BV182" s="313"/>
      <c r="BW182" s="313"/>
      <c r="BX182" s="313"/>
      <c r="BY182" s="313"/>
      <c r="BZ182" s="313"/>
      <c r="CA182" s="313"/>
      <c r="CB182" s="313"/>
      <c r="CC182" s="313"/>
      <c r="CD182" s="313"/>
      <c r="CE182" s="752">
        <f>1.65*5.1</f>
        <v>8.4149999999999991</v>
      </c>
      <c r="CF182" s="752">
        <f>5.1*1.65</f>
        <v>8.4149999999999991</v>
      </c>
      <c r="CG182" s="323"/>
      <c r="CH182" s="753">
        <f>2.3*0.6</f>
        <v>1.38</v>
      </c>
      <c r="CI182" s="313"/>
      <c r="CJ182" s="752">
        <f>5.6*1.2</f>
        <v>6.72</v>
      </c>
      <c r="CK182" s="323"/>
      <c r="CL182" s="752">
        <f>5.6*1.2</f>
        <v>6.72</v>
      </c>
      <c r="CM182" s="323"/>
      <c r="CN182" s="313"/>
      <c r="CO182" s="323"/>
      <c r="CP182" s="323"/>
      <c r="CQ182" s="323"/>
      <c r="CR182" s="323"/>
      <c r="CS182" s="313"/>
      <c r="CT182" s="313"/>
      <c r="CU182" s="323"/>
      <c r="CV182" s="323"/>
      <c r="CW182" s="323"/>
      <c r="CX182" s="323"/>
      <c r="CY182" s="323"/>
      <c r="CZ182" s="323"/>
      <c r="DA182" s="323"/>
      <c r="DB182" s="323"/>
      <c r="DC182" s="323"/>
      <c r="DD182" s="323"/>
      <c r="DE182" s="323"/>
      <c r="DF182" s="323"/>
      <c r="DG182" s="323"/>
      <c r="DP182" s="309">
        <f>CJ182*26</f>
        <v>174.72</v>
      </c>
      <c r="DQ182" s="708">
        <f>DP182*4150</f>
        <v>725088</v>
      </c>
    </row>
    <row r="183" spans="1:128">
      <c r="B183" s="654"/>
      <c r="AT183" s="433"/>
      <c r="AU183" s="433"/>
      <c r="BF183" s="754">
        <v>5.5</v>
      </c>
      <c r="BG183" s="754">
        <v>2</v>
      </c>
      <c r="BH183" s="754">
        <v>1.1000000000000001</v>
      </c>
      <c r="BI183" s="325"/>
      <c r="BJ183" s="325"/>
      <c r="BK183" s="325"/>
      <c r="BL183" s="325"/>
      <c r="BM183" s="325"/>
      <c r="BN183" s="325"/>
      <c r="BO183" s="325"/>
      <c r="BP183" s="325"/>
      <c r="BQ183" s="325"/>
      <c r="BR183" s="325"/>
      <c r="BS183" s="325"/>
      <c r="BT183" s="325"/>
      <c r="BU183" s="325"/>
      <c r="BV183" s="325"/>
      <c r="BW183" s="325"/>
      <c r="BX183" s="325"/>
      <c r="BY183" s="325"/>
      <c r="BZ183" s="325"/>
      <c r="CA183" s="325"/>
      <c r="CB183" s="325"/>
      <c r="CC183" s="325"/>
      <c r="CD183" s="325"/>
      <c r="CE183" s="757">
        <f>5.1*2</f>
        <v>10.199999999999999</v>
      </c>
      <c r="CF183" s="757">
        <f>5.1*2</f>
        <v>10.199999999999999</v>
      </c>
      <c r="CG183" s="339"/>
      <c r="CH183" s="754">
        <f>2.3*2</f>
        <v>4.5999999999999996</v>
      </c>
      <c r="CI183" s="325"/>
      <c r="CJ183" s="757">
        <f>5.6*2</f>
        <v>11.2</v>
      </c>
      <c r="CK183" s="339"/>
      <c r="CL183" s="757">
        <f>5.6*2</f>
        <v>11.2</v>
      </c>
      <c r="CM183" s="339"/>
      <c r="CN183" s="325"/>
      <c r="CO183" s="339"/>
      <c r="CP183" s="339"/>
      <c r="CQ183" s="339"/>
      <c r="CR183" s="339"/>
      <c r="CS183" s="325"/>
      <c r="CT183" s="325"/>
      <c r="CU183" s="339"/>
      <c r="CV183" s="339"/>
      <c r="CW183" s="339"/>
      <c r="CX183" s="325"/>
      <c r="CY183" s="325"/>
      <c r="CZ183" s="325"/>
      <c r="DA183" s="325"/>
      <c r="DB183" s="325"/>
      <c r="DC183" s="325"/>
      <c r="DD183" s="325"/>
      <c r="DE183" s="325"/>
      <c r="DF183" s="325"/>
      <c r="DG183" s="325"/>
    </row>
    <row r="184" spans="1:128">
      <c r="B184" s="654"/>
      <c r="AT184" s="433"/>
      <c r="AU184" s="433"/>
      <c r="BF184" s="754">
        <f>3.2*2</f>
        <v>6.4</v>
      </c>
      <c r="BG184" s="754">
        <f>2.05*2</f>
        <v>4.0999999999999996</v>
      </c>
      <c r="BH184" s="754">
        <f>2.5*2</f>
        <v>5</v>
      </c>
      <c r="BI184" s="325"/>
      <c r="BJ184" s="325"/>
      <c r="BK184" s="325"/>
      <c r="BL184" s="325"/>
      <c r="BM184" s="325"/>
      <c r="BN184" s="325"/>
      <c r="BO184" s="325"/>
      <c r="BP184" s="325"/>
      <c r="BQ184" s="325"/>
      <c r="BR184" s="325"/>
      <c r="BS184" s="325"/>
      <c r="BT184" s="325"/>
      <c r="BU184" s="325"/>
      <c r="BV184" s="325"/>
      <c r="BW184" s="325"/>
      <c r="BX184" s="325"/>
      <c r="BY184" s="325"/>
      <c r="BZ184" s="325"/>
      <c r="CA184" s="325"/>
      <c r="CB184" s="325"/>
      <c r="CC184" s="325"/>
      <c r="CD184" s="325"/>
      <c r="CE184" s="757">
        <f>1.65*2</f>
        <v>3.3</v>
      </c>
      <c r="CF184" s="757">
        <f>1.65*2</f>
        <v>3.3</v>
      </c>
      <c r="CG184" s="339"/>
      <c r="CH184" s="757">
        <f>0.6*2</f>
        <v>1.2</v>
      </c>
      <c r="CI184" s="339"/>
      <c r="CJ184" s="757">
        <f>1.2*2</f>
        <v>2.4</v>
      </c>
      <c r="CK184" s="339"/>
      <c r="CL184" s="757">
        <f>1.2*2</f>
        <v>2.4</v>
      </c>
      <c r="CM184" s="339"/>
      <c r="CN184" s="325"/>
      <c r="CO184" s="339"/>
      <c r="CP184" s="339"/>
      <c r="CQ184" s="339"/>
      <c r="CR184" s="339"/>
      <c r="CS184" s="325"/>
      <c r="CT184" s="339"/>
      <c r="CU184" s="339"/>
      <c r="CV184" s="339"/>
      <c r="CW184" s="339"/>
      <c r="CX184" s="339"/>
      <c r="CY184" s="325"/>
      <c r="CZ184" s="325"/>
      <c r="DA184" s="325"/>
      <c r="DB184" s="325"/>
      <c r="DC184" s="325"/>
      <c r="DD184" s="325"/>
      <c r="DE184" s="325"/>
      <c r="DF184" s="325"/>
      <c r="DG184" s="325"/>
    </row>
    <row r="185" spans="1:128">
      <c r="B185" s="654"/>
      <c r="AT185" s="433"/>
      <c r="AU185" s="433"/>
      <c r="BF185" s="755" t="s">
        <v>186</v>
      </c>
      <c r="BG185" s="755" t="s">
        <v>186</v>
      </c>
      <c r="BH185" s="755" t="s">
        <v>186</v>
      </c>
      <c r="BI185" s="329" t="s">
        <v>186</v>
      </c>
      <c r="BJ185" s="329"/>
      <c r="BK185" s="329" t="s">
        <v>186</v>
      </c>
      <c r="BL185" s="329" t="s">
        <v>186</v>
      </c>
      <c r="BM185" s="329" t="s">
        <v>186</v>
      </c>
      <c r="BN185" s="329"/>
      <c r="BO185" s="329" t="s">
        <v>186</v>
      </c>
      <c r="BP185" s="329" t="s">
        <v>186</v>
      </c>
      <c r="BQ185" s="329" t="s">
        <v>186</v>
      </c>
      <c r="BR185" s="329" t="s">
        <v>186</v>
      </c>
      <c r="BS185" s="329" t="s">
        <v>186</v>
      </c>
      <c r="BT185" s="329" t="s">
        <v>186</v>
      </c>
      <c r="BU185" s="329"/>
      <c r="BV185" s="329" t="s">
        <v>186</v>
      </c>
      <c r="BW185" s="329" t="s">
        <v>186</v>
      </c>
      <c r="BX185" s="329" t="s">
        <v>186</v>
      </c>
      <c r="BY185" s="329" t="s">
        <v>186</v>
      </c>
      <c r="BZ185" s="329" t="s">
        <v>186</v>
      </c>
      <c r="CA185" s="329"/>
      <c r="CB185" s="329"/>
      <c r="CC185" s="329"/>
      <c r="CD185" s="329"/>
      <c r="CE185" s="755" t="s">
        <v>186</v>
      </c>
      <c r="CF185" s="755" t="s">
        <v>186</v>
      </c>
      <c r="CG185" s="329"/>
      <c r="CH185" s="755" t="s">
        <v>186</v>
      </c>
      <c r="CI185" s="329"/>
      <c r="CJ185" s="755" t="s">
        <v>186</v>
      </c>
      <c r="CK185" s="329"/>
      <c r="CL185" s="755" t="s">
        <v>186</v>
      </c>
      <c r="CM185" s="329"/>
      <c r="CN185" s="329" t="s">
        <v>186</v>
      </c>
      <c r="CO185" s="329" t="s">
        <v>186</v>
      </c>
      <c r="CP185" s="329" t="s">
        <v>186</v>
      </c>
      <c r="CQ185" s="329"/>
      <c r="CR185" s="329"/>
      <c r="CS185" s="329" t="s">
        <v>186</v>
      </c>
      <c r="CT185" s="329" t="s">
        <v>186</v>
      </c>
      <c r="CU185" s="329" t="s">
        <v>186</v>
      </c>
      <c r="CV185" s="329" t="s">
        <v>186</v>
      </c>
      <c r="CW185" s="329" t="s">
        <v>186</v>
      </c>
      <c r="CX185" s="329" t="s">
        <v>186</v>
      </c>
      <c r="CY185" s="329" t="s">
        <v>186</v>
      </c>
      <c r="CZ185" s="329"/>
      <c r="DA185" s="329"/>
      <c r="DB185" s="329"/>
      <c r="DC185" s="329"/>
      <c r="DD185" s="329"/>
      <c r="DE185" s="329"/>
      <c r="DF185" s="329"/>
      <c r="DG185" s="329"/>
    </row>
    <row r="186" spans="1:128">
      <c r="AT186" s="433"/>
      <c r="AU186" s="433"/>
    </row>
    <row r="187" spans="1:128" ht="20.25">
      <c r="A187" s="343"/>
      <c r="B187" s="344"/>
      <c r="C187" s="345"/>
      <c r="D187" s="346"/>
      <c r="E187" s="346"/>
      <c r="F187" s="346"/>
      <c r="G187" s="346"/>
      <c r="H187" s="346"/>
      <c r="I187" s="346"/>
      <c r="J187" s="346"/>
      <c r="K187" s="346"/>
      <c r="L187" s="346"/>
      <c r="M187" s="346"/>
      <c r="N187" s="346"/>
      <c r="O187" s="346"/>
      <c r="P187" s="347"/>
      <c r="Q187" s="347"/>
      <c r="R187" s="347"/>
      <c r="S187" s="347"/>
      <c r="T187" s="348"/>
      <c r="U187" s="349"/>
      <c r="V187" s="349"/>
      <c r="W187" s="349"/>
      <c r="X187" s="345"/>
      <c r="Y187" s="345"/>
      <c r="Z187" s="345"/>
      <c r="AA187" s="345"/>
      <c r="AB187" s="345"/>
      <c r="AC187" s="345"/>
      <c r="AD187" s="345"/>
      <c r="AE187" s="345"/>
      <c r="AF187" s="345"/>
      <c r="AG187" s="345"/>
      <c r="AH187" s="345"/>
      <c r="AI187" s="345"/>
      <c r="AJ187" s="345"/>
      <c r="AK187" s="345"/>
      <c r="AL187" s="345"/>
      <c r="AM187" s="345"/>
      <c r="AN187" s="345"/>
      <c r="AO187" s="345"/>
      <c r="AP187" s="345"/>
      <c r="AQ187" s="345"/>
      <c r="AR187" s="345"/>
      <c r="AS187" s="350"/>
      <c r="AT187" s="351"/>
      <c r="AU187" s="349"/>
      <c r="AV187" s="345"/>
      <c r="AW187" s="345"/>
      <c r="AX187" s="345"/>
      <c r="AY187" s="351"/>
      <c r="AZ187" s="349"/>
      <c r="BA187" s="345"/>
      <c r="BB187" s="350"/>
      <c r="BC187" s="351"/>
      <c r="BD187" s="448"/>
      <c r="BE187" s="346"/>
      <c r="BF187" s="346"/>
      <c r="BG187" s="346"/>
      <c r="BH187" s="346"/>
      <c r="BI187" s="346"/>
      <c r="BJ187" s="346"/>
      <c r="BK187" s="346"/>
      <c r="BL187" s="346"/>
      <c r="BM187" s="346"/>
      <c r="BN187" s="346"/>
      <c r="BO187" s="346"/>
      <c r="BP187" s="346"/>
      <c r="BQ187" s="346"/>
      <c r="BR187" s="346"/>
      <c r="BS187" s="346"/>
      <c r="BT187" s="346"/>
      <c r="BU187" s="346"/>
      <c r="BV187" s="346"/>
      <c r="BW187" s="346"/>
      <c r="BX187" s="346"/>
      <c r="BY187" s="346"/>
      <c r="BZ187" s="346"/>
      <c r="CA187" s="346"/>
      <c r="CB187" s="346"/>
      <c r="CC187" s="346"/>
      <c r="CD187" s="346"/>
      <c r="CE187" s="346"/>
      <c r="CF187" s="346"/>
      <c r="CG187" s="346"/>
      <c r="CH187" s="346"/>
      <c r="CI187" s="346"/>
      <c r="CJ187" s="346"/>
      <c r="CK187" s="346"/>
      <c r="CL187" s="346"/>
      <c r="CM187" s="346"/>
      <c r="CN187" s="346"/>
      <c r="CO187" s="346"/>
      <c r="CP187" s="346"/>
      <c r="CQ187" s="346"/>
      <c r="CR187" s="346"/>
      <c r="CS187" s="346"/>
      <c r="CT187" s="346"/>
      <c r="CU187" s="346"/>
      <c r="CV187" s="346"/>
      <c r="CW187" s="346"/>
      <c r="CX187" s="346"/>
      <c r="CY187" s="346"/>
      <c r="CZ187" s="346"/>
      <c r="DA187" s="346"/>
      <c r="DB187" s="346"/>
      <c r="DC187" s="346"/>
      <c r="DD187" s="346"/>
      <c r="DE187" s="346"/>
      <c r="DF187" s="346"/>
      <c r="DG187" s="346"/>
      <c r="DH187" s="346"/>
      <c r="DI187" s="346"/>
      <c r="DJ187" s="346"/>
      <c r="DK187" s="346"/>
      <c r="DL187" s="346"/>
      <c r="DM187" s="346"/>
      <c r="DN187" s="346"/>
      <c r="DO187" s="348"/>
    </row>
    <row r="188" spans="1:128">
      <c r="A188" s="355"/>
      <c r="B188" s="356" t="s">
        <v>185</v>
      </c>
      <c r="C188" s="357"/>
      <c r="D188" s="358"/>
      <c r="E188" s="358"/>
      <c r="F188" s="358"/>
      <c r="G188" s="358"/>
      <c r="H188" s="358"/>
      <c r="I188" s="358"/>
      <c r="J188" s="358"/>
      <c r="K188" s="358"/>
      <c r="L188" s="358"/>
      <c r="M188" s="358"/>
      <c r="N188" s="358"/>
      <c r="O188" s="358"/>
      <c r="P188" s="359"/>
      <c r="Q188" s="359"/>
      <c r="R188" s="359"/>
      <c r="S188" s="359"/>
      <c r="T188" s="360"/>
      <c r="U188" s="361"/>
      <c r="V188" s="361"/>
      <c r="W188" s="361"/>
      <c r="X188" s="357"/>
      <c r="Y188" s="357"/>
      <c r="Z188" s="357"/>
      <c r="AA188" s="357"/>
      <c r="AB188" s="357"/>
      <c r="AC188" s="357"/>
      <c r="AD188" s="357"/>
      <c r="AE188" s="357"/>
      <c r="AF188" s="357"/>
      <c r="AG188" s="357"/>
      <c r="AH188" s="357"/>
      <c r="AI188" s="357"/>
      <c r="AJ188" s="357"/>
      <c r="AK188" s="357"/>
      <c r="AL188" s="357"/>
      <c r="AM188" s="357"/>
      <c r="AN188" s="357"/>
      <c r="AO188" s="357"/>
      <c r="AP188" s="357"/>
      <c r="AQ188" s="357"/>
      <c r="AR188" s="357"/>
      <c r="AS188" s="362"/>
      <c r="AT188" s="360"/>
      <c r="AU188" s="363"/>
      <c r="AV188" s="364"/>
      <c r="AW188" s="364"/>
      <c r="AX188" s="364"/>
      <c r="AY188" s="365"/>
      <c r="AZ188" s="363"/>
      <c r="BA188" s="364"/>
      <c r="BB188" s="395"/>
      <c r="BC188" s="365"/>
      <c r="BD188" s="366"/>
      <c r="BE188" s="358"/>
      <c r="BF188" s="358"/>
      <c r="BG188" s="358"/>
      <c r="BH188" s="358"/>
      <c r="BI188" s="358"/>
      <c r="BJ188" s="358"/>
      <c r="BK188" s="358"/>
      <c r="BL188" s="358"/>
      <c r="BM188" s="358"/>
      <c r="BN188" s="358"/>
      <c r="BO188" s="358"/>
      <c r="BP188" s="358"/>
      <c r="BQ188" s="358"/>
      <c r="BR188" s="358"/>
      <c r="BS188" s="358"/>
      <c r="BT188" s="358"/>
      <c r="BU188" s="358"/>
      <c r="BV188" s="358"/>
      <c r="BW188" s="358"/>
      <c r="BX188" s="358"/>
      <c r="BY188" s="358"/>
      <c r="BZ188" s="358"/>
      <c r="CA188" s="358"/>
      <c r="CB188" s="358"/>
      <c r="CC188" s="358"/>
      <c r="CD188" s="358"/>
      <c r="CE188" s="358"/>
      <c r="CF188" s="358"/>
      <c r="CG188" s="358"/>
      <c r="CH188" s="358"/>
      <c r="CI188" s="358"/>
      <c r="CJ188" s="358"/>
      <c r="CK188" s="358"/>
      <c r="CL188" s="358"/>
      <c r="CM188" s="358"/>
      <c r="CN188" s="358"/>
      <c r="CO188" s="358"/>
      <c r="CP188" s="358"/>
      <c r="CQ188" s="358"/>
      <c r="CR188" s="358"/>
      <c r="CS188" s="358"/>
      <c r="CT188" s="358"/>
      <c r="CU188" s="358"/>
      <c r="CV188" s="358"/>
      <c r="CW188" s="358"/>
      <c r="CX188" s="358"/>
      <c r="CY188" s="358"/>
      <c r="CZ188" s="358"/>
      <c r="DA188" s="358"/>
      <c r="DB188" s="358"/>
      <c r="DC188" s="358"/>
      <c r="DD188" s="358"/>
      <c r="DE188" s="358"/>
      <c r="DF188" s="358"/>
      <c r="DG188" s="358"/>
      <c r="DH188" s="358"/>
      <c r="DI188" s="358"/>
      <c r="DJ188" s="358"/>
      <c r="DK188" s="358"/>
      <c r="DL188" s="358"/>
      <c r="DM188" s="358"/>
      <c r="DN188" s="358"/>
      <c r="DO188" s="367"/>
      <c r="DR188" s="309" t="s">
        <v>1285</v>
      </c>
      <c r="DS188" s="309" t="s">
        <v>1419</v>
      </c>
    </row>
    <row r="189" spans="1:128">
      <c r="A189" s="355"/>
      <c r="B189" s="366"/>
      <c r="C189" s="357"/>
      <c r="D189" s="358"/>
      <c r="E189" s="358"/>
      <c r="F189" s="358"/>
      <c r="G189" s="358"/>
      <c r="H189" s="358"/>
      <c r="I189" s="358"/>
      <c r="J189" s="358"/>
      <c r="K189" s="358"/>
      <c r="L189" s="358"/>
      <c r="M189" s="358"/>
      <c r="N189" s="358"/>
      <c r="O189" s="358"/>
      <c r="P189" s="359"/>
      <c r="Q189" s="359"/>
      <c r="R189" s="359"/>
      <c r="S189" s="359"/>
      <c r="T189" s="360"/>
      <c r="U189" s="361"/>
      <c r="V189" s="361"/>
      <c r="W189" s="361"/>
      <c r="X189" s="357"/>
      <c r="Y189" s="357"/>
      <c r="Z189" s="357"/>
      <c r="AA189" s="357"/>
      <c r="AB189" s="357"/>
      <c r="AC189" s="357"/>
      <c r="AD189" s="357"/>
      <c r="AE189" s="357"/>
      <c r="AF189" s="357"/>
      <c r="AG189" s="357"/>
      <c r="AH189" s="357"/>
      <c r="AI189" s="357"/>
      <c r="AJ189" s="357"/>
      <c r="AK189" s="357"/>
      <c r="AL189" s="357"/>
      <c r="AM189" s="357"/>
      <c r="AN189" s="357"/>
      <c r="AO189" s="357"/>
      <c r="AP189" s="357"/>
      <c r="AQ189" s="357"/>
      <c r="AR189" s="357"/>
      <c r="AS189" s="362"/>
      <c r="AT189" s="360"/>
      <c r="AU189" s="363"/>
      <c r="AV189" s="364"/>
      <c r="AW189" s="364"/>
      <c r="AX189" s="364"/>
      <c r="AY189" s="365"/>
      <c r="AZ189" s="363"/>
      <c r="BA189" s="364"/>
      <c r="BB189" s="395"/>
      <c r="BC189" s="365"/>
      <c r="BD189" s="366"/>
      <c r="BE189" s="358"/>
      <c r="BF189" s="358"/>
      <c r="BG189" s="358"/>
      <c r="BH189" s="358"/>
      <c r="BI189" s="358"/>
      <c r="BJ189" s="358"/>
      <c r="BK189" s="358"/>
      <c r="BL189" s="358"/>
      <c r="BM189" s="358"/>
      <c r="BN189" s="358"/>
      <c r="BO189" s="358"/>
      <c r="BP189" s="358"/>
      <c r="BQ189" s="358"/>
      <c r="BR189" s="358"/>
      <c r="BS189" s="358"/>
      <c r="BT189" s="358"/>
      <c r="BU189" s="358"/>
      <c r="BV189" s="358"/>
      <c r="BW189" s="358"/>
      <c r="BX189" s="358"/>
      <c r="BY189" s="358"/>
      <c r="BZ189" s="358"/>
      <c r="CA189" s="358"/>
      <c r="CB189" s="358"/>
      <c r="CC189" s="358"/>
      <c r="CD189" s="358"/>
      <c r="CE189" s="358"/>
      <c r="CF189" s="358"/>
      <c r="CG189" s="358"/>
      <c r="CH189" s="358"/>
      <c r="CI189" s="358"/>
      <c r="CJ189" s="358"/>
      <c r="CK189" s="358"/>
      <c r="CL189" s="358"/>
      <c r="CM189" s="358"/>
      <c r="CN189" s="358"/>
      <c r="CO189" s="358"/>
      <c r="CP189" s="358"/>
      <c r="CQ189" s="358"/>
      <c r="CR189" s="358"/>
      <c r="CS189" s="358"/>
      <c r="CT189" s="358"/>
      <c r="CU189" s="358"/>
      <c r="CV189" s="358"/>
      <c r="CW189" s="358"/>
      <c r="CX189" s="358"/>
      <c r="CY189" s="358"/>
      <c r="CZ189" s="358"/>
      <c r="DA189" s="358"/>
      <c r="DB189" s="358"/>
      <c r="DC189" s="358"/>
      <c r="DD189" s="358"/>
      <c r="DE189" s="358"/>
      <c r="DF189" s="358"/>
      <c r="DG189" s="358"/>
      <c r="DH189" s="358"/>
      <c r="DI189" s="358"/>
      <c r="DJ189" s="358"/>
      <c r="DK189" s="358"/>
      <c r="DL189" s="358"/>
      <c r="DM189" s="358"/>
      <c r="DN189" s="358"/>
      <c r="DO189" s="367"/>
    </row>
    <row r="190" spans="1:128">
      <c r="A190" s="373"/>
      <c r="B190" s="368" t="s">
        <v>381</v>
      </c>
      <c r="C190" s="375">
        <f>ROUNDUP(1090-128,0)</f>
        <v>962</v>
      </c>
      <c r="D190" s="357"/>
      <c r="E190" s="357"/>
      <c r="F190" s="357"/>
      <c r="G190" s="357"/>
      <c r="H190" s="357"/>
      <c r="I190" s="357"/>
      <c r="J190" s="357"/>
      <c r="K190" s="357"/>
      <c r="L190" s="357"/>
      <c r="M190" s="357"/>
      <c r="N190" s="357"/>
      <c r="O190" s="357"/>
      <c r="P190" s="362"/>
      <c r="Q190" s="362"/>
      <c r="R190" s="362"/>
      <c r="S190" s="362"/>
      <c r="T190" s="360"/>
      <c r="U190" s="361"/>
      <c r="V190" s="361"/>
      <c r="W190" s="361"/>
      <c r="X190" s="357"/>
      <c r="Y190" s="357"/>
      <c r="Z190" s="357"/>
      <c r="AA190" s="357"/>
      <c r="AB190" s="357"/>
      <c r="AC190" s="357"/>
      <c r="AD190" s="357"/>
      <c r="AE190" s="357"/>
      <c r="AF190" s="357"/>
      <c r="AG190" s="357"/>
      <c r="AH190" s="357"/>
      <c r="AI190" s="357"/>
      <c r="AJ190" s="357"/>
      <c r="AK190" s="357"/>
      <c r="AL190" s="357"/>
      <c r="AM190" s="357"/>
      <c r="AN190" s="357"/>
      <c r="AO190" s="357"/>
      <c r="AP190" s="357"/>
      <c r="AQ190" s="357"/>
      <c r="AR190" s="357"/>
      <c r="AS190" s="362"/>
      <c r="AT190" s="360"/>
      <c r="AU190" s="361"/>
      <c r="AV190" s="357"/>
      <c r="AW190" s="357"/>
      <c r="AX190" s="357"/>
      <c r="AY190" s="360"/>
      <c r="AZ190" s="361"/>
      <c r="BA190" s="357"/>
      <c r="BB190" s="362"/>
      <c r="BC190" s="360"/>
      <c r="BD190" s="361"/>
      <c r="BE190" s="357"/>
      <c r="BF190" s="357"/>
      <c r="BG190" s="357"/>
      <c r="BH190" s="357"/>
      <c r="BI190" s="357"/>
      <c r="BJ190" s="357"/>
      <c r="BK190" s="357"/>
      <c r="BL190" s="357"/>
      <c r="BM190" s="357"/>
      <c r="BN190" s="357"/>
      <c r="BO190" s="357"/>
      <c r="BP190" s="357"/>
      <c r="BQ190" s="357"/>
      <c r="BR190" s="357"/>
      <c r="BS190" s="357"/>
      <c r="BT190" s="357"/>
      <c r="BU190" s="357"/>
      <c r="BV190" s="357"/>
      <c r="BW190" s="357"/>
      <c r="BX190" s="357"/>
      <c r="BY190" s="357"/>
      <c r="BZ190" s="357"/>
      <c r="CA190" s="357"/>
      <c r="CB190" s="357"/>
      <c r="CC190" s="357"/>
      <c r="CD190" s="357"/>
      <c r="CE190" s="357"/>
      <c r="CF190" s="357"/>
      <c r="CG190" s="357"/>
      <c r="CH190" s="357"/>
      <c r="CI190" s="357"/>
      <c r="CJ190" s="357"/>
      <c r="CK190" s="357"/>
      <c r="CL190" s="357"/>
      <c r="CM190" s="357"/>
      <c r="CN190" s="357"/>
      <c r="CO190" s="357"/>
      <c r="CP190" s="357"/>
      <c r="CQ190" s="357"/>
      <c r="CR190" s="357"/>
      <c r="CS190" s="357"/>
      <c r="CT190" s="357"/>
      <c r="CU190" s="357"/>
      <c r="CV190" s="357"/>
      <c r="CW190" s="357"/>
      <c r="CX190" s="357"/>
      <c r="CY190" s="357"/>
      <c r="CZ190" s="357"/>
      <c r="DA190" s="357"/>
      <c r="DB190" s="357"/>
      <c r="DC190" s="357"/>
      <c r="DD190" s="357"/>
      <c r="DE190" s="357"/>
      <c r="DF190" s="357"/>
      <c r="DG190" s="357"/>
      <c r="DH190" s="357"/>
      <c r="DI190" s="357"/>
      <c r="DJ190" s="357"/>
      <c r="DK190" s="357"/>
      <c r="DL190" s="357"/>
      <c r="DM190" s="357"/>
      <c r="DN190" s="357"/>
      <c r="DO190" s="360"/>
      <c r="DR190" s="708">
        <f>BF209</f>
        <v>12</v>
      </c>
      <c r="DS190" s="708">
        <v>0</v>
      </c>
      <c r="DU190" s="310">
        <f>SUM(DR190:DT190)</f>
        <v>12</v>
      </c>
      <c r="DV190" s="309" t="s">
        <v>1901</v>
      </c>
      <c r="DX190" s="372">
        <f>ROUNDUP(BF182*2000,0)</f>
        <v>35200</v>
      </c>
    </row>
    <row r="191" spans="1:128">
      <c r="A191" s="373"/>
      <c r="B191" s="374" t="s">
        <v>460</v>
      </c>
      <c r="C191" s="357">
        <v>75</v>
      </c>
      <c r="D191" s="357"/>
      <c r="E191" s="357"/>
      <c r="F191" s="357"/>
      <c r="G191" s="357"/>
      <c r="H191" s="357"/>
      <c r="I191" s="357"/>
      <c r="J191" s="357"/>
      <c r="K191" s="357"/>
      <c r="L191" s="357"/>
      <c r="M191" s="357"/>
      <c r="N191" s="357"/>
      <c r="O191" s="357"/>
      <c r="P191" s="362"/>
      <c r="Q191" s="362"/>
      <c r="R191" s="362"/>
      <c r="S191" s="362"/>
      <c r="T191" s="360"/>
      <c r="U191" s="361">
        <f>ROUNDUP((37*3.2)-((BF182*2)+(CE182*2)),0)</f>
        <v>67</v>
      </c>
      <c r="V191" s="361"/>
      <c r="W191" s="361"/>
      <c r="X191" s="357"/>
      <c r="Y191" s="357"/>
      <c r="Z191" s="357"/>
      <c r="AA191" s="357"/>
      <c r="AB191" s="357"/>
      <c r="AC191" s="357"/>
      <c r="AD191" s="357">
        <f>U191</f>
        <v>67</v>
      </c>
      <c r="AE191" s="357"/>
      <c r="AF191" s="357"/>
      <c r="AG191" s="357"/>
      <c r="AH191" s="357"/>
      <c r="AI191" s="357"/>
      <c r="AJ191" s="357"/>
      <c r="AK191" s="357"/>
      <c r="AL191" s="357"/>
      <c r="AM191" s="357"/>
      <c r="AN191" s="357"/>
      <c r="AO191" s="357"/>
      <c r="AP191" s="357"/>
      <c r="AQ191" s="357">
        <f>ROUNDUP((BF184*2)+(CE184*2),0)</f>
        <v>20</v>
      </c>
      <c r="AR191" s="357"/>
      <c r="AS191" s="362"/>
      <c r="AT191" s="360">
        <f>ROUNDUP((BF183*2)+(CE183*2),0)</f>
        <v>32</v>
      </c>
      <c r="AU191" s="361"/>
      <c r="AV191" s="357"/>
      <c r="AW191" s="357">
        <f>C191</f>
        <v>75</v>
      </c>
      <c r="AX191" s="357"/>
      <c r="AY191" s="360"/>
      <c r="AZ191" s="361">
        <f t="shared" ref="AZ191:AZ198" si="44">AD191</f>
        <v>67</v>
      </c>
      <c r="BA191" s="357">
        <f t="shared" ref="BA191:BA202" si="45">AC191</f>
        <v>0</v>
      </c>
      <c r="BB191" s="362"/>
      <c r="BC191" s="365">
        <f t="shared" ref="BC191:BC201" si="46">SUM(AU191:AW191)</f>
        <v>75</v>
      </c>
      <c r="BD191" s="361"/>
      <c r="BE191" s="357"/>
      <c r="BF191" s="357">
        <v>2</v>
      </c>
      <c r="BG191" s="357"/>
      <c r="BH191" s="357"/>
      <c r="BI191" s="357"/>
      <c r="BJ191" s="357"/>
      <c r="BK191" s="357"/>
      <c r="BL191" s="357"/>
      <c r="BM191" s="357"/>
      <c r="BN191" s="357"/>
      <c r="BO191" s="357"/>
      <c r="BP191" s="357"/>
      <c r="BQ191" s="357"/>
      <c r="BR191" s="357"/>
      <c r="BS191" s="357"/>
      <c r="BT191" s="357"/>
      <c r="BU191" s="357"/>
      <c r="BV191" s="357"/>
      <c r="BW191" s="357"/>
      <c r="BX191" s="357"/>
      <c r="BY191" s="357"/>
      <c r="BZ191" s="357"/>
      <c r="CA191" s="357"/>
      <c r="CB191" s="357"/>
      <c r="CC191" s="357"/>
      <c r="CD191" s="357"/>
      <c r="CE191" s="357">
        <v>2</v>
      </c>
      <c r="CF191" s="357"/>
      <c r="CG191" s="357"/>
      <c r="CH191" s="357"/>
      <c r="CI191" s="357"/>
      <c r="CJ191" s="357"/>
      <c r="CK191" s="357"/>
      <c r="CL191" s="357"/>
      <c r="CM191" s="357"/>
      <c r="CN191" s="357"/>
      <c r="CO191" s="357"/>
      <c r="CP191" s="357"/>
      <c r="CQ191" s="357"/>
      <c r="CR191" s="357"/>
      <c r="CS191" s="357"/>
      <c r="CT191" s="357"/>
      <c r="CU191" s="357"/>
      <c r="CV191" s="357"/>
      <c r="CW191" s="357"/>
      <c r="CX191" s="357"/>
      <c r="CY191" s="357"/>
      <c r="CZ191" s="357"/>
      <c r="DA191" s="357"/>
      <c r="DB191" s="357"/>
      <c r="DC191" s="357"/>
      <c r="DD191" s="357"/>
      <c r="DE191" s="357"/>
      <c r="DF191" s="357"/>
      <c r="DG191" s="357"/>
      <c r="DH191" s="357"/>
      <c r="DI191" s="357"/>
      <c r="DJ191" s="357"/>
      <c r="DK191" s="357"/>
      <c r="DL191" s="357"/>
      <c r="DM191" s="357"/>
      <c r="DN191" s="357"/>
      <c r="DO191" s="360"/>
      <c r="DR191" s="708">
        <f>BG209</f>
        <v>2</v>
      </c>
      <c r="DS191" s="708">
        <v>0</v>
      </c>
      <c r="DU191" s="310">
        <f t="shared" ref="DU191:DU199" si="47">SUM(DR191:DT191)</f>
        <v>2</v>
      </c>
      <c r="DV191" s="309" t="s">
        <v>1420</v>
      </c>
      <c r="DX191" s="372">
        <f>ROUNDUP(BG182*5000,0)</f>
        <v>20500</v>
      </c>
    </row>
    <row r="192" spans="1:128">
      <c r="A192" s="373"/>
      <c r="B192" s="374" t="s">
        <v>461</v>
      </c>
      <c r="C192" s="357">
        <v>75</v>
      </c>
      <c r="D192" s="357"/>
      <c r="E192" s="357"/>
      <c r="F192" s="357"/>
      <c r="G192" s="357"/>
      <c r="H192" s="357"/>
      <c r="I192" s="357"/>
      <c r="J192" s="357"/>
      <c r="K192" s="357"/>
      <c r="L192" s="357"/>
      <c r="M192" s="357"/>
      <c r="N192" s="357"/>
      <c r="O192" s="357"/>
      <c r="P192" s="362"/>
      <c r="Q192" s="362"/>
      <c r="R192" s="362"/>
      <c r="S192" s="362"/>
      <c r="T192" s="360"/>
      <c r="U192" s="361">
        <f>ROUNDUP((31.4*3.2)-((BF182*2)+(CE182*2)),0)</f>
        <v>49</v>
      </c>
      <c r="V192" s="361"/>
      <c r="W192" s="361"/>
      <c r="X192" s="357"/>
      <c r="Y192" s="357"/>
      <c r="Z192" s="357"/>
      <c r="AA192" s="357"/>
      <c r="AB192" s="357"/>
      <c r="AC192" s="357"/>
      <c r="AD192" s="357">
        <f t="shared" ref="AD192:AD198" si="48">U192</f>
        <v>49</v>
      </c>
      <c r="AE192" s="357"/>
      <c r="AF192" s="357"/>
      <c r="AG192" s="357"/>
      <c r="AH192" s="357"/>
      <c r="AI192" s="357"/>
      <c r="AJ192" s="357"/>
      <c r="AK192" s="357"/>
      <c r="AL192" s="357"/>
      <c r="AM192" s="357"/>
      <c r="AN192" s="357"/>
      <c r="AO192" s="357"/>
      <c r="AP192" s="357"/>
      <c r="AQ192" s="357">
        <f>ROUNDUP((BF184*2)+(CE184*2),0)</f>
        <v>20</v>
      </c>
      <c r="AR192" s="357"/>
      <c r="AS192" s="362"/>
      <c r="AT192" s="360">
        <f>ROUNDUP((BF183*2)+(CE183*2),0)</f>
        <v>32</v>
      </c>
      <c r="AU192" s="361"/>
      <c r="AV192" s="357"/>
      <c r="AW192" s="357">
        <f t="shared" ref="AW192:AW198" si="49">C192</f>
        <v>75</v>
      </c>
      <c r="AX192" s="357"/>
      <c r="AY192" s="360"/>
      <c r="AZ192" s="361">
        <f t="shared" si="44"/>
        <v>49</v>
      </c>
      <c r="BA192" s="357">
        <f t="shared" si="45"/>
        <v>0</v>
      </c>
      <c r="BB192" s="362"/>
      <c r="BC192" s="365">
        <f t="shared" si="46"/>
        <v>75</v>
      </c>
      <c r="BD192" s="361"/>
      <c r="BE192" s="357"/>
      <c r="BF192" s="357">
        <v>2</v>
      </c>
      <c r="BG192" s="357"/>
      <c r="BH192" s="357"/>
      <c r="BI192" s="357"/>
      <c r="BJ192" s="357"/>
      <c r="BK192" s="357"/>
      <c r="BL192" s="357"/>
      <c r="BM192" s="357"/>
      <c r="BN192" s="357"/>
      <c r="BO192" s="357"/>
      <c r="BP192" s="357"/>
      <c r="BQ192" s="357"/>
      <c r="BR192" s="357"/>
      <c r="BS192" s="357"/>
      <c r="BT192" s="357"/>
      <c r="BU192" s="357"/>
      <c r="BV192" s="357"/>
      <c r="BW192" s="357"/>
      <c r="BX192" s="357"/>
      <c r="BY192" s="357"/>
      <c r="BZ192" s="357"/>
      <c r="CA192" s="357"/>
      <c r="CB192" s="357"/>
      <c r="CC192" s="357"/>
      <c r="CD192" s="357"/>
      <c r="CE192" s="357">
        <v>2</v>
      </c>
      <c r="CF192" s="357"/>
      <c r="CG192" s="357"/>
      <c r="CH192" s="357"/>
      <c r="CI192" s="357"/>
      <c r="CJ192" s="357"/>
      <c r="CK192" s="357"/>
      <c r="CL192" s="357"/>
      <c r="CM192" s="357"/>
      <c r="CN192" s="357"/>
      <c r="CO192" s="357"/>
      <c r="CP192" s="357"/>
      <c r="CQ192" s="357"/>
      <c r="CR192" s="357"/>
      <c r="CS192" s="357"/>
      <c r="CT192" s="357"/>
      <c r="CU192" s="357"/>
      <c r="CV192" s="357"/>
      <c r="CW192" s="357"/>
      <c r="CX192" s="357"/>
      <c r="CY192" s="357"/>
      <c r="CZ192" s="357"/>
      <c r="DA192" s="357"/>
      <c r="DB192" s="357"/>
      <c r="DC192" s="357"/>
      <c r="DD192" s="357"/>
      <c r="DE192" s="357"/>
      <c r="DF192" s="357"/>
      <c r="DG192" s="357"/>
      <c r="DH192" s="357"/>
      <c r="DI192" s="357"/>
      <c r="DJ192" s="357"/>
      <c r="DK192" s="357"/>
      <c r="DL192" s="357"/>
      <c r="DM192" s="357"/>
      <c r="DN192" s="357"/>
      <c r="DO192" s="360"/>
      <c r="DR192" s="708">
        <f>BH209</f>
        <v>2</v>
      </c>
      <c r="DS192" s="708">
        <v>0</v>
      </c>
      <c r="DU192" s="310">
        <f t="shared" si="47"/>
        <v>2</v>
      </c>
      <c r="DV192" s="309" t="s">
        <v>1902</v>
      </c>
      <c r="DX192" s="372">
        <f>ROUNDUP(BG182*3800,0)</f>
        <v>15580</v>
      </c>
    </row>
    <row r="193" spans="1:128">
      <c r="A193" s="373"/>
      <c r="B193" s="374" t="s">
        <v>462</v>
      </c>
      <c r="C193" s="357">
        <v>75</v>
      </c>
      <c r="D193" s="357"/>
      <c r="E193" s="357"/>
      <c r="F193" s="357"/>
      <c r="G193" s="357"/>
      <c r="H193" s="357"/>
      <c r="I193" s="357"/>
      <c r="J193" s="357"/>
      <c r="K193" s="357"/>
      <c r="L193" s="357"/>
      <c r="M193" s="357"/>
      <c r="N193" s="357"/>
      <c r="O193" s="357"/>
      <c r="P193" s="362"/>
      <c r="Q193" s="362"/>
      <c r="R193" s="362"/>
      <c r="S193" s="362"/>
      <c r="T193" s="360"/>
      <c r="U193" s="361">
        <f>ROUNDUP((31.4*3.2)-((BF182*2)+(CE182)),0)</f>
        <v>57</v>
      </c>
      <c r="V193" s="361"/>
      <c r="W193" s="361"/>
      <c r="X193" s="357"/>
      <c r="Y193" s="357"/>
      <c r="Z193" s="357"/>
      <c r="AA193" s="357"/>
      <c r="AB193" s="357"/>
      <c r="AC193" s="357"/>
      <c r="AD193" s="357">
        <f t="shared" si="48"/>
        <v>57</v>
      </c>
      <c r="AE193" s="357"/>
      <c r="AF193" s="357"/>
      <c r="AG193" s="357"/>
      <c r="AH193" s="357"/>
      <c r="AI193" s="357"/>
      <c r="AJ193" s="357"/>
      <c r="AK193" s="357"/>
      <c r="AL193" s="357"/>
      <c r="AM193" s="357"/>
      <c r="AN193" s="357"/>
      <c r="AO193" s="357"/>
      <c r="AP193" s="357"/>
      <c r="AQ193" s="357">
        <f>ROUNDUP((BF184*2)+CE184,0)</f>
        <v>17</v>
      </c>
      <c r="AR193" s="357"/>
      <c r="AS193" s="362"/>
      <c r="AT193" s="360">
        <f>ROUNDUP((BF183*2)+CE183,0)</f>
        <v>22</v>
      </c>
      <c r="AU193" s="361"/>
      <c r="AV193" s="357"/>
      <c r="AW193" s="357">
        <f t="shared" si="49"/>
        <v>75</v>
      </c>
      <c r="AX193" s="357"/>
      <c r="AY193" s="360"/>
      <c r="AZ193" s="361">
        <f t="shared" si="44"/>
        <v>57</v>
      </c>
      <c r="BA193" s="357">
        <f t="shared" si="45"/>
        <v>0</v>
      </c>
      <c r="BB193" s="362"/>
      <c r="BC193" s="365">
        <f t="shared" si="46"/>
        <v>75</v>
      </c>
      <c r="BD193" s="361"/>
      <c r="BE193" s="357"/>
      <c r="BF193" s="357">
        <v>2</v>
      </c>
      <c r="BG193" s="357"/>
      <c r="BH193" s="357"/>
      <c r="BI193" s="357"/>
      <c r="BJ193" s="357"/>
      <c r="BK193" s="357"/>
      <c r="BL193" s="357"/>
      <c r="BM193" s="357"/>
      <c r="BN193" s="357"/>
      <c r="BO193" s="357"/>
      <c r="BP193" s="357"/>
      <c r="BQ193" s="357"/>
      <c r="BR193" s="357"/>
      <c r="BS193" s="357"/>
      <c r="BT193" s="357"/>
      <c r="BU193" s="357"/>
      <c r="BV193" s="357"/>
      <c r="BW193" s="357"/>
      <c r="BX193" s="357"/>
      <c r="BY193" s="357"/>
      <c r="BZ193" s="357"/>
      <c r="CA193" s="357"/>
      <c r="CB193" s="357"/>
      <c r="CC193" s="357"/>
      <c r="CD193" s="357"/>
      <c r="CE193" s="357">
        <v>1</v>
      </c>
      <c r="CF193" s="357"/>
      <c r="CG193" s="357"/>
      <c r="CH193" s="357"/>
      <c r="CI193" s="357"/>
      <c r="CJ193" s="357"/>
      <c r="CK193" s="357"/>
      <c r="CL193" s="357"/>
      <c r="CM193" s="357"/>
      <c r="CN193" s="357"/>
      <c r="CO193" s="357"/>
      <c r="CP193" s="357"/>
      <c r="CQ193" s="357"/>
      <c r="CR193" s="357"/>
      <c r="CS193" s="357"/>
      <c r="CT193" s="357"/>
      <c r="CU193" s="357"/>
      <c r="CV193" s="357"/>
      <c r="CW193" s="357"/>
      <c r="CX193" s="357"/>
      <c r="CY193" s="357"/>
      <c r="CZ193" s="357"/>
      <c r="DA193" s="357"/>
      <c r="DB193" s="357"/>
      <c r="DC193" s="357"/>
      <c r="DD193" s="357"/>
      <c r="DE193" s="357"/>
      <c r="DF193" s="357"/>
      <c r="DG193" s="357"/>
      <c r="DH193" s="357"/>
      <c r="DI193" s="357"/>
      <c r="DJ193" s="357"/>
      <c r="DK193" s="357"/>
      <c r="DL193" s="357"/>
      <c r="DM193" s="357"/>
      <c r="DN193" s="357"/>
      <c r="DO193" s="360"/>
      <c r="DR193" s="708"/>
      <c r="DS193" s="708"/>
      <c r="DU193" s="310">
        <f t="shared" si="47"/>
        <v>0</v>
      </c>
    </row>
    <row r="194" spans="1:128">
      <c r="A194" s="373"/>
      <c r="B194" s="374" t="s">
        <v>463</v>
      </c>
      <c r="C194" s="357">
        <v>75</v>
      </c>
      <c r="D194" s="357"/>
      <c r="E194" s="357"/>
      <c r="F194" s="357"/>
      <c r="G194" s="357"/>
      <c r="H194" s="357"/>
      <c r="I194" s="357"/>
      <c r="J194" s="357"/>
      <c r="K194" s="357"/>
      <c r="L194" s="357"/>
      <c r="M194" s="357"/>
      <c r="N194" s="357"/>
      <c r="O194" s="357"/>
      <c r="P194" s="362"/>
      <c r="Q194" s="362"/>
      <c r="R194" s="362"/>
      <c r="S194" s="362"/>
      <c r="T194" s="360"/>
      <c r="U194" s="361">
        <f>ROUNDUP((37*3.2)-((BF182*2)),0)</f>
        <v>84</v>
      </c>
      <c r="V194" s="361"/>
      <c r="W194" s="361"/>
      <c r="X194" s="357"/>
      <c r="Y194" s="357"/>
      <c r="Z194" s="357"/>
      <c r="AA194" s="357"/>
      <c r="AB194" s="357"/>
      <c r="AC194" s="357"/>
      <c r="AD194" s="357">
        <f t="shared" si="48"/>
        <v>84</v>
      </c>
      <c r="AE194" s="357"/>
      <c r="AF194" s="357"/>
      <c r="AG194" s="357"/>
      <c r="AH194" s="357"/>
      <c r="AI194" s="357"/>
      <c r="AJ194" s="357"/>
      <c r="AK194" s="357"/>
      <c r="AL194" s="357"/>
      <c r="AM194" s="357"/>
      <c r="AN194" s="357"/>
      <c r="AO194" s="357"/>
      <c r="AP194" s="357"/>
      <c r="AQ194" s="357">
        <f>ROUNDUP((BF184*2),0)</f>
        <v>13</v>
      </c>
      <c r="AR194" s="357"/>
      <c r="AS194" s="362"/>
      <c r="AT194" s="360">
        <f>ROUNDUP((BF183*2),0)</f>
        <v>11</v>
      </c>
      <c r="AU194" s="361"/>
      <c r="AV194" s="357"/>
      <c r="AW194" s="357">
        <f t="shared" si="49"/>
        <v>75</v>
      </c>
      <c r="AX194" s="357"/>
      <c r="AY194" s="360"/>
      <c r="AZ194" s="361">
        <f t="shared" si="44"/>
        <v>84</v>
      </c>
      <c r="BA194" s="357">
        <f t="shared" si="45"/>
        <v>0</v>
      </c>
      <c r="BB194" s="362"/>
      <c r="BC194" s="365">
        <f t="shared" si="46"/>
        <v>75</v>
      </c>
      <c r="BD194" s="361"/>
      <c r="BE194" s="357"/>
      <c r="BF194" s="357">
        <v>2</v>
      </c>
      <c r="BG194" s="357"/>
      <c r="BH194" s="357"/>
      <c r="BI194" s="357"/>
      <c r="BJ194" s="357"/>
      <c r="BK194" s="357"/>
      <c r="BL194" s="357"/>
      <c r="BM194" s="357"/>
      <c r="BN194" s="357"/>
      <c r="BO194" s="357"/>
      <c r="BP194" s="357"/>
      <c r="BQ194" s="357"/>
      <c r="BR194" s="357"/>
      <c r="BS194" s="357"/>
      <c r="BT194" s="357"/>
      <c r="BU194" s="357"/>
      <c r="BV194" s="357"/>
      <c r="BW194" s="357"/>
      <c r="BX194" s="357"/>
      <c r="BY194" s="357"/>
      <c r="BZ194" s="357"/>
      <c r="CA194" s="357"/>
      <c r="CB194" s="357"/>
      <c r="CC194" s="357"/>
      <c r="CD194" s="357"/>
      <c r="CE194" s="357"/>
      <c r="CF194" s="357"/>
      <c r="CG194" s="357"/>
      <c r="CH194" s="357"/>
      <c r="CI194" s="357"/>
      <c r="CJ194" s="357"/>
      <c r="CK194" s="357"/>
      <c r="CL194" s="357"/>
      <c r="CM194" s="357"/>
      <c r="CN194" s="357"/>
      <c r="CO194" s="357"/>
      <c r="CP194" s="357"/>
      <c r="CQ194" s="357"/>
      <c r="CR194" s="357"/>
      <c r="CS194" s="357"/>
      <c r="CT194" s="357"/>
      <c r="CU194" s="357"/>
      <c r="CV194" s="357"/>
      <c r="CW194" s="357"/>
      <c r="CX194" s="357"/>
      <c r="CY194" s="357"/>
      <c r="CZ194" s="357"/>
      <c r="DA194" s="357"/>
      <c r="DB194" s="357"/>
      <c r="DC194" s="357"/>
      <c r="DD194" s="357"/>
      <c r="DE194" s="357"/>
      <c r="DF194" s="357"/>
      <c r="DG194" s="357"/>
      <c r="DH194" s="357"/>
      <c r="DI194" s="357"/>
      <c r="DJ194" s="357"/>
      <c r="DK194" s="357"/>
      <c r="DL194" s="357"/>
      <c r="DM194" s="357"/>
      <c r="DN194" s="357"/>
      <c r="DO194" s="360"/>
      <c r="DR194" s="708"/>
      <c r="DS194" s="708"/>
      <c r="DU194" s="310">
        <f t="shared" si="47"/>
        <v>0</v>
      </c>
    </row>
    <row r="195" spans="1:128">
      <c r="A195" s="373"/>
      <c r="B195" s="374" t="s">
        <v>464</v>
      </c>
      <c r="C195" s="357">
        <v>75</v>
      </c>
      <c r="D195" s="357"/>
      <c r="E195" s="357"/>
      <c r="F195" s="357"/>
      <c r="G195" s="357"/>
      <c r="H195" s="357"/>
      <c r="I195" s="357"/>
      <c r="J195" s="357"/>
      <c r="K195" s="357"/>
      <c r="L195" s="357"/>
      <c r="M195" s="357"/>
      <c r="N195" s="357"/>
      <c r="O195" s="357"/>
      <c r="P195" s="362"/>
      <c r="Q195" s="362"/>
      <c r="R195" s="362"/>
      <c r="S195" s="362"/>
      <c r="T195" s="360"/>
      <c r="U195" s="361">
        <f>ROUNDUP((31.4*3.2)-((BF182*2)+(CE182*2)),0)</f>
        <v>49</v>
      </c>
      <c r="V195" s="361"/>
      <c r="W195" s="361"/>
      <c r="X195" s="357"/>
      <c r="Y195" s="357"/>
      <c r="Z195" s="357"/>
      <c r="AA195" s="357"/>
      <c r="AB195" s="357"/>
      <c r="AC195" s="357"/>
      <c r="AD195" s="357">
        <f t="shared" si="48"/>
        <v>49</v>
      </c>
      <c r="AE195" s="357"/>
      <c r="AF195" s="357"/>
      <c r="AG195" s="357"/>
      <c r="AH195" s="357"/>
      <c r="AI195" s="357"/>
      <c r="AJ195" s="357"/>
      <c r="AK195" s="357"/>
      <c r="AL195" s="357"/>
      <c r="AM195" s="357"/>
      <c r="AN195" s="357"/>
      <c r="AO195" s="357"/>
      <c r="AP195" s="357"/>
      <c r="AQ195" s="357">
        <f>ROUNDUP((BF184*2)+(CE184*2),0)</f>
        <v>20</v>
      </c>
      <c r="AR195" s="357"/>
      <c r="AS195" s="362"/>
      <c r="AT195" s="360">
        <f>ROUNDUP((BF183*2)+(CE183*2),0)</f>
        <v>32</v>
      </c>
      <c r="AU195" s="361"/>
      <c r="AV195" s="357"/>
      <c r="AW195" s="357">
        <f t="shared" si="49"/>
        <v>75</v>
      </c>
      <c r="AX195" s="357"/>
      <c r="AY195" s="360"/>
      <c r="AZ195" s="361">
        <f t="shared" si="44"/>
        <v>49</v>
      </c>
      <c r="BA195" s="357">
        <f t="shared" si="45"/>
        <v>0</v>
      </c>
      <c r="BB195" s="362"/>
      <c r="BC195" s="365">
        <f t="shared" si="46"/>
        <v>75</v>
      </c>
      <c r="BD195" s="361"/>
      <c r="BE195" s="357"/>
      <c r="BF195" s="357">
        <v>2</v>
      </c>
      <c r="BG195" s="357"/>
      <c r="BH195" s="357"/>
      <c r="BI195" s="357"/>
      <c r="BJ195" s="357"/>
      <c r="BK195" s="357"/>
      <c r="BL195" s="357"/>
      <c r="BM195" s="357"/>
      <c r="BN195" s="357"/>
      <c r="BO195" s="357"/>
      <c r="BP195" s="357"/>
      <c r="BQ195" s="357"/>
      <c r="BR195" s="357"/>
      <c r="BS195" s="357"/>
      <c r="BT195" s="357"/>
      <c r="BU195" s="357"/>
      <c r="BV195" s="357"/>
      <c r="BW195" s="357"/>
      <c r="BX195" s="357"/>
      <c r="BY195" s="357"/>
      <c r="BZ195" s="357"/>
      <c r="CA195" s="357"/>
      <c r="CB195" s="357"/>
      <c r="CC195" s="357"/>
      <c r="CD195" s="357"/>
      <c r="CE195" s="357">
        <v>2</v>
      </c>
      <c r="CF195" s="357"/>
      <c r="CG195" s="357"/>
      <c r="CH195" s="357"/>
      <c r="CI195" s="357"/>
      <c r="CJ195" s="357"/>
      <c r="CK195" s="357"/>
      <c r="CL195" s="357"/>
      <c r="CM195" s="357"/>
      <c r="CN195" s="357"/>
      <c r="CO195" s="357"/>
      <c r="CP195" s="357"/>
      <c r="CQ195" s="357"/>
      <c r="CR195" s="357"/>
      <c r="CS195" s="357"/>
      <c r="CT195" s="357"/>
      <c r="CU195" s="357"/>
      <c r="CV195" s="357"/>
      <c r="CW195" s="357"/>
      <c r="CX195" s="357"/>
      <c r="CY195" s="357"/>
      <c r="CZ195" s="357"/>
      <c r="DA195" s="357"/>
      <c r="DB195" s="357"/>
      <c r="DC195" s="357"/>
      <c r="DD195" s="357"/>
      <c r="DE195" s="357"/>
      <c r="DF195" s="357"/>
      <c r="DG195" s="357"/>
      <c r="DH195" s="357"/>
      <c r="DI195" s="357"/>
      <c r="DJ195" s="357"/>
      <c r="DK195" s="357"/>
      <c r="DL195" s="357"/>
      <c r="DM195" s="357"/>
      <c r="DN195" s="357"/>
      <c r="DO195" s="360"/>
      <c r="DR195" s="708">
        <f>CE209</f>
        <v>9</v>
      </c>
      <c r="DS195" s="708">
        <v>0</v>
      </c>
      <c r="DU195" s="310">
        <f t="shared" si="47"/>
        <v>9</v>
      </c>
      <c r="DV195" s="309" t="s">
        <v>1903</v>
      </c>
      <c r="DX195" s="372">
        <f>ROUNDUP(CE182*3000,0)</f>
        <v>25245</v>
      </c>
    </row>
    <row r="196" spans="1:128">
      <c r="A196" s="373"/>
      <c r="B196" s="374" t="s">
        <v>465</v>
      </c>
      <c r="C196" s="357">
        <v>75</v>
      </c>
      <c r="D196" s="357"/>
      <c r="E196" s="357"/>
      <c r="F196" s="357"/>
      <c r="G196" s="357"/>
      <c r="H196" s="357"/>
      <c r="I196" s="357"/>
      <c r="J196" s="357"/>
      <c r="K196" s="357"/>
      <c r="L196" s="357"/>
      <c r="M196" s="357"/>
      <c r="N196" s="357"/>
      <c r="O196" s="357"/>
      <c r="P196" s="362"/>
      <c r="Q196" s="362"/>
      <c r="R196" s="362"/>
      <c r="S196" s="362"/>
      <c r="T196" s="360"/>
      <c r="U196" s="361">
        <f>ROUNDUP((31.4*3.2)-((BF182*2)+(CE182*2)),0)</f>
        <v>49</v>
      </c>
      <c r="V196" s="361"/>
      <c r="W196" s="361"/>
      <c r="X196" s="357"/>
      <c r="Y196" s="357"/>
      <c r="Z196" s="357"/>
      <c r="AA196" s="357"/>
      <c r="AB196" s="357"/>
      <c r="AC196" s="357"/>
      <c r="AD196" s="357">
        <f t="shared" si="48"/>
        <v>49</v>
      </c>
      <c r="AE196" s="357"/>
      <c r="AF196" s="357"/>
      <c r="AG196" s="357"/>
      <c r="AH196" s="357"/>
      <c r="AI196" s="357"/>
      <c r="AJ196" s="357"/>
      <c r="AK196" s="357"/>
      <c r="AL196" s="357"/>
      <c r="AM196" s="357"/>
      <c r="AN196" s="357"/>
      <c r="AO196" s="357"/>
      <c r="AP196" s="357"/>
      <c r="AQ196" s="357">
        <f>ROUNDUP((BF184*2)+(CE184*2),0)</f>
        <v>20</v>
      </c>
      <c r="AR196" s="357"/>
      <c r="AS196" s="362"/>
      <c r="AT196" s="360">
        <f>ROUNDUP((BF183*2)+(CE183*2),0)</f>
        <v>32</v>
      </c>
      <c r="AU196" s="361"/>
      <c r="AV196" s="357"/>
      <c r="AW196" s="357">
        <f t="shared" si="49"/>
        <v>75</v>
      </c>
      <c r="AX196" s="357"/>
      <c r="AY196" s="360"/>
      <c r="AZ196" s="361">
        <f t="shared" si="44"/>
        <v>49</v>
      </c>
      <c r="BA196" s="357">
        <f t="shared" si="45"/>
        <v>0</v>
      </c>
      <c r="BB196" s="362"/>
      <c r="BC196" s="365">
        <f t="shared" si="46"/>
        <v>75</v>
      </c>
      <c r="BD196" s="361"/>
      <c r="BE196" s="357"/>
      <c r="BF196" s="357">
        <v>2</v>
      </c>
      <c r="BG196" s="357"/>
      <c r="BH196" s="357"/>
      <c r="BI196" s="357"/>
      <c r="BJ196" s="357"/>
      <c r="BK196" s="357"/>
      <c r="BL196" s="357"/>
      <c r="BM196" s="357"/>
      <c r="BN196" s="357"/>
      <c r="BO196" s="357"/>
      <c r="BP196" s="357"/>
      <c r="BQ196" s="357"/>
      <c r="BR196" s="357"/>
      <c r="BS196" s="357"/>
      <c r="BT196" s="357"/>
      <c r="BU196" s="357"/>
      <c r="BV196" s="357"/>
      <c r="BW196" s="357"/>
      <c r="BX196" s="357"/>
      <c r="BY196" s="357"/>
      <c r="BZ196" s="357"/>
      <c r="CA196" s="357"/>
      <c r="CB196" s="357"/>
      <c r="CC196" s="357"/>
      <c r="CD196" s="357"/>
      <c r="CE196" s="357">
        <v>2</v>
      </c>
      <c r="CF196" s="357"/>
      <c r="CG196" s="357"/>
      <c r="CH196" s="357"/>
      <c r="CI196" s="357"/>
      <c r="CJ196" s="357"/>
      <c r="CK196" s="357"/>
      <c r="CL196" s="357"/>
      <c r="CM196" s="357"/>
      <c r="CN196" s="357"/>
      <c r="CO196" s="357"/>
      <c r="CP196" s="357"/>
      <c r="CQ196" s="357"/>
      <c r="CR196" s="357"/>
      <c r="CS196" s="357"/>
      <c r="CT196" s="357"/>
      <c r="CU196" s="357"/>
      <c r="CV196" s="357"/>
      <c r="CW196" s="357"/>
      <c r="CX196" s="357"/>
      <c r="CY196" s="357"/>
      <c r="CZ196" s="357"/>
      <c r="DA196" s="357"/>
      <c r="DB196" s="357"/>
      <c r="DC196" s="357"/>
      <c r="DD196" s="357"/>
      <c r="DE196" s="357"/>
      <c r="DF196" s="357"/>
      <c r="DG196" s="357"/>
      <c r="DH196" s="357"/>
      <c r="DI196" s="357"/>
      <c r="DJ196" s="357"/>
      <c r="DK196" s="357"/>
      <c r="DL196" s="357"/>
      <c r="DM196" s="357"/>
      <c r="DN196" s="357"/>
      <c r="DO196" s="360"/>
      <c r="DR196" s="708">
        <f>CF209</f>
        <v>2</v>
      </c>
      <c r="DS196" s="708">
        <v>0</v>
      </c>
      <c r="DU196" s="310">
        <f t="shared" si="47"/>
        <v>2</v>
      </c>
      <c r="DV196" s="309" t="s">
        <v>1904</v>
      </c>
      <c r="DX196" s="372">
        <f>ROUNDUP(CF182*3000,0)</f>
        <v>25245</v>
      </c>
    </row>
    <row r="197" spans="1:128">
      <c r="A197" s="373"/>
      <c r="B197" s="374" t="s">
        <v>362</v>
      </c>
      <c r="C197" s="375">
        <f>ROUNDUP(16.81,0)</f>
        <v>17</v>
      </c>
      <c r="D197" s="357"/>
      <c r="E197" s="357"/>
      <c r="F197" s="357"/>
      <c r="G197" s="357"/>
      <c r="H197" s="357"/>
      <c r="I197" s="357"/>
      <c r="J197" s="357"/>
      <c r="K197" s="357"/>
      <c r="L197" s="357"/>
      <c r="M197" s="357"/>
      <c r="N197" s="357"/>
      <c r="O197" s="357"/>
      <c r="P197" s="362"/>
      <c r="Q197" s="362"/>
      <c r="R197" s="362"/>
      <c r="S197" s="362"/>
      <c r="T197" s="360"/>
      <c r="U197" s="361">
        <f>ROUNDUP((17.7*3.2)-(BG182+CF182),0)</f>
        <v>45</v>
      </c>
      <c r="V197" s="361"/>
      <c r="W197" s="361"/>
      <c r="X197" s="357"/>
      <c r="Y197" s="357"/>
      <c r="Z197" s="357"/>
      <c r="AA197" s="357"/>
      <c r="AB197" s="357"/>
      <c r="AC197" s="357"/>
      <c r="AD197" s="357">
        <f t="shared" si="48"/>
        <v>45</v>
      </c>
      <c r="AE197" s="357"/>
      <c r="AF197" s="357"/>
      <c r="AG197" s="357"/>
      <c r="AH197" s="357"/>
      <c r="AI197" s="357"/>
      <c r="AJ197" s="357"/>
      <c r="AK197" s="357"/>
      <c r="AL197" s="357"/>
      <c r="AM197" s="357"/>
      <c r="AN197" s="357"/>
      <c r="AO197" s="357"/>
      <c r="AP197" s="357"/>
      <c r="AQ197" s="357">
        <f>ROUNDUP((BE9+CD9),0)</f>
        <v>11</v>
      </c>
      <c r="AR197" s="357"/>
      <c r="AS197" s="362"/>
      <c r="AT197" s="360">
        <f>ROUNDUP((BG183+CF183),0)</f>
        <v>13</v>
      </c>
      <c r="AU197" s="361"/>
      <c r="AV197" s="357"/>
      <c r="AW197" s="357">
        <f t="shared" si="49"/>
        <v>17</v>
      </c>
      <c r="AX197" s="357"/>
      <c r="AY197" s="360"/>
      <c r="AZ197" s="361">
        <f t="shared" si="44"/>
        <v>45</v>
      </c>
      <c r="BA197" s="357">
        <f t="shared" si="45"/>
        <v>0</v>
      </c>
      <c r="BB197" s="362"/>
      <c r="BC197" s="365">
        <f t="shared" si="46"/>
        <v>17</v>
      </c>
      <c r="BD197" s="361"/>
      <c r="BE197" s="357"/>
      <c r="BF197" s="357"/>
      <c r="BG197" s="357">
        <v>1</v>
      </c>
      <c r="BH197" s="357"/>
      <c r="BI197" s="357"/>
      <c r="BJ197" s="357"/>
      <c r="BK197" s="357"/>
      <c r="BL197" s="357"/>
      <c r="BM197" s="357"/>
      <c r="BN197" s="357"/>
      <c r="BO197" s="357"/>
      <c r="BP197" s="357"/>
      <c r="BQ197" s="357"/>
      <c r="BR197" s="357"/>
      <c r="BS197" s="357"/>
      <c r="BT197" s="357"/>
      <c r="BU197" s="357"/>
      <c r="BV197" s="357"/>
      <c r="BW197" s="357"/>
      <c r="BX197" s="357"/>
      <c r="BY197" s="357"/>
      <c r="BZ197" s="357"/>
      <c r="CA197" s="357"/>
      <c r="CB197" s="357"/>
      <c r="CC197" s="357"/>
      <c r="CD197" s="357"/>
      <c r="CE197" s="357"/>
      <c r="CF197" s="357">
        <v>1</v>
      </c>
      <c r="CG197" s="357"/>
      <c r="CH197" s="357"/>
      <c r="CI197" s="357"/>
      <c r="CJ197" s="357"/>
      <c r="CK197" s="357"/>
      <c r="CL197" s="357"/>
      <c r="CM197" s="357"/>
      <c r="CN197" s="357"/>
      <c r="CO197" s="357"/>
      <c r="CP197" s="357"/>
      <c r="CQ197" s="357"/>
      <c r="CR197" s="357"/>
      <c r="CS197" s="357"/>
      <c r="CT197" s="357"/>
      <c r="CU197" s="357"/>
      <c r="CV197" s="357"/>
      <c r="CW197" s="357"/>
      <c r="CX197" s="357"/>
      <c r="CY197" s="357"/>
      <c r="CZ197" s="357"/>
      <c r="DA197" s="357"/>
      <c r="DB197" s="357"/>
      <c r="DC197" s="357"/>
      <c r="DD197" s="357"/>
      <c r="DE197" s="357"/>
      <c r="DF197" s="357"/>
      <c r="DG197" s="357"/>
      <c r="DH197" s="357"/>
      <c r="DI197" s="357"/>
      <c r="DJ197" s="357"/>
      <c r="DK197" s="357"/>
      <c r="DL197" s="357"/>
      <c r="DM197" s="357"/>
      <c r="DN197" s="357"/>
      <c r="DO197" s="360"/>
      <c r="DR197" s="708">
        <f>CH209</f>
        <v>2</v>
      </c>
      <c r="DS197" s="708">
        <v>0</v>
      </c>
      <c r="DU197" s="310">
        <f t="shared" si="47"/>
        <v>2</v>
      </c>
      <c r="DV197" s="309" t="s">
        <v>1905</v>
      </c>
      <c r="DX197" s="372">
        <f>ROUNDUP(CH182*5000,0)</f>
        <v>6900</v>
      </c>
    </row>
    <row r="198" spans="1:128">
      <c r="A198" s="373"/>
      <c r="B198" s="374" t="s">
        <v>363</v>
      </c>
      <c r="C198" s="375">
        <f>ROUNDUP(35.96,0)</f>
        <v>36</v>
      </c>
      <c r="D198" s="357"/>
      <c r="E198" s="357"/>
      <c r="F198" s="357"/>
      <c r="G198" s="357"/>
      <c r="H198" s="357"/>
      <c r="I198" s="357"/>
      <c r="J198" s="357"/>
      <c r="K198" s="357"/>
      <c r="L198" s="357"/>
      <c r="M198" s="357"/>
      <c r="N198" s="357"/>
      <c r="O198" s="357"/>
      <c r="P198" s="362"/>
      <c r="Q198" s="362"/>
      <c r="R198" s="362"/>
      <c r="S198" s="362"/>
      <c r="T198" s="360"/>
      <c r="U198" s="361">
        <f>ROUNDUP((24.2*3.2)-(BG182+CF182),0)</f>
        <v>65</v>
      </c>
      <c r="V198" s="361"/>
      <c r="W198" s="361"/>
      <c r="X198" s="357"/>
      <c r="Y198" s="357"/>
      <c r="Z198" s="357"/>
      <c r="AA198" s="357"/>
      <c r="AB198" s="357"/>
      <c r="AC198" s="357"/>
      <c r="AD198" s="357">
        <f t="shared" si="48"/>
        <v>65</v>
      </c>
      <c r="AE198" s="357"/>
      <c r="AF198" s="357"/>
      <c r="AG198" s="357"/>
      <c r="AH198" s="357"/>
      <c r="AI198" s="357"/>
      <c r="AJ198" s="357"/>
      <c r="AK198" s="357"/>
      <c r="AL198" s="357"/>
      <c r="AM198" s="357"/>
      <c r="AN198" s="357"/>
      <c r="AO198" s="357"/>
      <c r="AP198" s="357"/>
      <c r="AQ198" s="357">
        <f>ROUNDUP((BE9+CD9),0)</f>
        <v>11</v>
      </c>
      <c r="AR198" s="357"/>
      <c r="AS198" s="362"/>
      <c r="AT198" s="360">
        <f>ROUNDUP((BG183+CF183),0)</f>
        <v>13</v>
      </c>
      <c r="AU198" s="361"/>
      <c r="AV198" s="357"/>
      <c r="AW198" s="357">
        <f t="shared" si="49"/>
        <v>36</v>
      </c>
      <c r="AX198" s="357"/>
      <c r="AY198" s="360"/>
      <c r="AZ198" s="361">
        <f t="shared" si="44"/>
        <v>65</v>
      </c>
      <c r="BA198" s="357">
        <f t="shared" si="45"/>
        <v>0</v>
      </c>
      <c r="BB198" s="362"/>
      <c r="BC198" s="365">
        <f t="shared" si="46"/>
        <v>36</v>
      </c>
      <c r="BD198" s="361"/>
      <c r="BE198" s="357"/>
      <c r="BF198" s="357"/>
      <c r="BG198" s="357">
        <v>1</v>
      </c>
      <c r="BH198" s="357"/>
      <c r="BI198" s="357"/>
      <c r="BJ198" s="357"/>
      <c r="BK198" s="357"/>
      <c r="BL198" s="357"/>
      <c r="BM198" s="357"/>
      <c r="BN198" s="357"/>
      <c r="BO198" s="357"/>
      <c r="BP198" s="357"/>
      <c r="BQ198" s="357"/>
      <c r="BR198" s="357"/>
      <c r="BS198" s="357"/>
      <c r="BT198" s="357"/>
      <c r="BU198" s="357"/>
      <c r="BV198" s="357"/>
      <c r="BW198" s="357"/>
      <c r="BX198" s="357"/>
      <c r="BY198" s="357"/>
      <c r="BZ198" s="357"/>
      <c r="CA198" s="357"/>
      <c r="CB198" s="357"/>
      <c r="CC198" s="357"/>
      <c r="CD198" s="357"/>
      <c r="CE198" s="357"/>
      <c r="CF198" s="357">
        <v>1</v>
      </c>
      <c r="CG198" s="357"/>
      <c r="CH198" s="357"/>
      <c r="CI198" s="357"/>
      <c r="CJ198" s="357"/>
      <c r="CK198" s="357"/>
      <c r="CL198" s="357"/>
      <c r="CM198" s="357"/>
      <c r="CN198" s="357"/>
      <c r="CO198" s="357"/>
      <c r="CP198" s="357"/>
      <c r="CQ198" s="357"/>
      <c r="CR198" s="357"/>
      <c r="CS198" s="357"/>
      <c r="CT198" s="357"/>
      <c r="CU198" s="357"/>
      <c r="CV198" s="357"/>
      <c r="CW198" s="357"/>
      <c r="CX198" s="357"/>
      <c r="CY198" s="357"/>
      <c r="CZ198" s="357"/>
      <c r="DA198" s="357"/>
      <c r="DB198" s="357"/>
      <c r="DC198" s="357"/>
      <c r="DD198" s="357"/>
      <c r="DE198" s="357"/>
      <c r="DF198" s="357"/>
      <c r="DG198" s="357"/>
      <c r="DH198" s="357"/>
      <c r="DI198" s="357"/>
      <c r="DJ198" s="357"/>
      <c r="DK198" s="357"/>
      <c r="DL198" s="357"/>
      <c r="DM198" s="357"/>
      <c r="DN198" s="357"/>
      <c r="DO198" s="360"/>
      <c r="DR198" s="708">
        <v>0</v>
      </c>
      <c r="DS198" s="708">
        <f>CJ224</f>
        <v>26</v>
      </c>
      <c r="DU198" s="310">
        <f t="shared" si="47"/>
        <v>26</v>
      </c>
      <c r="DV198" s="309" t="s">
        <v>1906</v>
      </c>
      <c r="DX198" s="708">
        <f>ROUNDUP((((5.6*2)+(1.2*4))*1000)+(5.6*14)*200,0)</f>
        <v>31680</v>
      </c>
    </row>
    <row r="199" spans="1:128">
      <c r="A199" s="373"/>
      <c r="B199" s="374" t="s">
        <v>466</v>
      </c>
      <c r="C199" s="375"/>
      <c r="D199" s="357"/>
      <c r="E199" s="375">
        <f>ROUNDUP(16.77,0)</f>
        <v>17</v>
      </c>
      <c r="F199" s="357"/>
      <c r="G199" s="357"/>
      <c r="H199" s="357"/>
      <c r="I199" s="357"/>
      <c r="J199" s="357"/>
      <c r="K199" s="357"/>
      <c r="L199" s="357"/>
      <c r="M199" s="357"/>
      <c r="N199" s="357"/>
      <c r="O199" s="357"/>
      <c r="P199" s="362"/>
      <c r="Q199" s="362"/>
      <c r="R199" s="362"/>
      <c r="S199" s="362"/>
      <c r="T199" s="360">
        <f>SUM(C199:O199)</f>
        <v>17</v>
      </c>
      <c r="U199" s="361">
        <f>ROUNDUP(((17.7*3.2)+(1.65*2.8))-(BH182+CH182),0)</f>
        <v>58</v>
      </c>
      <c r="V199" s="357">
        <f>ROUNDUP(2*2.8,0)</f>
        <v>6</v>
      </c>
      <c r="W199" s="361"/>
      <c r="X199" s="357"/>
      <c r="Y199" s="357"/>
      <c r="Z199" s="357"/>
      <c r="AA199" s="357"/>
      <c r="AB199" s="357"/>
      <c r="AC199" s="357"/>
      <c r="AD199" s="361">
        <f>ROUNDUP(((17.7*3.2)+((1.7*2.8)*4))-(BH182+CH182),0)</f>
        <v>72</v>
      </c>
      <c r="AE199" s="357"/>
      <c r="AF199" s="357"/>
      <c r="AG199" s="361">
        <f>ROUNDUP(((17.7*2.8)+((1.7*2.8)*4))-(BH182+CH182),0)</f>
        <v>65</v>
      </c>
      <c r="AH199" s="357"/>
      <c r="AI199" s="357"/>
      <c r="AJ199" s="357"/>
      <c r="AK199" s="357"/>
      <c r="AL199" s="357"/>
      <c r="AM199" s="357"/>
      <c r="AN199" s="357"/>
      <c r="AO199" s="357"/>
      <c r="AP199" s="357"/>
      <c r="AQ199" s="357">
        <f>ROUNDUP((2*2.8)+BF9+CE9,0)</f>
        <v>16</v>
      </c>
      <c r="AR199" s="357">
        <f>ROUNDUP(2*2.8,0)</f>
        <v>6</v>
      </c>
      <c r="AS199" s="362"/>
      <c r="AT199" s="360">
        <f>ROUNDUP((BH183+CH183),0)</f>
        <v>6</v>
      </c>
      <c r="AU199" s="361"/>
      <c r="AV199" s="357">
        <f>E199</f>
        <v>17</v>
      </c>
      <c r="AW199" s="357"/>
      <c r="AX199" s="357"/>
      <c r="AY199" s="360"/>
      <c r="AZ199" s="361"/>
      <c r="BA199" s="357">
        <f t="shared" si="45"/>
        <v>0</v>
      </c>
      <c r="BB199" s="362"/>
      <c r="BC199" s="365">
        <f t="shared" si="46"/>
        <v>17</v>
      </c>
      <c r="BD199" s="361"/>
      <c r="BE199" s="357"/>
      <c r="BF199" s="357"/>
      <c r="BG199" s="357"/>
      <c r="BH199" s="357">
        <v>1</v>
      </c>
      <c r="BI199" s="357"/>
      <c r="BJ199" s="357"/>
      <c r="BK199" s="357"/>
      <c r="BL199" s="357"/>
      <c r="BM199" s="357"/>
      <c r="BN199" s="357"/>
      <c r="BO199" s="357"/>
      <c r="BP199" s="357"/>
      <c r="BQ199" s="357"/>
      <c r="BR199" s="357"/>
      <c r="BS199" s="357"/>
      <c r="BT199" s="357"/>
      <c r="BU199" s="357"/>
      <c r="BV199" s="357"/>
      <c r="BW199" s="357"/>
      <c r="BX199" s="357"/>
      <c r="BY199" s="357"/>
      <c r="BZ199" s="357"/>
      <c r="CA199" s="357"/>
      <c r="CB199" s="357"/>
      <c r="CC199" s="357"/>
      <c r="CD199" s="357"/>
      <c r="CE199" s="357"/>
      <c r="CF199" s="357"/>
      <c r="CG199" s="357"/>
      <c r="CH199" s="357">
        <v>1</v>
      </c>
      <c r="CI199" s="357"/>
      <c r="CJ199" s="357"/>
      <c r="CK199" s="357"/>
      <c r="CL199" s="357"/>
      <c r="CM199" s="357"/>
      <c r="CN199" s="357"/>
      <c r="CO199" s="357"/>
      <c r="CP199" s="357"/>
      <c r="CQ199" s="357"/>
      <c r="CR199" s="357"/>
      <c r="CS199" s="357"/>
      <c r="CT199" s="357"/>
      <c r="CU199" s="357"/>
      <c r="CV199" s="357"/>
      <c r="CW199" s="357"/>
      <c r="CX199" s="357"/>
      <c r="CY199" s="357"/>
      <c r="CZ199" s="357"/>
      <c r="DA199" s="357"/>
      <c r="DB199" s="357"/>
      <c r="DC199" s="357"/>
      <c r="DD199" s="357"/>
      <c r="DE199" s="357"/>
      <c r="DF199" s="357"/>
      <c r="DG199" s="357"/>
      <c r="DH199" s="357"/>
      <c r="DI199" s="357"/>
      <c r="DJ199" s="357"/>
      <c r="DK199" s="357"/>
      <c r="DL199" s="357"/>
      <c r="DM199" s="357"/>
      <c r="DN199" s="357"/>
      <c r="DO199" s="360"/>
      <c r="DR199" s="708">
        <v>0</v>
      </c>
      <c r="DS199" s="708">
        <f>CL224</f>
        <v>26</v>
      </c>
      <c r="DU199" s="310">
        <f t="shared" si="47"/>
        <v>26</v>
      </c>
      <c r="DV199" s="309" t="s">
        <v>1907</v>
      </c>
      <c r="DX199" s="372">
        <f>ROUNDUP(CL182*2500,0)</f>
        <v>16800</v>
      </c>
    </row>
    <row r="200" spans="1:128">
      <c r="A200" s="373"/>
      <c r="B200" s="374" t="s">
        <v>467</v>
      </c>
      <c r="C200" s="375"/>
      <c r="D200" s="357"/>
      <c r="E200" s="375">
        <f>ROUNDUP(18.59,0)</f>
        <v>19</v>
      </c>
      <c r="F200" s="357"/>
      <c r="G200" s="357"/>
      <c r="H200" s="357"/>
      <c r="I200" s="357"/>
      <c r="J200" s="357"/>
      <c r="K200" s="357"/>
      <c r="L200" s="357"/>
      <c r="M200" s="357"/>
      <c r="N200" s="357"/>
      <c r="O200" s="357"/>
      <c r="P200" s="362"/>
      <c r="Q200" s="362"/>
      <c r="R200" s="362"/>
      <c r="S200" s="362"/>
      <c r="T200" s="360">
        <f>SUM(C200:O200)</f>
        <v>19</v>
      </c>
      <c r="U200" s="361">
        <f>ROUNDUP(((18.3*3.2)+(1.95*2.8))-(BH182+CH182),0)</f>
        <v>60</v>
      </c>
      <c r="V200" s="361"/>
      <c r="W200" s="361"/>
      <c r="X200" s="357"/>
      <c r="Y200" s="357"/>
      <c r="Z200" s="357"/>
      <c r="AA200" s="357"/>
      <c r="AB200" s="357"/>
      <c r="AC200" s="357"/>
      <c r="AD200" s="361">
        <f>ROUNDUP(((18.3*3.2)+((2*2.8)*2))-(BH182+CH182),0)</f>
        <v>66</v>
      </c>
      <c r="AE200" s="357"/>
      <c r="AF200" s="357"/>
      <c r="AG200" s="361">
        <f>ROUNDUP(((18.3*2.8)+((2*2.8)*2))-(BH182+CH182),0)</f>
        <v>59</v>
      </c>
      <c r="AH200" s="357"/>
      <c r="AI200" s="357"/>
      <c r="AJ200" s="357"/>
      <c r="AK200" s="357"/>
      <c r="AL200" s="357"/>
      <c r="AM200" s="357"/>
      <c r="AN200" s="357"/>
      <c r="AO200" s="357"/>
      <c r="AP200" s="357"/>
      <c r="AQ200" s="357">
        <f>ROUNDUP((4*2.8)+BF9+CE9,0)</f>
        <v>22</v>
      </c>
      <c r="AR200" s="357"/>
      <c r="AS200" s="362"/>
      <c r="AT200" s="360">
        <f>ROUNDUP((BH183+CH183),0)</f>
        <v>6</v>
      </c>
      <c r="AU200" s="361"/>
      <c r="AV200" s="357">
        <f>E200</f>
        <v>19</v>
      </c>
      <c r="AW200" s="357"/>
      <c r="AX200" s="357"/>
      <c r="AY200" s="360"/>
      <c r="AZ200" s="361"/>
      <c r="BA200" s="357">
        <f t="shared" si="45"/>
        <v>0</v>
      </c>
      <c r="BB200" s="362"/>
      <c r="BC200" s="365">
        <f t="shared" si="46"/>
        <v>19</v>
      </c>
      <c r="BD200" s="361"/>
      <c r="BE200" s="357"/>
      <c r="BF200" s="357"/>
      <c r="BG200" s="357"/>
      <c r="BH200" s="357">
        <v>1</v>
      </c>
      <c r="BI200" s="357"/>
      <c r="BJ200" s="357"/>
      <c r="BK200" s="357"/>
      <c r="BL200" s="357"/>
      <c r="BM200" s="357"/>
      <c r="BN200" s="357"/>
      <c r="BO200" s="357"/>
      <c r="BP200" s="357"/>
      <c r="BQ200" s="357"/>
      <c r="BR200" s="357"/>
      <c r="BS200" s="357"/>
      <c r="BT200" s="357"/>
      <c r="BU200" s="357"/>
      <c r="BV200" s="357"/>
      <c r="BW200" s="357"/>
      <c r="BX200" s="357"/>
      <c r="BY200" s="357"/>
      <c r="BZ200" s="357"/>
      <c r="CA200" s="357"/>
      <c r="CB200" s="357"/>
      <c r="CC200" s="357"/>
      <c r="CD200" s="357"/>
      <c r="CE200" s="357"/>
      <c r="CF200" s="357"/>
      <c r="CG200" s="357"/>
      <c r="CH200" s="357">
        <v>1</v>
      </c>
      <c r="CI200" s="357"/>
      <c r="CJ200" s="357"/>
      <c r="CK200" s="357"/>
      <c r="CL200" s="357"/>
      <c r="CM200" s="357"/>
      <c r="CN200" s="357"/>
      <c r="CO200" s="357"/>
      <c r="CP200" s="357"/>
      <c r="CQ200" s="357"/>
      <c r="CR200" s="357"/>
      <c r="CS200" s="357"/>
      <c r="CT200" s="357"/>
      <c r="CU200" s="357"/>
      <c r="CV200" s="357"/>
      <c r="CW200" s="357"/>
      <c r="CX200" s="357"/>
      <c r="CY200" s="357"/>
      <c r="CZ200" s="357"/>
      <c r="DA200" s="357"/>
      <c r="DB200" s="357"/>
      <c r="DC200" s="357"/>
      <c r="DD200" s="357"/>
      <c r="DE200" s="357"/>
      <c r="DF200" s="357"/>
      <c r="DG200" s="357"/>
      <c r="DH200" s="357"/>
      <c r="DI200" s="357"/>
      <c r="DJ200" s="357"/>
      <c r="DK200" s="357"/>
      <c r="DL200" s="357"/>
      <c r="DM200" s="357"/>
      <c r="DN200" s="357"/>
      <c r="DO200" s="360"/>
      <c r="DR200" s="708"/>
      <c r="DS200" s="708"/>
    </row>
    <row r="201" spans="1:128">
      <c r="A201" s="373"/>
      <c r="B201" s="361" t="s">
        <v>1416</v>
      </c>
      <c r="C201" s="357"/>
      <c r="D201" s="357"/>
      <c r="E201" s="357"/>
      <c r="F201" s="357"/>
      <c r="G201" s="357"/>
      <c r="H201" s="357">
        <v>128</v>
      </c>
      <c r="I201" s="357"/>
      <c r="J201" s="357"/>
      <c r="K201" s="357"/>
      <c r="L201" s="357"/>
      <c r="M201" s="357"/>
      <c r="N201" s="357"/>
      <c r="O201" s="357"/>
      <c r="P201" s="362"/>
      <c r="Q201" s="362"/>
      <c r="R201" s="362"/>
      <c r="S201" s="362"/>
      <c r="T201" s="360"/>
      <c r="U201" s="361"/>
      <c r="V201" s="361"/>
      <c r="W201" s="361">
        <f>ROUNDUP((53*1.4)+(((0.25*1)*9)*2)+(((0.18*1)*10)*2)+(2.02*4),0)</f>
        <v>91</v>
      </c>
      <c r="X201" s="357"/>
      <c r="Y201" s="357"/>
      <c r="Z201" s="357"/>
      <c r="AA201" s="357"/>
      <c r="AB201" s="357"/>
      <c r="AC201" s="357"/>
      <c r="AD201" s="357"/>
      <c r="AE201" s="357"/>
      <c r="AF201" s="357"/>
      <c r="AG201" s="357"/>
      <c r="AH201" s="357"/>
      <c r="AI201" s="357"/>
      <c r="AJ201" s="357"/>
      <c r="AK201" s="357"/>
      <c r="AL201" s="357"/>
      <c r="AM201" s="357"/>
      <c r="AN201" s="357"/>
      <c r="AO201" s="357"/>
      <c r="AP201" s="357"/>
      <c r="AQ201" s="357"/>
      <c r="AR201" s="357"/>
      <c r="AS201" s="362"/>
      <c r="AT201" s="360"/>
      <c r="AU201" s="361"/>
      <c r="AV201" s="357"/>
      <c r="AW201" s="357"/>
      <c r="AX201" s="357"/>
      <c r="AY201" s="360"/>
      <c r="AZ201" s="361"/>
      <c r="BA201" s="357">
        <f t="shared" si="45"/>
        <v>0</v>
      </c>
      <c r="BB201" s="362"/>
      <c r="BC201" s="365">
        <f t="shared" si="46"/>
        <v>0</v>
      </c>
      <c r="BD201" s="361"/>
      <c r="BE201" s="357"/>
      <c r="BF201" s="357"/>
      <c r="BG201" s="357"/>
      <c r="BH201" s="357"/>
      <c r="BI201" s="357"/>
      <c r="BJ201" s="357"/>
      <c r="BK201" s="357"/>
      <c r="BL201" s="357"/>
      <c r="BM201" s="357"/>
      <c r="BN201" s="357"/>
      <c r="BO201" s="357"/>
      <c r="BP201" s="357"/>
      <c r="BQ201" s="357"/>
      <c r="BR201" s="357"/>
      <c r="BS201" s="357"/>
      <c r="BT201" s="357"/>
      <c r="BU201" s="357"/>
      <c r="BV201" s="357"/>
      <c r="BW201" s="357"/>
      <c r="BX201" s="357"/>
      <c r="BY201" s="357"/>
      <c r="BZ201" s="357"/>
      <c r="CA201" s="357"/>
      <c r="CB201" s="357"/>
      <c r="CC201" s="357"/>
      <c r="CD201" s="357"/>
      <c r="CE201" s="357"/>
      <c r="CF201" s="357"/>
      <c r="CG201" s="357"/>
      <c r="CH201" s="357"/>
      <c r="CI201" s="357"/>
      <c r="CJ201" s="357"/>
      <c r="CK201" s="357"/>
      <c r="CL201" s="357"/>
      <c r="CM201" s="357"/>
      <c r="CN201" s="357"/>
      <c r="CO201" s="357"/>
      <c r="CP201" s="357"/>
      <c r="CQ201" s="357"/>
      <c r="CR201" s="357"/>
      <c r="CS201" s="357"/>
      <c r="CT201" s="357"/>
      <c r="CU201" s="357"/>
      <c r="CV201" s="357"/>
      <c r="CW201" s="357"/>
      <c r="CX201" s="357"/>
      <c r="CY201" s="357"/>
      <c r="CZ201" s="357"/>
      <c r="DA201" s="357"/>
      <c r="DB201" s="357"/>
      <c r="DC201" s="357"/>
      <c r="DD201" s="357"/>
      <c r="DE201" s="357"/>
      <c r="DF201" s="357"/>
      <c r="DG201" s="357"/>
      <c r="DH201" s="357"/>
      <c r="DI201" s="357"/>
      <c r="DJ201" s="357"/>
      <c r="DK201" s="357"/>
      <c r="DL201" s="357"/>
      <c r="DM201" s="357"/>
      <c r="DN201" s="357"/>
      <c r="DO201" s="360"/>
    </row>
    <row r="202" spans="1:128">
      <c r="A202" s="373"/>
      <c r="B202" s="374" t="s">
        <v>650</v>
      </c>
      <c r="C202" s="357"/>
      <c r="D202" s="357"/>
      <c r="E202" s="357"/>
      <c r="F202" s="357"/>
      <c r="G202" s="357"/>
      <c r="H202" s="357"/>
      <c r="I202" s="357"/>
      <c r="J202" s="357"/>
      <c r="K202" s="357"/>
      <c r="L202" s="357"/>
      <c r="M202" s="357"/>
      <c r="N202" s="357"/>
      <c r="O202" s="357"/>
      <c r="P202" s="357"/>
      <c r="Q202" s="357"/>
      <c r="R202" s="362"/>
      <c r="S202" s="362"/>
      <c r="T202" s="360"/>
      <c r="U202" s="361"/>
      <c r="V202" s="361"/>
      <c r="W202" s="361"/>
      <c r="X202" s="357"/>
      <c r="Y202" s="357"/>
      <c r="Z202" s="357"/>
      <c r="AA202" s="357"/>
      <c r="AB202" s="357"/>
      <c r="AC202" s="357">
        <f>ROUNDUP((104+115)*4.5,0)</f>
        <v>986</v>
      </c>
      <c r="AD202" s="357"/>
      <c r="AE202" s="357"/>
      <c r="AF202" s="357"/>
      <c r="AG202" s="357"/>
      <c r="AH202" s="357"/>
      <c r="AI202" s="357"/>
      <c r="AJ202" s="357"/>
      <c r="AK202" s="357"/>
      <c r="AL202" s="357"/>
      <c r="AM202" s="357"/>
      <c r="AN202" s="357"/>
      <c r="AO202" s="357"/>
      <c r="AP202" s="357"/>
      <c r="AQ202" s="357"/>
      <c r="AR202" s="357"/>
      <c r="AS202" s="362"/>
      <c r="AT202" s="360"/>
      <c r="AU202" s="361"/>
      <c r="AV202" s="357"/>
      <c r="AW202" s="357"/>
      <c r="AX202" s="357"/>
      <c r="AY202" s="360"/>
      <c r="AZ202" s="361"/>
      <c r="BA202" s="357">
        <f t="shared" si="45"/>
        <v>986</v>
      </c>
      <c r="BB202" s="362"/>
      <c r="BC202" s="360"/>
      <c r="BD202" s="380"/>
      <c r="BE202" s="357"/>
      <c r="BF202" s="381"/>
      <c r="BG202" s="381"/>
      <c r="BH202" s="381"/>
      <c r="BI202" s="381"/>
      <c r="BJ202" s="381"/>
      <c r="BK202" s="381"/>
      <c r="BL202" s="381"/>
      <c r="BM202" s="381"/>
      <c r="BN202" s="381"/>
      <c r="BO202" s="381"/>
      <c r="BP202" s="381"/>
      <c r="BQ202" s="381"/>
      <c r="BR202" s="381"/>
      <c r="BS202" s="381"/>
      <c r="BT202" s="381"/>
      <c r="BU202" s="381"/>
      <c r="BV202" s="381"/>
      <c r="BW202" s="381"/>
      <c r="BX202" s="381"/>
      <c r="BY202" s="381"/>
      <c r="BZ202" s="381"/>
      <c r="CA202" s="381"/>
      <c r="CB202" s="381"/>
      <c r="CC202" s="381"/>
      <c r="CD202" s="381"/>
      <c r="CE202" s="381"/>
      <c r="CF202" s="381"/>
      <c r="CG202" s="381"/>
      <c r="CH202" s="381"/>
      <c r="CI202" s="381"/>
      <c r="CJ202" s="381"/>
      <c r="CK202" s="381"/>
      <c r="CL202" s="381"/>
      <c r="CM202" s="381"/>
      <c r="CN202" s="381"/>
      <c r="CO202" s="381"/>
      <c r="CP202" s="381"/>
      <c r="CQ202" s="381"/>
      <c r="CR202" s="381"/>
      <c r="CS202" s="381"/>
      <c r="CT202" s="381"/>
      <c r="CU202" s="381"/>
      <c r="CV202" s="381"/>
      <c r="CW202" s="381"/>
      <c r="CX202" s="381"/>
      <c r="CY202" s="381"/>
      <c r="CZ202" s="381"/>
      <c r="DA202" s="381"/>
      <c r="DB202" s="381"/>
      <c r="DC202" s="381"/>
      <c r="DD202" s="381"/>
      <c r="DE202" s="381"/>
      <c r="DF202" s="381"/>
      <c r="DG202" s="381"/>
      <c r="DH202" s="381"/>
      <c r="DI202" s="381"/>
      <c r="DJ202" s="381"/>
      <c r="DK202" s="381"/>
      <c r="DL202" s="381"/>
      <c r="DM202" s="381"/>
      <c r="DN202" s="381"/>
      <c r="DO202" s="383"/>
    </row>
    <row r="203" spans="1:128">
      <c r="A203" s="373"/>
      <c r="B203" s="374"/>
      <c r="C203" s="357"/>
      <c r="D203" s="357"/>
      <c r="E203" s="357"/>
      <c r="F203" s="357"/>
      <c r="G203" s="357"/>
      <c r="H203" s="357"/>
      <c r="I203" s="357"/>
      <c r="J203" s="357"/>
      <c r="K203" s="357"/>
      <c r="L203" s="357"/>
      <c r="M203" s="357"/>
      <c r="N203" s="357"/>
      <c r="O203" s="357"/>
      <c r="P203" s="362"/>
      <c r="Q203" s="357"/>
      <c r="R203" s="362"/>
      <c r="S203" s="362"/>
      <c r="T203" s="360"/>
      <c r="U203" s="361"/>
      <c r="V203" s="361"/>
      <c r="W203" s="361"/>
      <c r="X203" s="357"/>
      <c r="Y203" s="357"/>
      <c r="Z203" s="357"/>
      <c r="AA203" s="357"/>
      <c r="AB203" s="357"/>
      <c r="AC203" s="357"/>
      <c r="AD203" s="357"/>
      <c r="AE203" s="357"/>
      <c r="AF203" s="357"/>
      <c r="AG203" s="357"/>
      <c r="AH203" s="357"/>
      <c r="AI203" s="357"/>
      <c r="AJ203" s="357"/>
      <c r="AK203" s="357"/>
      <c r="AL203" s="357"/>
      <c r="AM203" s="357"/>
      <c r="AN203" s="357"/>
      <c r="AO203" s="357"/>
      <c r="AP203" s="357"/>
      <c r="AQ203" s="357"/>
      <c r="AR203" s="357"/>
      <c r="AS203" s="362"/>
      <c r="AT203" s="360"/>
      <c r="AU203" s="361"/>
      <c r="AV203" s="357"/>
      <c r="AW203" s="357"/>
      <c r="AX203" s="357"/>
      <c r="AY203" s="360"/>
      <c r="AZ203" s="361"/>
      <c r="BA203" s="357"/>
      <c r="BB203" s="362"/>
      <c r="BC203" s="360"/>
      <c r="BD203" s="380"/>
      <c r="BE203" s="357"/>
      <c r="BF203" s="381"/>
      <c r="BG203" s="381"/>
      <c r="BH203" s="381"/>
      <c r="BI203" s="381"/>
      <c r="BJ203" s="381"/>
      <c r="BK203" s="381"/>
      <c r="BL203" s="381"/>
      <c r="BM203" s="381"/>
      <c r="BN203" s="381"/>
      <c r="BO203" s="381"/>
      <c r="BP203" s="381"/>
      <c r="BQ203" s="381"/>
      <c r="BR203" s="381"/>
      <c r="BS203" s="381"/>
      <c r="BT203" s="381"/>
      <c r="BU203" s="381"/>
      <c r="BV203" s="381"/>
      <c r="BW203" s="381"/>
      <c r="BX203" s="381"/>
      <c r="BY203" s="381"/>
      <c r="BZ203" s="381"/>
      <c r="CA203" s="381"/>
      <c r="CB203" s="381"/>
      <c r="CC203" s="381"/>
      <c r="CD203" s="381"/>
      <c r="CE203" s="381"/>
      <c r="CF203" s="381"/>
      <c r="CG203" s="381"/>
      <c r="CH203" s="381"/>
      <c r="CI203" s="381"/>
      <c r="CJ203" s="381"/>
      <c r="CK203" s="381"/>
      <c r="CL203" s="381"/>
      <c r="CM203" s="381"/>
      <c r="CN203" s="381"/>
      <c r="CO203" s="381"/>
      <c r="CP203" s="381"/>
      <c r="CQ203" s="381"/>
      <c r="CR203" s="381"/>
      <c r="CS203" s="381"/>
      <c r="CT203" s="381"/>
      <c r="CU203" s="381"/>
      <c r="CV203" s="381"/>
      <c r="CW203" s="381"/>
      <c r="CX203" s="381"/>
      <c r="CY203" s="381"/>
      <c r="CZ203" s="381"/>
      <c r="DA203" s="381"/>
      <c r="DB203" s="381"/>
      <c r="DC203" s="381"/>
      <c r="DD203" s="381"/>
      <c r="DE203" s="381"/>
      <c r="DF203" s="381"/>
      <c r="DG203" s="381"/>
      <c r="DH203" s="381"/>
      <c r="DI203" s="381"/>
      <c r="DJ203" s="381"/>
      <c r="DK203" s="381"/>
      <c r="DL203" s="381"/>
      <c r="DM203" s="381"/>
      <c r="DN203" s="381"/>
      <c r="DO203" s="383"/>
    </row>
    <row r="204" spans="1:128" ht="17.25">
      <c r="A204" s="373"/>
      <c r="B204" s="361"/>
      <c r="C204" s="434"/>
      <c r="D204" s="361"/>
      <c r="E204" s="357"/>
      <c r="F204" s="357"/>
      <c r="G204" s="357"/>
      <c r="H204" s="357"/>
      <c r="I204" s="357"/>
      <c r="J204" s="357"/>
      <c r="K204" s="357"/>
      <c r="L204" s="357"/>
      <c r="M204" s="357"/>
      <c r="N204" s="357"/>
      <c r="O204" s="357"/>
      <c r="P204" s="362"/>
      <c r="Q204" s="362"/>
      <c r="R204" s="362"/>
      <c r="S204" s="362"/>
      <c r="T204" s="360"/>
      <c r="U204" s="361"/>
      <c r="V204" s="361"/>
      <c r="W204" s="361"/>
      <c r="X204" s="357"/>
      <c r="Y204" s="357"/>
      <c r="Z204" s="357"/>
      <c r="AA204" s="357"/>
      <c r="AB204" s="357"/>
      <c r="AC204" s="357"/>
      <c r="AD204" s="357"/>
      <c r="AE204" s="357"/>
      <c r="AF204" s="357"/>
      <c r="AG204" s="357"/>
      <c r="AH204" s="357"/>
      <c r="AI204" s="357"/>
      <c r="AJ204" s="357"/>
      <c r="AK204" s="357"/>
      <c r="AL204" s="357"/>
      <c r="AM204" s="357"/>
      <c r="AN204" s="357"/>
      <c r="AO204" s="357"/>
      <c r="AP204" s="357"/>
      <c r="AQ204" s="357"/>
      <c r="AR204" s="357"/>
      <c r="AS204" s="362"/>
      <c r="AT204" s="360"/>
      <c r="AU204" s="361"/>
      <c r="AV204" s="357"/>
      <c r="AW204" s="357"/>
      <c r="AX204" s="357"/>
      <c r="AY204" s="360"/>
      <c r="AZ204" s="361"/>
      <c r="BA204" s="357"/>
      <c r="BB204" s="362"/>
      <c r="BC204" s="360"/>
      <c r="BD204" s="380"/>
      <c r="BE204" s="381"/>
      <c r="BF204" s="381"/>
      <c r="BG204" s="381"/>
      <c r="BH204" s="381"/>
      <c r="BI204" s="381"/>
      <c r="BJ204" s="381"/>
      <c r="BK204" s="381"/>
      <c r="BL204" s="381"/>
      <c r="BM204" s="381"/>
      <c r="BN204" s="381"/>
      <c r="BO204" s="381"/>
      <c r="BP204" s="381"/>
      <c r="BQ204" s="381"/>
      <c r="BR204" s="381"/>
      <c r="BS204" s="381"/>
      <c r="BT204" s="381"/>
      <c r="BU204" s="381"/>
      <c r="BV204" s="381"/>
      <c r="BW204" s="381"/>
      <c r="BX204" s="381"/>
      <c r="BY204" s="381"/>
      <c r="BZ204" s="381"/>
      <c r="CA204" s="381"/>
      <c r="CB204" s="381"/>
      <c r="CC204" s="381"/>
      <c r="CD204" s="381"/>
      <c r="CE204" s="381"/>
      <c r="CF204" s="381"/>
      <c r="CG204" s="381"/>
      <c r="CH204" s="381"/>
      <c r="CI204" s="381"/>
      <c r="CJ204" s="381"/>
      <c r="CK204" s="381"/>
      <c r="CL204" s="381"/>
      <c r="CM204" s="381"/>
      <c r="CN204" s="381"/>
      <c r="CO204" s="381"/>
      <c r="CP204" s="381"/>
      <c r="CQ204" s="381"/>
      <c r="CR204" s="381"/>
      <c r="CS204" s="381"/>
      <c r="CT204" s="381"/>
      <c r="CU204" s="381"/>
      <c r="CV204" s="381"/>
      <c r="CW204" s="381"/>
      <c r="CX204" s="381"/>
      <c r="CY204" s="381"/>
      <c r="CZ204" s="381"/>
      <c r="DA204" s="381"/>
      <c r="DB204" s="381"/>
      <c r="DC204" s="381"/>
      <c r="DD204" s="381"/>
      <c r="DE204" s="381"/>
      <c r="DF204" s="381"/>
      <c r="DG204" s="381"/>
      <c r="DH204" s="381"/>
      <c r="DI204" s="381"/>
      <c r="DJ204" s="381"/>
      <c r="DK204" s="381"/>
      <c r="DL204" s="381"/>
      <c r="DM204" s="381"/>
      <c r="DN204" s="381"/>
      <c r="DO204" s="383"/>
    </row>
    <row r="205" spans="1:128">
      <c r="A205" s="373"/>
      <c r="B205" s="361"/>
      <c r="C205" s="357"/>
      <c r="D205" s="357"/>
      <c r="E205" s="357"/>
      <c r="F205" s="357"/>
      <c r="G205" s="357"/>
      <c r="H205" s="357"/>
      <c r="I205" s="357"/>
      <c r="J205" s="357"/>
      <c r="K205" s="357"/>
      <c r="L205" s="357"/>
      <c r="M205" s="357"/>
      <c r="N205" s="357"/>
      <c r="O205" s="357"/>
      <c r="P205" s="362"/>
      <c r="Q205" s="362"/>
      <c r="R205" s="362"/>
      <c r="S205" s="362"/>
      <c r="T205" s="360"/>
      <c r="U205" s="361"/>
      <c r="V205" s="361"/>
      <c r="W205" s="361"/>
      <c r="X205" s="357"/>
      <c r="Y205" s="357"/>
      <c r="Z205" s="357"/>
      <c r="AA205" s="357"/>
      <c r="AB205" s="357"/>
      <c r="AC205" s="357"/>
      <c r="AD205" s="357"/>
      <c r="AE205" s="357"/>
      <c r="AF205" s="357"/>
      <c r="AG205" s="357"/>
      <c r="AH205" s="357"/>
      <c r="AI205" s="357"/>
      <c r="AJ205" s="357"/>
      <c r="AK205" s="357"/>
      <c r="AL205" s="357"/>
      <c r="AM205" s="357"/>
      <c r="AN205" s="357"/>
      <c r="AO205" s="357"/>
      <c r="AP205" s="357"/>
      <c r="AQ205" s="357"/>
      <c r="AR205" s="357"/>
      <c r="AS205" s="362"/>
      <c r="AT205" s="360"/>
      <c r="AU205" s="361"/>
      <c r="AV205" s="357"/>
      <c r="AW205" s="357"/>
      <c r="AX205" s="357"/>
      <c r="AY205" s="360"/>
      <c r="AZ205" s="361"/>
      <c r="BA205" s="357"/>
      <c r="BB205" s="362"/>
      <c r="BC205" s="360"/>
      <c r="BD205" s="380"/>
      <c r="BE205" s="381"/>
      <c r="BF205" s="381"/>
      <c r="BG205" s="381"/>
      <c r="BH205" s="381"/>
      <c r="BI205" s="381"/>
      <c r="BJ205" s="381"/>
      <c r="BK205" s="381"/>
      <c r="BL205" s="381"/>
      <c r="BM205" s="381"/>
      <c r="BN205" s="381"/>
      <c r="BO205" s="381"/>
      <c r="BP205" s="381"/>
      <c r="BQ205" s="381"/>
      <c r="BR205" s="381"/>
      <c r="BS205" s="381"/>
      <c r="BT205" s="381"/>
      <c r="BU205" s="381"/>
      <c r="BV205" s="381"/>
      <c r="BW205" s="381"/>
      <c r="BX205" s="381"/>
      <c r="BY205" s="381"/>
      <c r="BZ205" s="381"/>
      <c r="CA205" s="381"/>
      <c r="CB205" s="381"/>
      <c r="CC205" s="381"/>
      <c r="CD205" s="381"/>
      <c r="CE205" s="381"/>
      <c r="CF205" s="381"/>
      <c r="CG205" s="381"/>
      <c r="CH205" s="381"/>
      <c r="CI205" s="381"/>
      <c r="CJ205" s="381"/>
      <c r="CK205" s="381"/>
      <c r="CL205" s="381"/>
      <c r="CM205" s="381"/>
      <c r="CN205" s="381"/>
      <c r="CO205" s="381"/>
      <c r="CP205" s="381"/>
      <c r="CQ205" s="381"/>
      <c r="CR205" s="381"/>
      <c r="CS205" s="381"/>
      <c r="CT205" s="381"/>
      <c r="CU205" s="381"/>
      <c r="CV205" s="381"/>
      <c r="CW205" s="381"/>
      <c r="CX205" s="381"/>
      <c r="CY205" s="381"/>
      <c r="CZ205" s="381"/>
      <c r="DA205" s="381"/>
      <c r="DB205" s="381"/>
      <c r="DC205" s="381"/>
      <c r="DD205" s="381"/>
      <c r="DE205" s="381"/>
      <c r="DF205" s="381"/>
      <c r="DG205" s="381"/>
      <c r="DH205" s="381"/>
      <c r="DI205" s="381"/>
      <c r="DJ205" s="381"/>
      <c r="DK205" s="381"/>
      <c r="DL205" s="381"/>
      <c r="DM205" s="381"/>
      <c r="DN205" s="381"/>
      <c r="DO205" s="383"/>
    </row>
    <row r="206" spans="1:128">
      <c r="A206" s="373"/>
      <c r="B206" s="361"/>
      <c r="C206" s="357"/>
      <c r="D206" s="357"/>
      <c r="E206" s="357"/>
      <c r="F206" s="357"/>
      <c r="G206" s="357"/>
      <c r="H206" s="357"/>
      <c r="I206" s="357"/>
      <c r="J206" s="357"/>
      <c r="K206" s="357"/>
      <c r="L206" s="357"/>
      <c r="M206" s="357"/>
      <c r="N206" s="357"/>
      <c r="O206" s="357"/>
      <c r="P206" s="362"/>
      <c r="Q206" s="362"/>
      <c r="R206" s="362"/>
      <c r="S206" s="362"/>
      <c r="T206" s="360"/>
      <c r="U206" s="361"/>
      <c r="V206" s="361"/>
      <c r="W206" s="361"/>
      <c r="X206" s="357"/>
      <c r="Y206" s="357"/>
      <c r="Z206" s="357"/>
      <c r="AA206" s="357"/>
      <c r="AB206" s="357"/>
      <c r="AC206" s="357"/>
      <c r="AD206" s="357"/>
      <c r="AE206" s="357"/>
      <c r="AF206" s="357"/>
      <c r="AG206" s="357"/>
      <c r="AH206" s="357"/>
      <c r="AI206" s="357"/>
      <c r="AJ206" s="357"/>
      <c r="AK206" s="357"/>
      <c r="AL206" s="357"/>
      <c r="AM206" s="357"/>
      <c r="AN206" s="357"/>
      <c r="AO206" s="357"/>
      <c r="AP206" s="357"/>
      <c r="AQ206" s="357"/>
      <c r="AR206" s="357"/>
      <c r="AS206" s="362"/>
      <c r="AT206" s="360"/>
      <c r="AU206" s="361"/>
      <c r="AV206" s="357"/>
      <c r="AW206" s="357"/>
      <c r="AX206" s="357"/>
      <c r="AY206" s="360"/>
      <c r="AZ206" s="361"/>
      <c r="BA206" s="357"/>
      <c r="BB206" s="362"/>
      <c r="BC206" s="360"/>
      <c r="BD206" s="380"/>
      <c r="BE206" s="381"/>
      <c r="BF206" s="381"/>
      <c r="BG206" s="381"/>
      <c r="BH206" s="381"/>
      <c r="BI206" s="381"/>
      <c r="BJ206" s="381"/>
      <c r="BK206" s="381"/>
      <c r="BL206" s="381"/>
      <c r="BM206" s="381"/>
      <c r="BN206" s="381"/>
      <c r="BO206" s="381"/>
      <c r="BP206" s="381"/>
      <c r="BQ206" s="381"/>
      <c r="BR206" s="381"/>
      <c r="BS206" s="381"/>
      <c r="BT206" s="381"/>
      <c r="BU206" s="381"/>
      <c r="BV206" s="381"/>
      <c r="BW206" s="381"/>
      <c r="BX206" s="381"/>
      <c r="BY206" s="381"/>
      <c r="BZ206" s="381"/>
      <c r="CA206" s="381"/>
      <c r="CB206" s="381"/>
      <c r="CC206" s="381"/>
      <c r="CD206" s="381"/>
      <c r="CE206" s="381"/>
      <c r="CF206" s="381"/>
      <c r="CG206" s="381"/>
      <c r="CH206" s="381"/>
      <c r="CI206" s="381"/>
      <c r="CJ206" s="381"/>
      <c r="CK206" s="381"/>
      <c r="CL206" s="381"/>
      <c r="CM206" s="381"/>
      <c r="CN206" s="381"/>
      <c r="CO206" s="381"/>
      <c r="CP206" s="381"/>
      <c r="CQ206" s="381"/>
      <c r="CR206" s="381"/>
      <c r="CS206" s="381"/>
      <c r="CT206" s="381"/>
      <c r="CU206" s="381"/>
      <c r="CV206" s="381"/>
      <c r="CW206" s="381"/>
      <c r="CX206" s="381"/>
      <c r="CY206" s="381"/>
      <c r="CZ206" s="381"/>
      <c r="DA206" s="381"/>
      <c r="DB206" s="381"/>
      <c r="DC206" s="381"/>
      <c r="DD206" s="381"/>
      <c r="DE206" s="381"/>
      <c r="DF206" s="381"/>
      <c r="DG206" s="381"/>
      <c r="DH206" s="381"/>
      <c r="DI206" s="381"/>
      <c r="DJ206" s="381"/>
      <c r="DK206" s="381"/>
      <c r="DL206" s="381"/>
      <c r="DM206" s="381"/>
      <c r="DN206" s="381"/>
      <c r="DO206" s="383"/>
    </row>
    <row r="207" spans="1:128">
      <c r="A207" s="373"/>
      <c r="B207" s="361"/>
      <c r="C207" s="357"/>
      <c r="D207" s="357"/>
      <c r="E207" s="357"/>
      <c r="F207" s="357"/>
      <c r="G207" s="357"/>
      <c r="H207" s="357"/>
      <c r="I207" s="357"/>
      <c r="J207" s="357"/>
      <c r="K207" s="357"/>
      <c r="L207" s="357"/>
      <c r="M207" s="357"/>
      <c r="N207" s="357"/>
      <c r="O207" s="357"/>
      <c r="P207" s="362"/>
      <c r="Q207" s="362"/>
      <c r="R207" s="362"/>
      <c r="S207" s="362"/>
      <c r="T207" s="360"/>
      <c r="U207" s="361"/>
      <c r="V207" s="361"/>
      <c r="W207" s="361"/>
      <c r="X207" s="357"/>
      <c r="Y207" s="357"/>
      <c r="Z207" s="357"/>
      <c r="AA207" s="357"/>
      <c r="AB207" s="357"/>
      <c r="AC207" s="357"/>
      <c r="AD207" s="357"/>
      <c r="AE207" s="357"/>
      <c r="AF207" s="357"/>
      <c r="AG207" s="357"/>
      <c r="AH207" s="357"/>
      <c r="AI207" s="357"/>
      <c r="AJ207" s="357"/>
      <c r="AK207" s="357"/>
      <c r="AL207" s="357"/>
      <c r="AM207" s="357"/>
      <c r="AN207" s="357"/>
      <c r="AO207" s="357"/>
      <c r="AP207" s="357"/>
      <c r="AQ207" s="357"/>
      <c r="AR207" s="357"/>
      <c r="AS207" s="362"/>
      <c r="AT207" s="360"/>
      <c r="AU207" s="361"/>
      <c r="AV207" s="357"/>
      <c r="AW207" s="357"/>
      <c r="AX207" s="357"/>
      <c r="AY207" s="360"/>
      <c r="AZ207" s="361"/>
      <c r="BA207" s="357"/>
      <c r="BB207" s="362"/>
      <c r="BC207" s="360"/>
      <c r="BD207" s="380"/>
      <c r="BE207" s="381"/>
      <c r="BF207" s="381"/>
      <c r="BG207" s="381"/>
      <c r="BH207" s="381"/>
      <c r="BI207" s="381"/>
      <c r="BJ207" s="381"/>
      <c r="BK207" s="381"/>
      <c r="BL207" s="381"/>
      <c r="BM207" s="381"/>
      <c r="BN207" s="381"/>
      <c r="BO207" s="381"/>
      <c r="BP207" s="381"/>
      <c r="BQ207" s="381"/>
      <c r="BR207" s="381"/>
      <c r="BS207" s="381"/>
      <c r="BT207" s="381"/>
      <c r="BU207" s="381"/>
      <c r="BV207" s="381"/>
      <c r="BW207" s="381"/>
      <c r="BX207" s="381"/>
      <c r="BY207" s="381"/>
      <c r="BZ207" s="381"/>
      <c r="CA207" s="381"/>
      <c r="CB207" s="381"/>
      <c r="CC207" s="381"/>
      <c r="CD207" s="381"/>
      <c r="CE207" s="381"/>
      <c r="CF207" s="381"/>
      <c r="CG207" s="381"/>
      <c r="CH207" s="381"/>
      <c r="CI207" s="381"/>
      <c r="CJ207" s="381"/>
      <c r="CK207" s="381"/>
      <c r="CL207" s="381"/>
      <c r="CM207" s="381"/>
      <c r="CN207" s="381"/>
      <c r="CO207" s="381"/>
      <c r="CP207" s="381"/>
      <c r="CQ207" s="381"/>
      <c r="CR207" s="381"/>
      <c r="CS207" s="381"/>
      <c r="CT207" s="381"/>
      <c r="CU207" s="381"/>
      <c r="CV207" s="381"/>
      <c r="CW207" s="381"/>
      <c r="CX207" s="381"/>
      <c r="CY207" s="381"/>
      <c r="CZ207" s="381"/>
      <c r="DA207" s="381"/>
      <c r="DB207" s="381"/>
      <c r="DC207" s="381"/>
      <c r="DD207" s="381"/>
      <c r="DE207" s="381"/>
      <c r="DF207" s="381"/>
      <c r="DG207" s="381"/>
      <c r="DH207" s="381"/>
      <c r="DI207" s="381"/>
      <c r="DJ207" s="381"/>
      <c r="DK207" s="381"/>
      <c r="DL207" s="381"/>
      <c r="DM207" s="381"/>
      <c r="DN207" s="381"/>
      <c r="DO207" s="383"/>
    </row>
    <row r="208" spans="1:128">
      <c r="A208" s="384"/>
      <c r="B208" s="361"/>
      <c r="C208" s="357"/>
      <c r="D208" s="357"/>
      <c r="E208" s="357"/>
      <c r="F208" s="357"/>
      <c r="G208" s="357"/>
      <c r="H208" s="357"/>
      <c r="I208" s="357"/>
      <c r="J208" s="357"/>
      <c r="K208" s="357"/>
      <c r="L208" s="357"/>
      <c r="M208" s="357"/>
      <c r="N208" s="357"/>
      <c r="O208" s="357"/>
      <c r="P208" s="362"/>
      <c r="Q208" s="362"/>
      <c r="R208" s="362"/>
      <c r="S208" s="362"/>
      <c r="T208" s="360">
        <f>SUM(C208:O208)</f>
        <v>0</v>
      </c>
      <c r="U208" s="361"/>
      <c r="V208" s="361"/>
      <c r="W208" s="361"/>
      <c r="X208" s="357"/>
      <c r="Y208" s="357"/>
      <c r="Z208" s="357"/>
      <c r="AA208" s="357"/>
      <c r="AB208" s="357"/>
      <c r="AC208" s="357"/>
      <c r="AD208" s="357"/>
      <c r="AE208" s="357"/>
      <c r="AF208" s="357"/>
      <c r="AG208" s="357"/>
      <c r="AH208" s="357"/>
      <c r="AI208" s="357"/>
      <c r="AJ208" s="357"/>
      <c r="AK208" s="357"/>
      <c r="AL208" s="357"/>
      <c r="AM208" s="357"/>
      <c r="AN208" s="357"/>
      <c r="AO208" s="357"/>
      <c r="AP208" s="357"/>
      <c r="AQ208" s="357"/>
      <c r="AR208" s="357"/>
      <c r="AS208" s="362"/>
      <c r="AT208" s="360"/>
      <c r="AU208" s="361"/>
      <c r="AV208" s="357"/>
      <c r="AW208" s="357"/>
      <c r="AX208" s="357"/>
      <c r="AY208" s="360"/>
      <c r="AZ208" s="361"/>
      <c r="BA208" s="357"/>
      <c r="BB208" s="362"/>
      <c r="BC208" s="360"/>
      <c r="BD208" s="380"/>
      <c r="BE208" s="381"/>
      <c r="BF208" s="381"/>
      <c r="BG208" s="381"/>
      <c r="BH208" s="381"/>
      <c r="BI208" s="381"/>
      <c r="BJ208" s="381"/>
      <c r="BK208" s="381"/>
      <c r="BL208" s="381"/>
      <c r="BM208" s="381"/>
      <c r="BN208" s="381"/>
      <c r="BO208" s="381"/>
      <c r="BP208" s="381"/>
      <c r="BQ208" s="381"/>
      <c r="BR208" s="381"/>
      <c r="BS208" s="381"/>
      <c r="BT208" s="381"/>
      <c r="BU208" s="381"/>
      <c r="BV208" s="381"/>
      <c r="BW208" s="381"/>
      <c r="BX208" s="381"/>
      <c r="BY208" s="381"/>
      <c r="BZ208" s="381"/>
      <c r="CA208" s="381"/>
      <c r="CB208" s="381"/>
      <c r="CC208" s="381"/>
      <c r="CD208" s="381"/>
      <c r="CE208" s="381"/>
      <c r="CF208" s="381"/>
      <c r="CG208" s="381"/>
      <c r="CH208" s="381"/>
      <c r="CI208" s="381"/>
      <c r="CJ208" s="381"/>
      <c r="CK208" s="381"/>
      <c r="CL208" s="381"/>
      <c r="CM208" s="381"/>
      <c r="CN208" s="381"/>
      <c r="CO208" s="381"/>
      <c r="CP208" s="381"/>
      <c r="CQ208" s="381"/>
      <c r="CR208" s="381"/>
      <c r="CS208" s="381"/>
      <c r="CT208" s="381"/>
      <c r="CU208" s="381"/>
      <c r="CV208" s="381"/>
      <c r="CW208" s="381"/>
      <c r="CX208" s="381"/>
      <c r="CY208" s="381"/>
      <c r="CZ208" s="381"/>
      <c r="DA208" s="381"/>
      <c r="DB208" s="381"/>
      <c r="DC208" s="381"/>
      <c r="DD208" s="381"/>
      <c r="DE208" s="381"/>
      <c r="DF208" s="381"/>
      <c r="DG208" s="381"/>
      <c r="DH208" s="381"/>
      <c r="DI208" s="381"/>
      <c r="DJ208" s="381"/>
      <c r="DK208" s="381"/>
      <c r="DL208" s="381"/>
      <c r="DM208" s="381"/>
      <c r="DN208" s="381"/>
      <c r="DO208" s="383"/>
    </row>
    <row r="209" spans="1:119" ht="18.75">
      <c r="A209" s="384"/>
      <c r="B209" s="385" t="s">
        <v>182</v>
      </c>
      <c r="C209" s="386">
        <f t="shared" ref="C209:S209" si="50">SUM(C190:C208)</f>
        <v>1465</v>
      </c>
      <c r="D209" s="386">
        <f t="shared" si="50"/>
        <v>0</v>
      </c>
      <c r="E209" s="386">
        <f t="shared" si="50"/>
        <v>36</v>
      </c>
      <c r="F209" s="386">
        <f t="shared" si="50"/>
        <v>0</v>
      </c>
      <c r="G209" s="386">
        <f t="shared" si="50"/>
        <v>0</v>
      </c>
      <c r="H209" s="386">
        <f t="shared" si="50"/>
        <v>128</v>
      </c>
      <c r="I209" s="386">
        <f t="shared" si="50"/>
        <v>0</v>
      </c>
      <c r="J209" s="386">
        <f t="shared" si="50"/>
        <v>0</v>
      </c>
      <c r="K209" s="386">
        <f t="shared" si="50"/>
        <v>0</v>
      </c>
      <c r="L209" s="386">
        <f t="shared" si="50"/>
        <v>0</v>
      </c>
      <c r="M209" s="386">
        <f t="shared" si="50"/>
        <v>0</v>
      </c>
      <c r="N209" s="386">
        <f t="shared" si="50"/>
        <v>0</v>
      </c>
      <c r="O209" s="386">
        <f t="shared" si="50"/>
        <v>0</v>
      </c>
      <c r="P209" s="386">
        <f t="shared" si="50"/>
        <v>0</v>
      </c>
      <c r="Q209" s="386">
        <f t="shared" si="50"/>
        <v>0</v>
      </c>
      <c r="R209" s="386">
        <f t="shared" si="50"/>
        <v>0</v>
      </c>
      <c r="S209" s="386">
        <f t="shared" si="50"/>
        <v>0</v>
      </c>
      <c r="T209" s="388">
        <f t="shared" ref="T209:AP209" si="51">SUM(T188:T208)</f>
        <v>36</v>
      </c>
      <c r="U209" s="389">
        <f t="shared" si="51"/>
        <v>583</v>
      </c>
      <c r="V209" s="389">
        <f t="shared" si="51"/>
        <v>6</v>
      </c>
      <c r="W209" s="389">
        <f t="shared" si="51"/>
        <v>91</v>
      </c>
      <c r="X209" s="386">
        <f t="shared" si="51"/>
        <v>0</v>
      </c>
      <c r="Y209" s="386">
        <f t="shared" si="51"/>
        <v>0</v>
      </c>
      <c r="Z209" s="386">
        <f t="shared" si="51"/>
        <v>0</v>
      </c>
      <c r="AA209" s="386">
        <f>SUM(AA188:AA208)</f>
        <v>0</v>
      </c>
      <c r="AB209" s="386"/>
      <c r="AC209" s="386">
        <f t="shared" si="51"/>
        <v>986</v>
      </c>
      <c r="AD209" s="386">
        <f t="shared" si="51"/>
        <v>603</v>
      </c>
      <c r="AE209" s="386">
        <f t="shared" si="51"/>
        <v>0</v>
      </c>
      <c r="AF209" s="386">
        <f t="shared" si="51"/>
        <v>0</v>
      </c>
      <c r="AG209" s="386">
        <f t="shared" si="51"/>
        <v>124</v>
      </c>
      <c r="AH209" s="386">
        <f t="shared" si="51"/>
        <v>0</v>
      </c>
      <c r="AI209" s="386">
        <f t="shared" si="51"/>
        <v>0</v>
      </c>
      <c r="AJ209" s="386">
        <f t="shared" si="51"/>
        <v>0</v>
      </c>
      <c r="AK209" s="386">
        <f t="shared" si="51"/>
        <v>0</v>
      </c>
      <c r="AL209" s="386">
        <f t="shared" si="51"/>
        <v>0</v>
      </c>
      <c r="AM209" s="386">
        <f t="shared" si="51"/>
        <v>0</v>
      </c>
      <c r="AN209" s="386">
        <f t="shared" si="51"/>
        <v>0</v>
      </c>
      <c r="AO209" s="386">
        <f t="shared" si="51"/>
        <v>0</v>
      </c>
      <c r="AP209" s="386">
        <f t="shared" si="51"/>
        <v>0</v>
      </c>
      <c r="AQ209" s="386">
        <f>SUM(AQ188:AQ208)</f>
        <v>170</v>
      </c>
      <c r="AR209" s="386">
        <f>SUM(AR188:AR208)</f>
        <v>6</v>
      </c>
      <c r="AS209" s="386">
        <f>SUM(AS188:AS208)</f>
        <v>0</v>
      </c>
      <c r="AT209" s="388">
        <f t="shared" ref="AT209:CR209" si="52">SUM(AT188:AT208)</f>
        <v>199</v>
      </c>
      <c r="AU209" s="389">
        <f t="shared" si="52"/>
        <v>0</v>
      </c>
      <c r="AV209" s="386">
        <f t="shared" si="52"/>
        <v>36</v>
      </c>
      <c r="AW209" s="386">
        <f t="shared" si="52"/>
        <v>503</v>
      </c>
      <c r="AX209" s="386">
        <f t="shared" si="52"/>
        <v>0</v>
      </c>
      <c r="AY209" s="388">
        <f t="shared" si="52"/>
        <v>0</v>
      </c>
      <c r="AZ209" s="389">
        <f t="shared" si="52"/>
        <v>465</v>
      </c>
      <c r="BA209" s="386">
        <f t="shared" si="52"/>
        <v>986</v>
      </c>
      <c r="BB209" s="386">
        <f t="shared" si="52"/>
        <v>0</v>
      </c>
      <c r="BC209" s="388">
        <f t="shared" si="52"/>
        <v>539</v>
      </c>
      <c r="BD209" s="389">
        <f t="shared" si="52"/>
        <v>0</v>
      </c>
      <c r="BE209" s="386">
        <f t="shared" si="52"/>
        <v>0</v>
      </c>
      <c r="BF209" s="386">
        <f t="shared" si="52"/>
        <v>12</v>
      </c>
      <c r="BG209" s="386">
        <f t="shared" si="52"/>
        <v>2</v>
      </c>
      <c r="BH209" s="386">
        <f t="shared" si="52"/>
        <v>2</v>
      </c>
      <c r="BI209" s="386">
        <f t="shared" si="52"/>
        <v>0</v>
      </c>
      <c r="BJ209" s="386">
        <f t="shared" si="52"/>
        <v>0</v>
      </c>
      <c r="BK209" s="386">
        <f t="shared" si="52"/>
        <v>0</v>
      </c>
      <c r="BL209" s="386">
        <f t="shared" si="52"/>
        <v>0</v>
      </c>
      <c r="BM209" s="386">
        <f t="shared" si="52"/>
        <v>0</v>
      </c>
      <c r="BN209" s="386">
        <f t="shared" si="52"/>
        <v>0</v>
      </c>
      <c r="BO209" s="386">
        <f t="shared" si="52"/>
        <v>0</v>
      </c>
      <c r="BP209" s="386">
        <f t="shared" si="52"/>
        <v>0</v>
      </c>
      <c r="BQ209" s="386">
        <f t="shared" si="52"/>
        <v>0</v>
      </c>
      <c r="BR209" s="386">
        <f t="shared" si="52"/>
        <v>0</v>
      </c>
      <c r="BS209" s="386">
        <f t="shared" si="52"/>
        <v>0</v>
      </c>
      <c r="BT209" s="386">
        <f t="shared" si="52"/>
        <v>0</v>
      </c>
      <c r="BU209" s="386">
        <f t="shared" si="52"/>
        <v>0</v>
      </c>
      <c r="BV209" s="386">
        <f t="shared" si="52"/>
        <v>0</v>
      </c>
      <c r="BW209" s="386">
        <f t="shared" si="52"/>
        <v>0</v>
      </c>
      <c r="BX209" s="386">
        <f t="shared" si="52"/>
        <v>0</v>
      </c>
      <c r="BY209" s="386">
        <f t="shared" si="52"/>
        <v>0</v>
      </c>
      <c r="BZ209" s="386">
        <f t="shared" si="52"/>
        <v>0</v>
      </c>
      <c r="CA209" s="386">
        <f t="shared" si="52"/>
        <v>0</v>
      </c>
      <c r="CB209" s="386">
        <f t="shared" si="52"/>
        <v>0</v>
      </c>
      <c r="CC209" s="386">
        <f t="shared" si="52"/>
        <v>0</v>
      </c>
      <c r="CD209" s="386">
        <f t="shared" si="52"/>
        <v>0</v>
      </c>
      <c r="CE209" s="386">
        <f t="shared" si="52"/>
        <v>9</v>
      </c>
      <c r="CF209" s="386">
        <f t="shared" si="52"/>
        <v>2</v>
      </c>
      <c r="CG209" s="386">
        <f t="shared" si="52"/>
        <v>0</v>
      </c>
      <c r="CH209" s="386">
        <f t="shared" si="52"/>
        <v>2</v>
      </c>
      <c r="CI209" s="386">
        <f t="shared" si="52"/>
        <v>0</v>
      </c>
      <c r="CJ209" s="386">
        <f t="shared" si="52"/>
        <v>0</v>
      </c>
      <c r="CK209" s="386">
        <f t="shared" si="52"/>
        <v>0</v>
      </c>
      <c r="CL209" s="386">
        <f t="shared" si="52"/>
        <v>0</v>
      </c>
      <c r="CM209" s="386">
        <f t="shared" si="52"/>
        <v>0</v>
      </c>
      <c r="CN209" s="386">
        <f t="shared" si="52"/>
        <v>0</v>
      </c>
      <c r="CO209" s="386">
        <f t="shared" si="52"/>
        <v>0</v>
      </c>
      <c r="CP209" s="386">
        <f t="shared" si="52"/>
        <v>0</v>
      </c>
      <c r="CQ209" s="386">
        <f t="shared" si="52"/>
        <v>0</v>
      </c>
      <c r="CR209" s="386">
        <f t="shared" si="52"/>
        <v>0</v>
      </c>
      <c r="CS209" s="386">
        <f>SUM(CS188:CS208)</f>
        <v>0</v>
      </c>
      <c r="CT209" s="386">
        <f>SUM(CT188:CT208)</f>
        <v>0</v>
      </c>
      <c r="CU209" s="386">
        <f>SUM(CU188:CU208)</f>
        <v>0</v>
      </c>
      <c r="CV209" s="386">
        <f>SUM(CV188:CV208)</f>
        <v>0</v>
      </c>
      <c r="CW209" s="386">
        <f t="shared" ref="CW209:DE209" si="53">SUM(CW188:CW208)</f>
        <v>0</v>
      </c>
      <c r="CX209" s="386">
        <f t="shared" si="53"/>
        <v>0</v>
      </c>
      <c r="CY209" s="386">
        <f t="shared" si="53"/>
        <v>0</v>
      </c>
      <c r="CZ209" s="386">
        <f t="shared" si="53"/>
        <v>0</v>
      </c>
      <c r="DA209" s="386">
        <f t="shared" si="53"/>
        <v>0</v>
      </c>
      <c r="DB209" s="386">
        <f t="shared" si="53"/>
        <v>0</v>
      </c>
      <c r="DC209" s="386">
        <f t="shared" si="53"/>
        <v>0</v>
      </c>
      <c r="DD209" s="386">
        <f t="shared" si="53"/>
        <v>0</v>
      </c>
      <c r="DE209" s="386">
        <f t="shared" si="53"/>
        <v>0</v>
      </c>
      <c r="DF209" s="386">
        <f t="shared" ref="DF209:DO209" si="54">SUM(DF188:DF208)</f>
        <v>0</v>
      </c>
      <c r="DG209" s="386">
        <f t="shared" si="54"/>
        <v>0</v>
      </c>
      <c r="DH209" s="386">
        <f t="shared" si="54"/>
        <v>0</v>
      </c>
      <c r="DI209" s="386">
        <f t="shared" si="54"/>
        <v>0</v>
      </c>
      <c r="DJ209" s="386">
        <f t="shared" si="54"/>
        <v>0</v>
      </c>
      <c r="DK209" s="386">
        <f t="shared" si="54"/>
        <v>0</v>
      </c>
      <c r="DL209" s="386">
        <f t="shared" si="54"/>
        <v>0</v>
      </c>
      <c r="DM209" s="386">
        <f t="shared" si="54"/>
        <v>0</v>
      </c>
      <c r="DN209" s="386">
        <f t="shared" si="54"/>
        <v>0</v>
      </c>
      <c r="DO209" s="388">
        <f t="shared" si="54"/>
        <v>0</v>
      </c>
    </row>
    <row r="210" spans="1:119" ht="18.75">
      <c r="A210" s="384"/>
      <c r="B210" s="385"/>
      <c r="C210" s="386"/>
      <c r="D210" s="386"/>
      <c r="E210" s="386"/>
      <c r="F210" s="386"/>
      <c r="G210" s="386"/>
      <c r="H210" s="386"/>
      <c r="I210" s="386"/>
      <c r="J210" s="386"/>
      <c r="K210" s="386"/>
      <c r="L210" s="386"/>
      <c r="M210" s="386"/>
      <c r="N210" s="386"/>
      <c r="O210" s="386"/>
      <c r="P210" s="387"/>
      <c r="Q210" s="387"/>
      <c r="R210" s="387"/>
      <c r="S210" s="387"/>
      <c r="T210" s="388"/>
      <c r="U210" s="389"/>
      <c r="V210" s="389"/>
      <c r="W210" s="389"/>
      <c r="X210" s="386"/>
      <c r="Y210" s="386"/>
      <c r="Z210" s="386"/>
      <c r="AA210" s="386"/>
      <c r="AB210" s="386"/>
      <c r="AC210" s="386"/>
      <c r="AD210" s="386"/>
      <c r="AE210" s="386"/>
      <c r="AF210" s="386"/>
      <c r="AG210" s="386"/>
      <c r="AH210" s="386"/>
      <c r="AI210" s="386"/>
      <c r="AJ210" s="386"/>
      <c r="AK210" s="386"/>
      <c r="AL210" s="386"/>
      <c r="AM210" s="386"/>
      <c r="AN210" s="386"/>
      <c r="AO210" s="386"/>
      <c r="AP210" s="386"/>
      <c r="AQ210" s="386"/>
      <c r="AR210" s="386"/>
      <c r="AS210" s="387"/>
      <c r="AT210" s="388"/>
      <c r="AU210" s="389"/>
      <c r="AV210" s="386"/>
      <c r="AW210" s="386"/>
      <c r="AX210" s="387"/>
      <c r="AY210" s="388"/>
      <c r="AZ210" s="389"/>
      <c r="BA210" s="386"/>
      <c r="BB210" s="387"/>
      <c r="BC210" s="388"/>
      <c r="BD210" s="390"/>
      <c r="BE210" s="391"/>
      <c r="BF210" s="391"/>
      <c r="BG210" s="391"/>
      <c r="BH210" s="391"/>
      <c r="BI210" s="391"/>
      <c r="BJ210" s="391"/>
      <c r="BK210" s="391"/>
      <c r="BL210" s="391"/>
      <c r="BM210" s="391"/>
      <c r="BN210" s="391"/>
      <c r="BO210" s="391"/>
      <c r="BP210" s="391"/>
      <c r="BQ210" s="391"/>
      <c r="BR210" s="391"/>
      <c r="BS210" s="391"/>
      <c r="BT210" s="391"/>
      <c r="BU210" s="391"/>
      <c r="BV210" s="391"/>
      <c r="BW210" s="391"/>
      <c r="BX210" s="391"/>
      <c r="BY210" s="391"/>
      <c r="BZ210" s="391"/>
      <c r="CA210" s="391"/>
      <c r="CB210" s="391"/>
      <c r="CC210" s="391"/>
      <c r="CD210" s="391"/>
      <c r="CE210" s="391"/>
      <c r="CF210" s="391"/>
      <c r="CG210" s="391"/>
      <c r="CH210" s="391"/>
      <c r="CI210" s="391"/>
      <c r="CJ210" s="391"/>
      <c r="CK210" s="391"/>
      <c r="CL210" s="391"/>
      <c r="CM210" s="391"/>
      <c r="CN210" s="391"/>
      <c r="CO210" s="391"/>
      <c r="CP210" s="391"/>
      <c r="CQ210" s="391"/>
      <c r="CR210" s="391"/>
      <c r="CS210" s="391"/>
      <c r="CT210" s="391"/>
      <c r="CU210" s="391"/>
      <c r="CV210" s="391"/>
      <c r="CW210" s="391"/>
      <c r="CX210" s="391"/>
      <c r="CY210" s="391"/>
      <c r="CZ210" s="391"/>
      <c r="DA210" s="391"/>
      <c r="DB210" s="391"/>
      <c r="DC210" s="391"/>
      <c r="DD210" s="391"/>
      <c r="DE210" s="391"/>
      <c r="DF210" s="391"/>
      <c r="DG210" s="391"/>
      <c r="DH210" s="391"/>
      <c r="DI210" s="391"/>
      <c r="DJ210" s="391"/>
      <c r="DK210" s="391"/>
      <c r="DL210" s="391"/>
      <c r="DM210" s="391"/>
      <c r="DN210" s="391"/>
      <c r="DO210" s="393"/>
    </row>
    <row r="211" spans="1:119">
      <c r="A211" s="384"/>
      <c r="B211" s="394" t="s">
        <v>269</v>
      </c>
      <c r="C211" s="357"/>
      <c r="D211" s="357"/>
      <c r="E211" s="357"/>
      <c r="F211" s="357"/>
      <c r="G211" s="357"/>
      <c r="H211" s="357"/>
      <c r="I211" s="357"/>
      <c r="J211" s="357"/>
      <c r="K211" s="357"/>
      <c r="L211" s="357"/>
      <c r="M211" s="357"/>
      <c r="N211" s="357"/>
      <c r="O211" s="357"/>
      <c r="P211" s="362"/>
      <c r="Q211" s="362"/>
      <c r="R211" s="362"/>
      <c r="S211" s="362"/>
      <c r="T211" s="367"/>
      <c r="U211" s="361"/>
      <c r="V211" s="361"/>
      <c r="W211" s="361"/>
      <c r="X211" s="357"/>
      <c r="Y211" s="357"/>
      <c r="Z211" s="357"/>
      <c r="AA211" s="357"/>
      <c r="AB211" s="357"/>
      <c r="AC211" s="357"/>
      <c r="AD211" s="357"/>
      <c r="AE211" s="357"/>
      <c r="AF211" s="357"/>
      <c r="AG211" s="357"/>
      <c r="AH211" s="357"/>
      <c r="AI211" s="357"/>
      <c r="AJ211" s="357"/>
      <c r="AK211" s="357"/>
      <c r="AL211" s="357"/>
      <c r="AM211" s="357"/>
      <c r="AN211" s="357"/>
      <c r="AO211" s="357"/>
      <c r="AP211" s="357"/>
      <c r="AQ211" s="357"/>
      <c r="AR211" s="357"/>
      <c r="AS211" s="362"/>
      <c r="AT211" s="360"/>
      <c r="AU211" s="363"/>
      <c r="AV211" s="364"/>
      <c r="AW211" s="364"/>
      <c r="AX211" s="395"/>
      <c r="AY211" s="365"/>
      <c r="AZ211" s="361"/>
      <c r="BA211" s="357"/>
      <c r="BB211" s="362"/>
      <c r="BC211" s="360"/>
      <c r="BD211" s="380"/>
      <c r="BE211" s="381"/>
      <c r="BF211" s="381"/>
      <c r="BG211" s="381"/>
      <c r="BH211" s="381"/>
      <c r="BI211" s="381"/>
      <c r="BJ211" s="381"/>
      <c r="BK211" s="381"/>
      <c r="BL211" s="381"/>
      <c r="BM211" s="381"/>
      <c r="BN211" s="381"/>
      <c r="BO211" s="381"/>
      <c r="BP211" s="381"/>
      <c r="BQ211" s="381"/>
      <c r="BR211" s="381"/>
      <c r="BS211" s="381"/>
      <c r="BT211" s="381"/>
      <c r="BU211" s="381"/>
      <c r="BV211" s="381"/>
      <c r="BW211" s="381"/>
      <c r="BX211" s="381"/>
      <c r="BY211" s="381"/>
      <c r="BZ211" s="381"/>
      <c r="CA211" s="381"/>
      <c r="CB211" s="381"/>
      <c r="CC211" s="381"/>
      <c r="CD211" s="381"/>
      <c r="CE211" s="381"/>
      <c r="CF211" s="381"/>
      <c r="CG211" s="381"/>
      <c r="CH211" s="381"/>
      <c r="CI211" s="381"/>
      <c r="CJ211" s="381"/>
      <c r="CK211" s="381"/>
      <c r="CL211" s="381"/>
      <c r="CM211" s="381"/>
      <c r="CN211" s="381"/>
      <c r="CO211" s="381"/>
      <c r="CP211" s="381"/>
      <c r="CQ211" s="381"/>
      <c r="CR211" s="381"/>
      <c r="CS211" s="381"/>
      <c r="CT211" s="381"/>
      <c r="CU211" s="381"/>
      <c r="CV211" s="381"/>
      <c r="CW211" s="381"/>
      <c r="CX211" s="381"/>
      <c r="CY211" s="381"/>
      <c r="CZ211" s="381"/>
      <c r="DA211" s="381"/>
      <c r="DB211" s="381"/>
      <c r="DC211" s="381"/>
      <c r="DD211" s="381"/>
      <c r="DE211" s="381"/>
      <c r="DF211" s="381"/>
      <c r="DG211" s="381"/>
      <c r="DH211" s="381"/>
      <c r="DI211" s="381"/>
      <c r="DJ211" s="381"/>
      <c r="DK211" s="381"/>
      <c r="DL211" s="381"/>
      <c r="DM211" s="381"/>
      <c r="DN211" s="381"/>
      <c r="DO211" s="383"/>
    </row>
    <row r="212" spans="1:119">
      <c r="A212" s="384"/>
      <c r="B212" s="405"/>
      <c r="C212" s="357"/>
      <c r="D212" s="357"/>
      <c r="E212" s="357"/>
      <c r="F212" s="357"/>
      <c r="G212" s="357"/>
      <c r="H212" s="357"/>
      <c r="I212" s="357"/>
      <c r="J212" s="357"/>
      <c r="K212" s="357"/>
      <c r="L212" s="357"/>
      <c r="M212" s="357"/>
      <c r="N212" s="357"/>
      <c r="O212" s="357"/>
      <c r="P212" s="362"/>
      <c r="Q212" s="362"/>
      <c r="R212" s="362"/>
      <c r="S212" s="362"/>
      <c r="T212" s="360">
        <f>SUM(C212:O212)</f>
        <v>0</v>
      </c>
      <c r="U212" s="361"/>
      <c r="V212" s="361"/>
      <c r="W212" s="361"/>
      <c r="X212" s="357"/>
      <c r="Y212" s="357"/>
      <c r="Z212" s="357"/>
      <c r="AA212" s="357"/>
      <c r="AB212" s="357"/>
      <c r="AC212" s="357"/>
      <c r="AD212" s="357"/>
      <c r="AE212" s="357"/>
      <c r="AF212" s="357"/>
      <c r="AG212" s="357"/>
      <c r="AH212" s="357"/>
      <c r="AI212" s="357"/>
      <c r="AJ212" s="357"/>
      <c r="AK212" s="357"/>
      <c r="AL212" s="357"/>
      <c r="AM212" s="357"/>
      <c r="AN212" s="357"/>
      <c r="AO212" s="357"/>
      <c r="AP212" s="357"/>
      <c r="AQ212" s="357"/>
      <c r="AR212" s="357"/>
      <c r="AS212" s="362"/>
      <c r="AT212" s="360"/>
      <c r="AU212" s="363"/>
      <c r="AV212" s="364"/>
      <c r="AW212" s="364"/>
      <c r="AX212" s="395"/>
      <c r="AY212" s="365"/>
      <c r="AZ212" s="361"/>
      <c r="BA212" s="357"/>
      <c r="BB212" s="362"/>
      <c r="BC212" s="360"/>
      <c r="BD212" s="380"/>
      <c r="BE212" s="381"/>
      <c r="BF212" s="381"/>
      <c r="BG212" s="381"/>
      <c r="BH212" s="381"/>
      <c r="BI212" s="381"/>
      <c r="BJ212" s="381"/>
      <c r="BK212" s="381"/>
      <c r="BL212" s="381"/>
      <c r="BM212" s="381"/>
      <c r="BN212" s="381"/>
      <c r="BO212" s="381"/>
      <c r="BP212" s="381"/>
      <c r="BQ212" s="381"/>
      <c r="BR212" s="381"/>
      <c r="BS212" s="381"/>
      <c r="BT212" s="381"/>
      <c r="BU212" s="381"/>
      <c r="BV212" s="381"/>
      <c r="BW212" s="381"/>
      <c r="BX212" s="381"/>
      <c r="BY212" s="381"/>
      <c r="BZ212" s="381"/>
      <c r="CA212" s="381"/>
      <c r="CB212" s="381"/>
      <c r="CC212" s="381"/>
      <c r="CD212" s="381"/>
      <c r="CE212" s="381"/>
      <c r="CF212" s="381"/>
      <c r="CG212" s="381"/>
      <c r="CH212" s="381"/>
      <c r="CI212" s="382"/>
      <c r="CJ212" s="382"/>
      <c r="CK212" s="382"/>
      <c r="CL212" s="382"/>
      <c r="CM212" s="382"/>
      <c r="CN212" s="382"/>
      <c r="CO212" s="382"/>
      <c r="CP212" s="382"/>
      <c r="CQ212" s="382"/>
      <c r="CR212" s="382"/>
      <c r="CS212" s="382"/>
      <c r="CT212" s="382"/>
      <c r="CU212" s="382"/>
      <c r="CV212" s="382"/>
      <c r="CW212" s="382"/>
      <c r="CX212" s="382"/>
      <c r="CY212" s="382"/>
      <c r="CZ212" s="382"/>
      <c r="DA212" s="382"/>
      <c r="DB212" s="382"/>
      <c r="DC212" s="382"/>
      <c r="DD212" s="382"/>
      <c r="DE212" s="382"/>
      <c r="DF212" s="382"/>
      <c r="DG212" s="382"/>
      <c r="DH212" s="382"/>
      <c r="DI212" s="382"/>
      <c r="DJ212" s="382"/>
      <c r="DK212" s="382"/>
      <c r="DL212" s="382"/>
      <c r="DM212" s="382"/>
      <c r="DN212" s="382"/>
      <c r="DO212" s="383"/>
    </row>
    <row r="213" spans="1:119">
      <c r="A213" s="403"/>
      <c r="B213" s="374" t="s">
        <v>402</v>
      </c>
      <c r="C213" s="400"/>
      <c r="D213" s="357"/>
      <c r="E213" s="357"/>
      <c r="F213" s="357"/>
      <c r="G213" s="357"/>
      <c r="H213" s="400">
        <f>ROUNDUP(615+(2.1*78.4)+(2.7*78.4),0)</f>
        <v>992</v>
      </c>
      <c r="I213" s="357"/>
      <c r="J213" s="357"/>
      <c r="K213" s="357"/>
      <c r="L213" s="357"/>
      <c r="M213" s="357"/>
      <c r="N213" s="357"/>
      <c r="O213" s="357"/>
      <c r="P213" s="362"/>
      <c r="Q213" s="362"/>
      <c r="R213" s="362"/>
      <c r="S213" s="362"/>
      <c r="T213" s="360"/>
      <c r="U213" s="361">
        <f>ROUNDUP((((78.4*2)*0.95)+((78.4*2)*0.5))-(CL182*26),0)</f>
        <v>53</v>
      </c>
      <c r="V213" s="361"/>
      <c r="W213" s="361"/>
      <c r="X213" s="357"/>
      <c r="Y213" s="357"/>
      <c r="Z213" s="357"/>
      <c r="AA213" s="357"/>
      <c r="AB213" s="357"/>
      <c r="AC213" s="357">
        <f>U213</f>
        <v>53</v>
      </c>
      <c r="AD213" s="357">
        <f>U213</f>
        <v>53</v>
      </c>
      <c r="AE213" s="357"/>
      <c r="AF213" s="357"/>
      <c r="AG213" s="357"/>
      <c r="AH213" s="357"/>
      <c r="AI213" s="357"/>
      <c r="AJ213" s="357"/>
      <c r="AK213" s="357"/>
      <c r="AL213" s="357"/>
      <c r="AM213" s="357"/>
      <c r="AN213" s="357"/>
      <c r="AO213" s="357"/>
      <c r="AP213" s="357"/>
      <c r="AQ213" s="357">
        <f>ROUNDUP((CL184*26),0)</f>
        <v>63</v>
      </c>
      <c r="AR213" s="357"/>
      <c r="AS213" s="362"/>
      <c r="AT213" s="360">
        <f>ROUNDUP((CL183*26)+(78.4*2),0)</f>
        <v>448</v>
      </c>
      <c r="AU213" s="363"/>
      <c r="AV213" s="364"/>
      <c r="AW213" s="364"/>
      <c r="AX213" s="395"/>
      <c r="AY213" s="365"/>
      <c r="AZ213" s="361">
        <f>AD213</f>
        <v>53</v>
      </c>
      <c r="BA213" s="357">
        <f>AC213</f>
        <v>53</v>
      </c>
      <c r="BB213" s="362"/>
      <c r="BC213" s="365">
        <f t="shared" ref="BC213:BC221" si="55">SUM(AU213:AW213)</f>
        <v>0</v>
      </c>
      <c r="BD213" s="380"/>
      <c r="BE213" s="381"/>
      <c r="BF213" s="381"/>
      <c r="BG213" s="381"/>
      <c r="BH213" s="381"/>
      <c r="BI213" s="381"/>
      <c r="BJ213" s="381"/>
      <c r="BK213" s="381"/>
      <c r="BL213" s="381"/>
      <c r="BM213" s="381"/>
      <c r="BN213" s="381"/>
      <c r="BO213" s="381"/>
      <c r="BP213" s="381"/>
      <c r="BQ213" s="381"/>
      <c r="BR213" s="381"/>
      <c r="BS213" s="381"/>
      <c r="BT213" s="381"/>
      <c r="BU213" s="381"/>
      <c r="BV213" s="381"/>
      <c r="BW213" s="381"/>
      <c r="BX213" s="381"/>
      <c r="BY213" s="381"/>
      <c r="BZ213" s="381"/>
      <c r="CA213" s="381"/>
      <c r="CB213" s="381"/>
      <c r="CC213" s="381"/>
      <c r="CD213" s="381"/>
      <c r="CE213" s="381"/>
      <c r="CF213" s="381"/>
      <c r="CG213" s="381"/>
      <c r="CH213" s="381"/>
      <c r="CI213" s="382"/>
      <c r="CJ213" s="382">
        <v>26</v>
      </c>
      <c r="CK213" s="382"/>
      <c r="CL213" s="382">
        <v>26</v>
      </c>
      <c r="CM213" s="382"/>
      <c r="CN213" s="382"/>
      <c r="CO213" s="382"/>
      <c r="CP213" s="382"/>
      <c r="CQ213" s="382"/>
      <c r="CR213" s="382"/>
      <c r="CS213" s="382"/>
      <c r="CT213" s="382"/>
      <c r="CU213" s="382"/>
      <c r="CV213" s="382"/>
      <c r="CW213" s="382"/>
      <c r="CX213" s="382"/>
      <c r="CY213" s="382"/>
      <c r="CZ213" s="382"/>
      <c r="DA213" s="382"/>
      <c r="DB213" s="382"/>
      <c r="DC213" s="382"/>
      <c r="DD213" s="382"/>
      <c r="DE213" s="382"/>
      <c r="DF213" s="382"/>
      <c r="DG213" s="382"/>
      <c r="DH213" s="382"/>
      <c r="DI213" s="382"/>
      <c r="DJ213" s="382"/>
      <c r="DK213" s="382"/>
      <c r="DL213" s="382"/>
      <c r="DM213" s="382"/>
      <c r="DN213" s="382"/>
      <c r="DO213" s="383"/>
    </row>
    <row r="214" spans="1:119">
      <c r="A214" s="403"/>
      <c r="B214" s="405" t="s">
        <v>56</v>
      </c>
      <c r="C214" s="357"/>
      <c r="D214" s="357"/>
      <c r="E214" s="357"/>
      <c r="F214" s="357"/>
      <c r="G214" s="357"/>
      <c r="H214" s="357"/>
      <c r="I214" s="357"/>
      <c r="J214" s="357"/>
      <c r="K214" s="357"/>
      <c r="L214" s="357"/>
      <c r="M214" s="357"/>
      <c r="N214" s="357"/>
      <c r="O214" s="357"/>
      <c r="P214" s="362"/>
      <c r="Q214" s="362"/>
      <c r="R214" s="362"/>
      <c r="S214" s="362"/>
      <c r="T214" s="360"/>
      <c r="U214" s="361"/>
      <c r="V214" s="361"/>
      <c r="W214" s="361"/>
      <c r="X214" s="357"/>
      <c r="Y214" s="357"/>
      <c r="Z214" s="357"/>
      <c r="AA214" s="357">
        <f>ROUNDUP(((17*2)*14)+((0.6*28)*14)+((0.6*25)*14),0)</f>
        <v>922</v>
      </c>
      <c r="AB214" s="357"/>
      <c r="AC214" s="357"/>
      <c r="AD214" s="357"/>
      <c r="AE214" s="357"/>
      <c r="AF214" s="357"/>
      <c r="AG214" s="357"/>
      <c r="AH214" s="357"/>
      <c r="AI214" s="357"/>
      <c r="AJ214" s="357"/>
      <c r="AK214" s="357"/>
      <c r="AL214" s="357"/>
      <c r="AM214" s="357"/>
      <c r="AN214" s="357"/>
      <c r="AO214" s="357"/>
      <c r="AP214" s="357"/>
      <c r="AQ214" s="357"/>
      <c r="AR214" s="357"/>
      <c r="AS214" s="362"/>
      <c r="AT214" s="360"/>
      <c r="AU214" s="363"/>
      <c r="AV214" s="364"/>
      <c r="AW214" s="364"/>
      <c r="AX214" s="395"/>
      <c r="AY214" s="365"/>
      <c r="AZ214" s="361"/>
      <c r="BA214" s="357"/>
      <c r="BB214" s="362"/>
      <c r="BC214" s="365">
        <f t="shared" si="55"/>
        <v>0</v>
      </c>
      <c r="BD214" s="380"/>
      <c r="BE214" s="381"/>
      <c r="BF214" s="381"/>
      <c r="BG214" s="381"/>
      <c r="BH214" s="381"/>
      <c r="BI214" s="381"/>
      <c r="BJ214" s="381"/>
      <c r="BK214" s="381"/>
      <c r="BL214" s="381"/>
      <c r="BM214" s="381"/>
      <c r="BN214" s="381"/>
      <c r="BO214" s="381"/>
      <c r="BP214" s="381"/>
      <c r="BQ214" s="381"/>
      <c r="BR214" s="381"/>
      <c r="BS214" s="381"/>
      <c r="BT214" s="381"/>
      <c r="BU214" s="381"/>
      <c r="BV214" s="381"/>
      <c r="BW214" s="381"/>
      <c r="BX214" s="381"/>
      <c r="BY214" s="381"/>
      <c r="BZ214" s="381"/>
      <c r="CA214" s="381"/>
      <c r="CB214" s="381"/>
      <c r="CC214" s="381"/>
      <c r="CD214" s="381"/>
      <c r="CE214" s="381"/>
      <c r="CF214" s="381"/>
      <c r="CG214" s="381"/>
      <c r="CH214" s="381"/>
      <c r="CI214" s="382"/>
      <c r="CJ214" s="382"/>
      <c r="CK214" s="382"/>
      <c r="CL214" s="382"/>
      <c r="CM214" s="382"/>
      <c r="CN214" s="382"/>
      <c r="CO214" s="382"/>
      <c r="CP214" s="382"/>
      <c r="CQ214" s="382"/>
      <c r="CR214" s="382"/>
      <c r="CS214" s="382"/>
      <c r="CT214" s="382"/>
      <c r="CU214" s="382"/>
      <c r="CV214" s="382"/>
      <c r="CW214" s="382"/>
      <c r="CX214" s="382"/>
      <c r="CY214" s="382"/>
      <c r="CZ214" s="382"/>
      <c r="DA214" s="382"/>
      <c r="DB214" s="382"/>
      <c r="DC214" s="382"/>
      <c r="DD214" s="382"/>
      <c r="DE214" s="382"/>
      <c r="DF214" s="400">
        <f>ROUNDUP((12*78.7)-DN221,0)</f>
        <v>676</v>
      </c>
      <c r="DG214" s="382"/>
      <c r="DH214" s="382"/>
      <c r="DI214" s="382"/>
      <c r="DJ214" s="382"/>
      <c r="DK214" s="382"/>
      <c r="DL214" s="382">
        <f>DF214</f>
        <v>676</v>
      </c>
      <c r="DM214" s="382"/>
      <c r="DN214" s="382"/>
      <c r="DO214" s="383"/>
    </row>
    <row r="215" spans="1:119">
      <c r="A215" s="403"/>
      <c r="B215" s="405" t="s">
        <v>480</v>
      </c>
      <c r="C215" s="357"/>
      <c r="D215" s="357"/>
      <c r="E215" s="357"/>
      <c r="F215" s="357"/>
      <c r="G215" s="357"/>
      <c r="H215" s="357"/>
      <c r="I215" s="357"/>
      <c r="J215" s="357"/>
      <c r="K215" s="357"/>
      <c r="L215" s="357"/>
      <c r="M215" s="357"/>
      <c r="N215" s="357"/>
      <c r="O215" s="357"/>
      <c r="P215" s="362"/>
      <c r="Q215" s="362"/>
      <c r="R215" s="362"/>
      <c r="S215" s="362"/>
      <c r="T215" s="360"/>
      <c r="U215" s="361"/>
      <c r="V215" s="361"/>
      <c r="W215" s="361"/>
      <c r="X215" s="357"/>
      <c r="Y215" s="357"/>
      <c r="Z215" s="357"/>
      <c r="AA215" s="357"/>
      <c r="AB215" s="357"/>
      <c r="AC215" s="357"/>
      <c r="AD215" s="357"/>
      <c r="AE215" s="357"/>
      <c r="AF215" s="357"/>
      <c r="AG215" s="357"/>
      <c r="AH215" s="357"/>
      <c r="AI215" s="357"/>
      <c r="AJ215" s="357"/>
      <c r="AK215" s="357"/>
      <c r="AL215" s="357"/>
      <c r="AM215" s="357"/>
      <c r="AN215" s="357"/>
      <c r="AO215" s="357"/>
      <c r="AP215" s="357"/>
      <c r="AQ215" s="357"/>
      <c r="AR215" s="357"/>
      <c r="AS215" s="362"/>
      <c r="AT215" s="360"/>
      <c r="AU215" s="363"/>
      <c r="AV215" s="364"/>
      <c r="AW215" s="364"/>
      <c r="AX215" s="395"/>
      <c r="AY215" s="365"/>
      <c r="AZ215" s="361"/>
      <c r="BA215" s="357"/>
      <c r="BB215" s="362"/>
      <c r="BC215" s="365">
        <f t="shared" si="55"/>
        <v>0</v>
      </c>
      <c r="BD215" s="380"/>
      <c r="BE215" s="381"/>
      <c r="BF215" s="381"/>
      <c r="BG215" s="381"/>
      <c r="BH215" s="381"/>
      <c r="BI215" s="381"/>
      <c r="BJ215" s="381"/>
      <c r="BK215" s="381"/>
      <c r="BL215" s="381"/>
      <c r="BM215" s="381"/>
      <c r="BN215" s="381"/>
      <c r="BO215" s="381"/>
      <c r="BP215" s="381"/>
      <c r="BQ215" s="381"/>
      <c r="BR215" s="381"/>
      <c r="BS215" s="381"/>
      <c r="BT215" s="381"/>
      <c r="BU215" s="381"/>
      <c r="BV215" s="381"/>
      <c r="BW215" s="381"/>
      <c r="BX215" s="381"/>
      <c r="BY215" s="381"/>
      <c r="BZ215" s="381"/>
      <c r="CA215" s="381"/>
      <c r="CB215" s="381"/>
      <c r="CC215" s="381"/>
      <c r="CD215" s="381"/>
      <c r="CE215" s="381"/>
      <c r="CF215" s="381"/>
      <c r="CG215" s="381"/>
      <c r="CH215" s="381"/>
      <c r="CI215" s="382"/>
      <c r="CJ215" s="382"/>
      <c r="CK215" s="382"/>
      <c r="CL215" s="382"/>
      <c r="CM215" s="382"/>
      <c r="CN215" s="382"/>
      <c r="CO215" s="382"/>
      <c r="CP215" s="382"/>
      <c r="CQ215" s="382"/>
      <c r="CR215" s="382"/>
      <c r="CS215" s="382"/>
      <c r="CT215" s="382"/>
      <c r="CU215" s="382"/>
      <c r="CV215" s="382"/>
      <c r="CW215" s="382"/>
      <c r="CX215" s="382"/>
      <c r="CY215" s="382"/>
      <c r="CZ215" s="382"/>
      <c r="DA215" s="382"/>
      <c r="DB215" s="382"/>
      <c r="DC215" s="382"/>
      <c r="DD215" s="382"/>
      <c r="DE215" s="382"/>
      <c r="DF215" s="382"/>
      <c r="DG215" s="400">
        <v>80</v>
      </c>
      <c r="DH215" s="382"/>
      <c r="DI215" s="382"/>
      <c r="DJ215" s="382"/>
      <c r="DK215" s="382"/>
      <c r="DL215" s="382"/>
      <c r="DM215" s="382"/>
      <c r="DN215" s="382"/>
      <c r="DO215" s="383"/>
    </row>
    <row r="216" spans="1:119">
      <c r="A216" s="403"/>
      <c r="B216" s="405" t="s">
        <v>475</v>
      </c>
      <c r="C216" s="357"/>
      <c r="D216" s="357"/>
      <c r="E216" s="357"/>
      <c r="F216" s="357"/>
      <c r="G216" s="357"/>
      <c r="H216" s="357"/>
      <c r="I216" s="357"/>
      <c r="J216" s="357"/>
      <c r="K216" s="357"/>
      <c r="L216" s="357"/>
      <c r="M216" s="357"/>
      <c r="N216" s="357"/>
      <c r="O216" s="357"/>
      <c r="P216" s="362"/>
      <c r="Q216" s="362"/>
      <c r="R216" s="362"/>
      <c r="S216" s="362"/>
      <c r="T216" s="360"/>
      <c r="U216" s="361"/>
      <c r="V216" s="361"/>
      <c r="W216" s="361"/>
      <c r="X216" s="357"/>
      <c r="Y216" s="357"/>
      <c r="Z216" s="357"/>
      <c r="AA216" s="357"/>
      <c r="AB216" s="357"/>
      <c r="AC216" s="357"/>
      <c r="AD216" s="357"/>
      <c r="AE216" s="357"/>
      <c r="AF216" s="357"/>
      <c r="AG216" s="357"/>
      <c r="AH216" s="357"/>
      <c r="AI216" s="357"/>
      <c r="AJ216" s="357"/>
      <c r="AK216" s="357"/>
      <c r="AL216" s="357"/>
      <c r="AM216" s="357"/>
      <c r="AN216" s="357"/>
      <c r="AO216" s="357"/>
      <c r="AP216" s="357"/>
      <c r="AQ216" s="357"/>
      <c r="AR216" s="357"/>
      <c r="AS216" s="362"/>
      <c r="AT216" s="360"/>
      <c r="AU216" s="363"/>
      <c r="AV216" s="364"/>
      <c r="AW216" s="364"/>
      <c r="AX216" s="395"/>
      <c r="AY216" s="365"/>
      <c r="AZ216" s="361"/>
      <c r="BA216" s="357"/>
      <c r="BB216" s="362"/>
      <c r="BC216" s="365">
        <f t="shared" si="55"/>
        <v>0</v>
      </c>
      <c r="BD216" s="380"/>
      <c r="BE216" s="381"/>
      <c r="BF216" s="381"/>
      <c r="BG216" s="381"/>
      <c r="BH216" s="381"/>
      <c r="BI216" s="381"/>
      <c r="BJ216" s="381"/>
      <c r="BK216" s="381"/>
      <c r="BL216" s="381"/>
      <c r="BM216" s="381"/>
      <c r="BN216" s="381"/>
      <c r="BO216" s="381"/>
      <c r="BP216" s="381"/>
      <c r="BQ216" s="381"/>
      <c r="BR216" s="381"/>
      <c r="BS216" s="381"/>
      <c r="BT216" s="381"/>
      <c r="BU216" s="381"/>
      <c r="BV216" s="381"/>
      <c r="BW216" s="381"/>
      <c r="BX216" s="381"/>
      <c r="BY216" s="381"/>
      <c r="BZ216" s="381"/>
      <c r="CA216" s="381"/>
      <c r="CB216" s="381"/>
      <c r="CC216" s="381"/>
      <c r="CD216" s="381"/>
      <c r="CE216" s="381"/>
      <c r="CF216" s="381"/>
      <c r="CG216" s="381"/>
      <c r="CH216" s="381"/>
      <c r="CI216" s="382"/>
      <c r="CJ216" s="382"/>
      <c r="CK216" s="382"/>
      <c r="CL216" s="382"/>
      <c r="CM216" s="382"/>
      <c r="CN216" s="382"/>
      <c r="CO216" s="382"/>
      <c r="CP216" s="382"/>
      <c r="CQ216" s="382"/>
      <c r="CR216" s="382"/>
      <c r="CS216" s="382"/>
      <c r="CT216" s="382"/>
      <c r="CU216" s="382"/>
      <c r="CV216" s="382"/>
      <c r="CW216" s="382"/>
      <c r="CX216" s="382"/>
      <c r="CY216" s="382"/>
      <c r="CZ216" s="382"/>
      <c r="DA216" s="382"/>
      <c r="DB216" s="382"/>
      <c r="DC216" s="382"/>
      <c r="DD216" s="382"/>
      <c r="DE216" s="382"/>
      <c r="DF216" s="382"/>
      <c r="DG216" s="382"/>
      <c r="DH216" s="400">
        <f>ROUNDUP((80*2),0)</f>
        <v>160</v>
      </c>
      <c r="DI216" s="382"/>
      <c r="DJ216" s="382"/>
      <c r="DK216" s="382"/>
      <c r="DL216" s="382"/>
      <c r="DM216" s="382"/>
      <c r="DN216" s="382"/>
      <c r="DO216" s="383"/>
    </row>
    <row r="217" spans="1:119">
      <c r="A217" s="403"/>
      <c r="B217" s="405" t="s">
        <v>481</v>
      </c>
      <c r="C217" s="357"/>
      <c r="D217" s="357"/>
      <c r="E217" s="357"/>
      <c r="F217" s="357"/>
      <c r="G217" s="357"/>
      <c r="H217" s="357"/>
      <c r="I217" s="357"/>
      <c r="J217" s="357"/>
      <c r="K217" s="357"/>
      <c r="L217" s="357"/>
      <c r="M217" s="357"/>
      <c r="N217" s="357"/>
      <c r="O217" s="357"/>
      <c r="P217" s="362"/>
      <c r="Q217" s="362"/>
      <c r="R217" s="362"/>
      <c r="S217" s="362"/>
      <c r="T217" s="360"/>
      <c r="U217" s="361"/>
      <c r="V217" s="361"/>
      <c r="W217" s="361"/>
      <c r="X217" s="357"/>
      <c r="Y217" s="357"/>
      <c r="Z217" s="357"/>
      <c r="AA217" s="357"/>
      <c r="AB217" s="357"/>
      <c r="AC217" s="357"/>
      <c r="AD217" s="357"/>
      <c r="AE217" s="357"/>
      <c r="AF217" s="357"/>
      <c r="AG217" s="357"/>
      <c r="AH217" s="357"/>
      <c r="AI217" s="357"/>
      <c r="AJ217" s="357"/>
      <c r="AK217" s="357"/>
      <c r="AL217" s="357"/>
      <c r="AM217" s="357"/>
      <c r="AN217" s="357"/>
      <c r="AO217" s="357"/>
      <c r="AP217" s="357"/>
      <c r="AQ217" s="357"/>
      <c r="AR217" s="357"/>
      <c r="AS217" s="362"/>
      <c r="AT217" s="360"/>
      <c r="AU217" s="363"/>
      <c r="AV217" s="364"/>
      <c r="AW217" s="364"/>
      <c r="AX217" s="395"/>
      <c r="AY217" s="365"/>
      <c r="AZ217" s="361"/>
      <c r="BA217" s="357"/>
      <c r="BB217" s="362"/>
      <c r="BC217" s="365">
        <f t="shared" si="55"/>
        <v>0</v>
      </c>
      <c r="BD217" s="380"/>
      <c r="BE217" s="381"/>
      <c r="BF217" s="381"/>
      <c r="BG217" s="381"/>
      <c r="BH217" s="381"/>
      <c r="BI217" s="381"/>
      <c r="BJ217" s="381"/>
      <c r="BK217" s="381"/>
      <c r="BL217" s="381"/>
      <c r="BM217" s="381"/>
      <c r="BN217" s="381"/>
      <c r="BO217" s="381"/>
      <c r="BP217" s="381"/>
      <c r="BQ217" s="381"/>
      <c r="BR217" s="381"/>
      <c r="BS217" s="381"/>
      <c r="BT217" s="381"/>
      <c r="BU217" s="381"/>
      <c r="BV217" s="381"/>
      <c r="BW217" s="381"/>
      <c r="BX217" s="381"/>
      <c r="BY217" s="381"/>
      <c r="BZ217" s="381"/>
      <c r="CA217" s="381"/>
      <c r="CB217" s="381"/>
      <c r="CC217" s="381"/>
      <c r="CD217" s="381"/>
      <c r="CE217" s="381"/>
      <c r="CF217" s="381"/>
      <c r="CG217" s="381"/>
      <c r="CH217" s="381"/>
      <c r="CI217" s="382"/>
      <c r="CJ217" s="382"/>
      <c r="CK217" s="382"/>
      <c r="CL217" s="382"/>
      <c r="CM217" s="382"/>
      <c r="CN217" s="382"/>
      <c r="CO217" s="382"/>
      <c r="CP217" s="382"/>
      <c r="CQ217" s="382"/>
      <c r="CR217" s="382"/>
      <c r="CS217" s="382"/>
      <c r="CT217" s="382"/>
      <c r="CU217" s="382"/>
      <c r="CV217" s="382"/>
      <c r="CW217" s="382"/>
      <c r="CX217" s="382"/>
      <c r="CY217" s="382"/>
      <c r="CZ217" s="382"/>
      <c r="DA217" s="382"/>
      <c r="DB217" s="382"/>
      <c r="DC217" s="382"/>
      <c r="DD217" s="382"/>
      <c r="DE217" s="382"/>
      <c r="DF217" s="382"/>
      <c r="DG217" s="382"/>
      <c r="DH217" s="382"/>
      <c r="DI217" s="400">
        <f>ROUNDUP(((3.02*2)*78.7)-(CJ182*26),0)</f>
        <v>301</v>
      </c>
      <c r="DJ217" s="400"/>
      <c r="DK217" s="400"/>
      <c r="DL217" s="382"/>
      <c r="DM217" s="382"/>
      <c r="DN217" s="382"/>
      <c r="DO217" s="383"/>
    </row>
    <row r="218" spans="1:119">
      <c r="A218" s="403"/>
      <c r="B218" s="405" t="s">
        <v>483</v>
      </c>
      <c r="C218" s="357"/>
      <c r="D218" s="357"/>
      <c r="E218" s="357"/>
      <c r="F218" s="357"/>
      <c r="G218" s="357"/>
      <c r="H218" s="357"/>
      <c r="I218" s="357"/>
      <c r="J218" s="357"/>
      <c r="K218" s="357"/>
      <c r="L218" s="357"/>
      <c r="M218" s="357"/>
      <c r="N218" s="357"/>
      <c r="O218" s="357"/>
      <c r="P218" s="362"/>
      <c r="Q218" s="362"/>
      <c r="R218" s="362"/>
      <c r="S218" s="362"/>
      <c r="T218" s="360"/>
      <c r="U218" s="361"/>
      <c r="V218" s="361"/>
      <c r="W218" s="361"/>
      <c r="X218" s="357"/>
      <c r="Y218" s="357"/>
      <c r="Z218" s="357"/>
      <c r="AA218" s="357"/>
      <c r="AB218" s="357"/>
      <c r="AC218" s="357"/>
      <c r="AD218" s="357"/>
      <c r="AE218" s="357"/>
      <c r="AF218" s="357"/>
      <c r="AG218" s="357"/>
      <c r="AH218" s="357"/>
      <c r="AI218" s="357"/>
      <c r="AJ218" s="357"/>
      <c r="AK218" s="357"/>
      <c r="AL218" s="357"/>
      <c r="AM218" s="357"/>
      <c r="AN218" s="357"/>
      <c r="AO218" s="357"/>
      <c r="AP218" s="357"/>
      <c r="AQ218" s="357"/>
      <c r="AR218" s="357"/>
      <c r="AS218" s="362"/>
      <c r="AT218" s="360"/>
      <c r="AU218" s="363"/>
      <c r="AV218" s="364"/>
      <c r="AW218" s="364"/>
      <c r="AX218" s="395"/>
      <c r="AY218" s="365"/>
      <c r="AZ218" s="361"/>
      <c r="BA218" s="357"/>
      <c r="BB218" s="362"/>
      <c r="BC218" s="365">
        <f t="shared" si="55"/>
        <v>0</v>
      </c>
      <c r="BD218" s="380"/>
      <c r="BE218" s="381"/>
      <c r="BF218" s="381"/>
      <c r="BG218" s="381"/>
      <c r="BH218" s="381"/>
      <c r="BI218" s="381"/>
      <c r="BJ218" s="381"/>
      <c r="BK218" s="381"/>
      <c r="BL218" s="381"/>
      <c r="BM218" s="381"/>
      <c r="BN218" s="381"/>
      <c r="BO218" s="381"/>
      <c r="BP218" s="381"/>
      <c r="BQ218" s="381"/>
      <c r="BR218" s="381"/>
      <c r="BS218" s="381"/>
      <c r="BT218" s="381"/>
      <c r="BU218" s="381"/>
      <c r="BV218" s="381"/>
      <c r="BW218" s="381"/>
      <c r="BX218" s="381"/>
      <c r="BY218" s="381"/>
      <c r="BZ218" s="381"/>
      <c r="CA218" s="381"/>
      <c r="CB218" s="381"/>
      <c r="CC218" s="381"/>
      <c r="CD218" s="381"/>
      <c r="CE218" s="381"/>
      <c r="CF218" s="381"/>
      <c r="CG218" s="381"/>
      <c r="CH218" s="381"/>
      <c r="CI218" s="382"/>
      <c r="CJ218" s="382"/>
      <c r="CK218" s="382"/>
      <c r="CL218" s="382"/>
      <c r="CM218" s="382"/>
      <c r="CN218" s="382"/>
      <c r="CO218" s="382"/>
      <c r="CP218" s="382"/>
      <c r="CQ218" s="382"/>
      <c r="CR218" s="382"/>
      <c r="CS218" s="382"/>
      <c r="CT218" s="382"/>
      <c r="CU218" s="382"/>
      <c r="CV218" s="382"/>
      <c r="CW218" s="382"/>
      <c r="CX218" s="382"/>
      <c r="CY218" s="382"/>
      <c r="CZ218" s="382"/>
      <c r="DA218" s="382"/>
      <c r="DB218" s="382"/>
      <c r="DC218" s="382"/>
      <c r="DD218" s="382"/>
      <c r="DE218" s="382"/>
      <c r="DF218" s="382"/>
      <c r="DG218" s="382"/>
      <c r="DH218" s="382"/>
      <c r="DI218" s="382"/>
      <c r="DJ218" s="400">
        <f>ROUNDUP((3.92*4)+(12*2),0)</f>
        <v>40</v>
      </c>
      <c r="DK218" s="400"/>
      <c r="DL218" s="382"/>
      <c r="DM218" s="382"/>
      <c r="DN218" s="382"/>
      <c r="DO218" s="383"/>
    </row>
    <row r="219" spans="1:119">
      <c r="A219" s="403"/>
      <c r="B219" s="405" t="s">
        <v>485</v>
      </c>
      <c r="C219" s="357"/>
      <c r="D219" s="357"/>
      <c r="E219" s="357"/>
      <c r="F219" s="357"/>
      <c r="G219" s="357"/>
      <c r="H219" s="357"/>
      <c r="I219" s="357"/>
      <c r="J219" s="357"/>
      <c r="K219" s="357"/>
      <c r="L219" s="357"/>
      <c r="M219" s="357"/>
      <c r="N219" s="357"/>
      <c r="O219" s="357"/>
      <c r="P219" s="362"/>
      <c r="Q219" s="362"/>
      <c r="R219" s="362"/>
      <c r="S219" s="362"/>
      <c r="T219" s="360"/>
      <c r="U219" s="361"/>
      <c r="V219" s="361"/>
      <c r="W219" s="361"/>
      <c r="X219" s="357"/>
      <c r="Y219" s="357"/>
      <c r="Z219" s="357"/>
      <c r="AA219" s="357"/>
      <c r="AB219" s="357"/>
      <c r="AC219" s="357"/>
      <c r="AD219" s="357"/>
      <c r="AE219" s="357"/>
      <c r="AF219" s="357"/>
      <c r="AG219" s="357"/>
      <c r="AH219" s="357"/>
      <c r="AI219" s="357"/>
      <c r="AJ219" s="357"/>
      <c r="AK219" s="357"/>
      <c r="AL219" s="357"/>
      <c r="AM219" s="357"/>
      <c r="AN219" s="357"/>
      <c r="AO219" s="357"/>
      <c r="AP219" s="357"/>
      <c r="AQ219" s="357"/>
      <c r="AR219" s="357"/>
      <c r="AS219" s="362"/>
      <c r="AT219" s="360"/>
      <c r="AU219" s="363"/>
      <c r="AV219" s="364"/>
      <c r="AW219" s="364"/>
      <c r="AX219" s="395"/>
      <c r="AY219" s="365"/>
      <c r="AZ219" s="361"/>
      <c r="BA219" s="357"/>
      <c r="BB219" s="362"/>
      <c r="BC219" s="365">
        <f t="shared" si="55"/>
        <v>0</v>
      </c>
      <c r="BD219" s="380"/>
      <c r="BE219" s="381"/>
      <c r="BF219" s="381"/>
      <c r="BG219" s="381"/>
      <c r="BH219" s="381"/>
      <c r="BI219" s="381"/>
      <c r="BJ219" s="381"/>
      <c r="BK219" s="381"/>
      <c r="BL219" s="381"/>
      <c r="BM219" s="381"/>
      <c r="BN219" s="381"/>
      <c r="BO219" s="381"/>
      <c r="BP219" s="381"/>
      <c r="BQ219" s="381"/>
      <c r="BR219" s="381"/>
      <c r="BS219" s="381"/>
      <c r="BT219" s="381"/>
      <c r="BU219" s="381"/>
      <c r="BV219" s="381"/>
      <c r="BW219" s="381"/>
      <c r="BX219" s="381"/>
      <c r="BY219" s="381"/>
      <c r="BZ219" s="381"/>
      <c r="CA219" s="381"/>
      <c r="CB219" s="381"/>
      <c r="CC219" s="381"/>
      <c r="CD219" s="381"/>
      <c r="CE219" s="381"/>
      <c r="CF219" s="381"/>
      <c r="CG219" s="381"/>
      <c r="CH219" s="381"/>
      <c r="CI219" s="382"/>
      <c r="CJ219" s="382"/>
      <c r="CK219" s="382"/>
      <c r="CL219" s="382"/>
      <c r="CM219" s="382"/>
      <c r="CN219" s="382"/>
      <c r="CO219" s="382"/>
      <c r="CP219" s="382"/>
      <c r="CQ219" s="382"/>
      <c r="CR219" s="382"/>
      <c r="CS219" s="382"/>
      <c r="CT219" s="382"/>
      <c r="CU219" s="382"/>
      <c r="CV219" s="382"/>
      <c r="CW219" s="382"/>
      <c r="CX219" s="382"/>
      <c r="CY219" s="382"/>
      <c r="CZ219" s="382"/>
      <c r="DA219" s="382"/>
      <c r="DB219" s="382"/>
      <c r="DC219" s="382"/>
      <c r="DD219" s="382"/>
      <c r="DE219" s="382"/>
      <c r="DF219" s="382"/>
      <c r="DG219" s="382"/>
      <c r="DH219" s="382"/>
      <c r="DI219" s="382"/>
      <c r="DJ219" s="400"/>
      <c r="DK219" s="400">
        <f>ROUNDUP((80*2),0)</f>
        <v>160</v>
      </c>
      <c r="DL219" s="382"/>
      <c r="DM219" s="382"/>
      <c r="DN219" s="382"/>
      <c r="DO219" s="383"/>
    </row>
    <row r="220" spans="1:119">
      <c r="A220" s="403"/>
      <c r="B220" s="405" t="s">
        <v>486</v>
      </c>
      <c r="C220" s="357"/>
      <c r="D220" s="357"/>
      <c r="E220" s="357"/>
      <c r="F220" s="357"/>
      <c r="G220" s="357"/>
      <c r="H220" s="357"/>
      <c r="I220" s="357"/>
      <c r="J220" s="357"/>
      <c r="K220" s="357"/>
      <c r="L220" s="357"/>
      <c r="M220" s="357"/>
      <c r="N220" s="357"/>
      <c r="O220" s="357"/>
      <c r="P220" s="362"/>
      <c r="Q220" s="362"/>
      <c r="R220" s="362"/>
      <c r="S220" s="362"/>
      <c r="T220" s="360"/>
      <c r="U220" s="361"/>
      <c r="V220" s="361"/>
      <c r="W220" s="361"/>
      <c r="X220" s="357"/>
      <c r="Y220" s="357"/>
      <c r="Z220" s="357"/>
      <c r="AA220" s="357"/>
      <c r="AB220" s="357"/>
      <c r="AC220" s="357"/>
      <c r="AD220" s="357"/>
      <c r="AE220" s="357"/>
      <c r="AF220" s="357"/>
      <c r="AG220" s="357"/>
      <c r="AH220" s="357"/>
      <c r="AI220" s="357"/>
      <c r="AJ220" s="357"/>
      <c r="AK220" s="357"/>
      <c r="AL220" s="357"/>
      <c r="AM220" s="357"/>
      <c r="AN220" s="357"/>
      <c r="AO220" s="357"/>
      <c r="AP220" s="357"/>
      <c r="AQ220" s="357"/>
      <c r="AR220" s="357"/>
      <c r="AS220" s="362"/>
      <c r="AT220" s="360"/>
      <c r="AU220" s="363"/>
      <c r="AV220" s="364"/>
      <c r="AW220" s="364"/>
      <c r="AX220" s="395"/>
      <c r="AY220" s="365"/>
      <c r="AZ220" s="361"/>
      <c r="BA220" s="357"/>
      <c r="BB220" s="362"/>
      <c r="BC220" s="365">
        <f t="shared" si="55"/>
        <v>0</v>
      </c>
      <c r="BD220" s="380"/>
      <c r="BE220" s="381"/>
      <c r="BF220" s="381"/>
      <c r="BG220" s="381"/>
      <c r="BH220" s="381"/>
      <c r="BI220" s="381"/>
      <c r="BJ220" s="381"/>
      <c r="BK220" s="381"/>
      <c r="BL220" s="381"/>
      <c r="BM220" s="381"/>
      <c r="BN220" s="381"/>
      <c r="BO220" s="381"/>
      <c r="BP220" s="381"/>
      <c r="BQ220" s="381"/>
      <c r="BR220" s="381"/>
      <c r="BS220" s="381"/>
      <c r="BT220" s="381"/>
      <c r="BU220" s="381"/>
      <c r="BV220" s="381"/>
      <c r="BW220" s="381"/>
      <c r="BX220" s="381"/>
      <c r="BY220" s="381"/>
      <c r="BZ220" s="381"/>
      <c r="CA220" s="381"/>
      <c r="CB220" s="381"/>
      <c r="CC220" s="381"/>
      <c r="CD220" s="381"/>
      <c r="CE220" s="381"/>
      <c r="CF220" s="381"/>
      <c r="CG220" s="381"/>
      <c r="CH220" s="381"/>
      <c r="CI220" s="382"/>
      <c r="CJ220" s="382"/>
      <c r="CK220" s="382"/>
      <c r="CL220" s="382"/>
      <c r="CM220" s="382"/>
      <c r="CN220" s="382"/>
      <c r="CO220" s="382"/>
      <c r="CP220" s="382"/>
      <c r="CQ220" s="382"/>
      <c r="CR220" s="382"/>
      <c r="CS220" s="382"/>
      <c r="CT220" s="382"/>
      <c r="CU220" s="382"/>
      <c r="CV220" s="382"/>
      <c r="CW220" s="382"/>
      <c r="CX220" s="382"/>
      <c r="CY220" s="382"/>
      <c r="CZ220" s="382"/>
      <c r="DA220" s="382"/>
      <c r="DB220" s="382"/>
      <c r="DC220" s="382"/>
      <c r="DD220" s="382"/>
      <c r="DE220" s="382"/>
      <c r="DF220" s="382"/>
      <c r="DG220" s="382"/>
      <c r="DH220" s="382"/>
      <c r="DI220" s="382"/>
      <c r="DJ220" s="382"/>
      <c r="DK220" s="382"/>
      <c r="DL220" s="382"/>
      <c r="DM220" s="382"/>
      <c r="DN220" s="382"/>
      <c r="DO220" s="383"/>
    </row>
    <row r="221" spans="1:119">
      <c r="A221" s="384"/>
      <c r="B221" s="405" t="s">
        <v>387</v>
      </c>
      <c r="C221" s="357"/>
      <c r="D221" s="357"/>
      <c r="E221" s="357"/>
      <c r="F221" s="357"/>
      <c r="G221" s="357"/>
      <c r="H221" s="357"/>
      <c r="I221" s="357"/>
      <c r="J221" s="357"/>
      <c r="K221" s="357"/>
      <c r="L221" s="357"/>
      <c r="M221" s="357"/>
      <c r="N221" s="357"/>
      <c r="O221" s="357"/>
      <c r="P221" s="362"/>
      <c r="Q221" s="362"/>
      <c r="R221" s="362"/>
      <c r="S221" s="362"/>
      <c r="T221" s="360"/>
      <c r="U221" s="361"/>
      <c r="V221" s="361"/>
      <c r="W221" s="361"/>
      <c r="X221" s="357"/>
      <c r="Y221" s="357"/>
      <c r="Z221" s="357"/>
      <c r="AA221" s="357"/>
      <c r="AB221" s="357"/>
      <c r="AC221" s="357"/>
      <c r="AD221" s="357"/>
      <c r="AE221" s="357"/>
      <c r="AF221" s="357"/>
      <c r="AG221" s="357"/>
      <c r="AH221" s="357"/>
      <c r="AI221" s="357"/>
      <c r="AJ221" s="357"/>
      <c r="AK221" s="357"/>
      <c r="AL221" s="357"/>
      <c r="AM221" s="357"/>
      <c r="AN221" s="357"/>
      <c r="AO221" s="357"/>
      <c r="AP221" s="357"/>
      <c r="AQ221" s="357"/>
      <c r="AR221" s="357"/>
      <c r="AS221" s="362"/>
      <c r="AT221" s="360"/>
      <c r="AU221" s="363"/>
      <c r="AV221" s="364"/>
      <c r="AW221" s="364"/>
      <c r="AX221" s="395"/>
      <c r="AY221" s="365"/>
      <c r="AZ221" s="361"/>
      <c r="BA221" s="357"/>
      <c r="BB221" s="362"/>
      <c r="BC221" s="365">
        <f t="shared" si="55"/>
        <v>0</v>
      </c>
      <c r="BD221" s="380"/>
      <c r="BE221" s="381"/>
      <c r="BF221" s="381"/>
      <c r="BG221" s="381"/>
      <c r="BH221" s="381"/>
      <c r="BI221" s="381"/>
      <c r="BJ221" s="381"/>
      <c r="BK221" s="381"/>
      <c r="BL221" s="381"/>
      <c r="BM221" s="381"/>
      <c r="BN221" s="381"/>
      <c r="BO221" s="381"/>
      <c r="BP221" s="381"/>
      <c r="BQ221" s="381"/>
      <c r="BR221" s="381"/>
      <c r="BS221" s="381"/>
      <c r="BT221" s="381"/>
      <c r="BU221" s="381"/>
      <c r="BV221" s="381"/>
      <c r="BW221" s="381"/>
      <c r="BX221" s="381"/>
      <c r="BY221" s="381"/>
      <c r="BZ221" s="381"/>
      <c r="CA221" s="381"/>
      <c r="CB221" s="381"/>
      <c r="CC221" s="381"/>
      <c r="CD221" s="381"/>
      <c r="CE221" s="381"/>
      <c r="CF221" s="381"/>
      <c r="CG221" s="381"/>
      <c r="CH221" s="381"/>
      <c r="CI221" s="382"/>
      <c r="CJ221" s="382"/>
      <c r="CK221" s="382"/>
      <c r="CL221" s="382"/>
      <c r="CM221" s="382"/>
      <c r="CN221" s="382"/>
      <c r="CO221" s="382"/>
      <c r="CP221" s="382"/>
      <c r="CQ221" s="382"/>
      <c r="CR221" s="382"/>
      <c r="CS221" s="382"/>
      <c r="CT221" s="382"/>
      <c r="CU221" s="382"/>
      <c r="CV221" s="382"/>
      <c r="CW221" s="382"/>
      <c r="CX221" s="382"/>
      <c r="CY221" s="382"/>
      <c r="CZ221" s="382"/>
      <c r="DA221" s="382"/>
      <c r="DB221" s="382"/>
      <c r="DC221" s="382"/>
      <c r="DD221" s="382"/>
      <c r="DE221" s="382"/>
      <c r="DF221" s="382"/>
      <c r="DG221" s="382"/>
      <c r="DH221" s="382"/>
      <c r="DI221" s="382"/>
      <c r="DJ221" s="382"/>
      <c r="DK221" s="382"/>
      <c r="DL221" s="382"/>
      <c r="DM221" s="382"/>
      <c r="DN221" s="382">
        <f>ROUNDUP((12*5.6)*4,0)</f>
        <v>269</v>
      </c>
      <c r="DO221" s="383"/>
    </row>
    <row r="222" spans="1:119">
      <c r="A222" s="384"/>
      <c r="B222" s="405"/>
      <c r="C222" s="357"/>
      <c r="D222" s="357"/>
      <c r="E222" s="357"/>
      <c r="F222" s="357"/>
      <c r="G222" s="357"/>
      <c r="H222" s="357"/>
      <c r="I222" s="357"/>
      <c r="J222" s="357"/>
      <c r="K222" s="357"/>
      <c r="L222" s="357"/>
      <c r="M222" s="357"/>
      <c r="N222" s="357"/>
      <c r="O222" s="357"/>
      <c r="P222" s="362"/>
      <c r="Q222" s="362"/>
      <c r="R222" s="362"/>
      <c r="S222" s="362"/>
      <c r="T222" s="360"/>
      <c r="U222" s="361"/>
      <c r="V222" s="361"/>
      <c r="W222" s="361"/>
      <c r="X222" s="357"/>
      <c r="Y222" s="357"/>
      <c r="Z222" s="357"/>
      <c r="AA222" s="357"/>
      <c r="AB222" s="357"/>
      <c r="AC222" s="357"/>
      <c r="AD222" s="357"/>
      <c r="AE222" s="357"/>
      <c r="AF222" s="357"/>
      <c r="AG222" s="357"/>
      <c r="AH222" s="357"/>
      <c r="AI222" s="357"/>
      <c r="AJ222" s="357"/>
      <c r="AK222" s="357"/>
      <c r="AL222" s="357"/>
      <c r="AM222" s="357"/>
      <c r="AN222" s="357"/>
      <c r="AO222" s="357"/>
      <c r="AP222" s="357"/>
      <c r="AQ222" s="357"/>
      <c r="AR222" s="357"/>
      <c r="AS222" s="362"/>
      <c r="AT222" s="360"/>
      <c r="AU222" s="363"/>
      <c r="AV222" s="364"/>
      <c r="AW222" s="364"/>
      <c r="AX222" s="395"/>
      <c r="AY222" s="365"/>
      <c r="AZ222" s="361"/>
      <c r="BA222" s="357"/>
      <c r="BB222" s="362"/>
      <c r="BC222" s="360"/>
      <c r="BD222" s="380"/>
      <c r="BE222" s="381"/>
      <c r="BF222" s="381"/>
      <c r="BG222" s="381"/>
      <c r="BH222" s="381"/>
      <c r="BI222" s="381"/>
      <c r="BJ222" s="381"/>
      <c r="BK222" s="381"/>
      <c r="BL222" s="381"/>
      <c r="BM222" s="381"/>
      <c r="BN222" s="381"/>
      <c r="BO222" s="381"/>
      <c r="BP222" s="381"/>
      <c r="BQ222" s="381"/>
      <c r="BR222" s="381"/>
      <c r="BS222" s="381"/>
      <c r="BT222" s="381"/>
      <c r="BU222" s="381"/>
      <c r="BV222" s="381"/>
      <c r="BW222" s="381"/>
      <c r="BX222" s="381"/>
      <c r="BY222" s="381"/>
      <c r="BZ222" s="381"/>
      <c r="CA222" s="381"/>
      <c r="CB222" s="381"/>
      <c r="CC222" s="381"/>
      <c r="CD222" s="381"/>
      <c r="CE222" s="381"/>
      <c r="CF222" s="381"/>
      <c r="CG222" s="381"/>
      <c r="CH222" s="381"/>
      <c r="CI222" s="382"/>
      <c r="CJ222" s="382"/>
      <c r="CK222" s="382"/>
      <c r="CL222" s="382"/>
      <c r="CM222" s="382"/>
      <c r="CN222" s="382"/>
      <c r="CO222" s="382"/>
      <c r="CP222" s="382"/>
      <c r="CQ222" s="382"/>
      <c r="CR222" s="382"/>
      <c r="CS222" s="382"/>
      <c r="CT222" s="382"/>
      <c r="CU222" s="382"/>
      <c r="CV222" s="382"/>
      <c r="CW222" s="382"/>
      <c r="CX222" s="382"/>
      <c r="CY222" s="382"/>
      <c r="CZ222" s="382"/>
      <c r="DA222" s="382"/>
      <c r="DB222" s="382"/>
      <c r="DC222" s="382"/>
      <c r="DD222" s="382"/>
      <c r="DE222" s="382"/>
      <c r="DF222" s="382"/>
      <c r="DG222" s="382"/>
      <c r="DH222" s="382"/>
      <c r="DI222" s="382"/>
      <c r="DJ222" s="382"/>
      <c r="DK222" s="382"/>
      <c r="DL222" s="382"/>
      <c r="DM222" s="382"/>
      <c r="DN222" s="382"/>
      <c r="DO222" s="383"/>
    </row>
    <row r="223" spans="1:119">
      <c r="A223" s="384"/>
      <c r="B223" s="361"/>
      <c r="C223" s="357"/>
      <c r="D223" s="357"/>
      <c r="E223" s="357"/>
      <c r="F223" s="357"/>
      <c r="G223" s="357"/>
      <c r="H223" s="357"/>
      <c r="I223" s="357"/>
      <c r="J223" s="357"/>
      <c r="K223" s="357"/>
      <c r="L223" s="357"/>
      <c r="M223" s="357"/>
      <c r="N223" s="357"/>
      <c r="O223" s="357"/>
      <c r="P223" s="362"/>
      <c r="Q223" s="362"/>
      <c r="R223" s="362"/>
      <c r="S223" s="362"/>
      <c r="T223" s="367"/>
      <c r="U223" s="361"/>
      <c r="V223" s="361"/>
      <c r="W223" s="361"/>
      <c r="X223" s="357"/>
      <c r="Y223" s="357"/>
      <c r="Z223" s="357"/>
      <c r="AA223" s="357"/>
      <c r="AB223" s="357"/>
      <c r="AC223" s="357"/>
      <c r="AD223" s="357"/>
      <c r="AE223" s="357"/>
      <c r="AF223" s="357"/>
      <c r="AG223" s="357"/>
      <c r="AH223" s="357"/>
      <c r="AI223" s="357"/>
      <c r="AJ223" s="357"/>
      <c r="AK223" s="357"/>
      <c r="AL223" s="357"/>
      <c r="AM223" s="357"/>
      <c r="AN223" s="357"/>
      <c r="AO223" s="357"/>
      <c r="AP223" s="357"/>
      <c r="AQ223" s="357"/>
      <c r="AR223" s="357"/>
      <c r="AS223" s="362"/>
      <c r="AT223" s="360"/>
      <c r="AU223" s="361"/>
      <c r="AV223" s="357"/>
      <c r="AW223" s="357"/>
      <c r="AX223" s="362"/>
      <c r="AY223" s="360"/>
      <c r="AZ223" s="361"/>
      <c r="BA223" s="357"/>
      <c r="BB223" s="362"/>
      <c r="BC223" s="360"/>
      <c r="BD223" s="380"/>
      <c r="BE223" s="381"/>
      <c r="BF223" s="381"/>
      <c r="BG223" s="381"/>
      <c r="BH223" s="381"/>
      <c r="BI223" s="381"/>
      <c r="BJ223" s="381"/>
      <c r="BK223" s="381"/>
      <c r="BL223" s="381"/>
      <c r="BM223" s="381"/>
      <c r="BN223" s="381"/>
      <c r="BO223" s="381"/>
      <c r="BP223" s="381"/>
      <c r="BQ223" s="381"/>
      <c r="BR223" s="381"/>
      <c r="BS223" s="381"/>
      <c r="BT223" s="381"/>
      <c r="BU223" s="381"/>
      <c r="BV223" s="381"/>
      <c r="BW223" s="381"/>
      <c r="BX223" s="381"/>
      <c r="BY223" s="381"/>
      <c r="BZ223" s="381"/>
      <c r="CA223" s="381"/>
      <c r="CB223" s="381"/>
      <c r="CC223" s="381"/>
      <c r="CD223" s="381"/>
      <c r="CE223" s="381"/>
      <c r="CF223" s="381"/>
      <c r="CG223" s="381"/>
      <c r="CH223" s="381"/>
      <c r="CI223" s="382"/>
      <c r="CJ223" s="382"/>
      <c r="CK223" s="382"/>
      <c r="CL223" s="382"/>
      <c r="CM223" s="382"/>
      <c r="CN223" s="382"/>
      <c r="CO223" s="382"/>
      <c r="CP223" s="382"/>
      <c r="CQ223" s="382"/>
      <c r="CR223" s="382"/>
      <c r="CS223" s="382"/>
      <c r="CT223" s="382"/>
      <c r="CU223" s="382"/>
      <c r="CV223" s="382"/>
      <c r="CW223" s="382"/>
      <c r="CX223" s="382"/>
      <c r="CY223" s="382"/>
      <c r="CZ223" s="382"/>
      <c r="DA223" s="382"/>
      <c r="DB223" s="382"/>
      <c r="DC223" s="382"/>
      <c r="DD223" s="382"/>
      <c r="DE223" s="382"/>
      <c r="DF223" s="382"/>
      <c r="DG223" s="382"/>
      <c r="DH223" s="382"/>
      <c r="DI223" s="382"/>
      <c r="DJ223" s="382"/>
      <c r="DK223" s="382"/>
      <c r="DL223" s="382"/>
      <c r="DM223" s="382"/>
      <c r="DN223" s="382"/>
      <c r="DO223" s="383"/>
    </row>
    <row r="224" spans="1:119" ht="18.75">
      <c r="A224" s="384"/>
      <c r="B224" s="385" t="s">
        <v>182</v>
      </c>
      <c r="C224" s="386">
        <f t="shared" ref="C224:AK224" si="56">SUM(C212:C223)</f>
        <v>0</v>
      </c>
      <c r="D224" s="386">
        <f t="shared" si="56"/>
        <v>0</v>
      </c>
      <c r="E224" s="386">
        <f t="shared" si="56"/>
        <v>0</v>
      </c>
      <c r="F224" s="386">
        <f t="shared" si="56"/>
        <v>0</v>
      </c>
      <c r="G224" s="386">
        <f t="shared" si="56"/>
        <v>0</v>
      </c>
      <c r="H224" s="386">
        <f t="shared" si="56"/>
        <v>992</v>
      </c>
      <c r="I224" s="386">
        <f t="shared" si="56"/>
        <v>0</v>
      </c>
      <c r="J224" s="386">
        <f t="shared" si="56"/>
        <v>0</v>
      </c>
      <c r="K224" s="386">
        <f t="shared" si="56"/>
        <v>0</v>
      </c>
      <c r="L224" s="386">
        <f t="shared" si="56"/>
        <v>0</v>
      </c>
      <c r="M224" s="386">
        <f t="shared" si="56"/>
        <v>0</v>
      </c>
      <c r="N224" s="386">
        <f t="shared" si="56"/>
        <v>0</v>
      </c>
      <c r="O224" s="386">
        <f t="shared" si="56"/>
        <v>0</v>
      </c>
      <c r="P224" s="386">
        <f t="shared" si="56"/>
        <v>0</v>
      </c>
      <c r="Q224" s="386">
        <f t="shared" si="56"/>
        <v>0</v>
      </c>
      <c r="R224" s="386">
        <f t="shared" si="56"/>
        <v>0</v>
      </c>
      <c r="S224" s="386">
        <f t="shared" si="56"/>
        <v>0</v>
      </c>
      <c r="T224" s="388">
        <f t="shared" si="56"/>
        <v>0</v>
      </c>
      <c r="U224" s="389">
        <f t="shared" si="56"/>
        <v>53</v>
      </c>
      <c r="V224" s="389">
        <f t="shared" si="56"/>
        <v>0</v>
      </c>
      <c r="W224" s="389">
        <f t="shared" si="56"/>
        <v>0</v>
      </c>
      <c r="X224" s="389">
        <f t="shared" si="56"/>
        <v>0</v>
      </c>
      <c r="Y224" s="389">
        <f t="shared" si="56"/>
        <v>0</v>
      </c>
      <c r="Z224" s="389">
        <f t="shared" si="56"/>
        <v>0</v>
      </c>
      <c r="AA224" s="389">
        <f>SUM(AA212:AA223)</f>
        <v>922</v>
      </c>
      <c r="AB224" s="748"/>
      <c r="AC224" s="389">
        <f t="shared" si="56"/>
        <v>53</v>
      </c>
      <c r="AD224" s="389">
        <f t="shared" si="56"/>
        <v>53</v>
      </c>
      <c r="AE224" s="389">
        <f t="shared" si="56"/>
        <v>0</v>
      </c>
      <c r="AF224" s="389">
        <f t="shared" si="56"/>
        <v>0</v>
      </c>
      <c r="AG224" s="389">
        <f t="shared" si="56"/>
        <v>0</v>
      </c>
      <c r="AH224" s="389">
        <f t="shared" si="56"/>
        <v>0</v>
      </c>
      <c r="AI224" s="389">
        <f t="shared" si="56"/>
        <v>0</v>
      </c>
      <c r="AJ224" s="389">
        <f t="shared" si="56"/>
        <v>0</v>
      </c>
      <c r="AK224" s="389">
        <f t="shared" si="56"/>
        <v>0</v>
      </c>
      <c r="AL224" s="389">
        <f t="shared" ref="AL224:CR224" si="57">SUM(AL212:AL223)</f>
        <v>0</v>
      </c>
      <c r="AM224" s="389">
        <f t="shared" si="57"/>
        <v>0</v>
      </c>
      <c r="AN224" s="389">
        <f t="shared" si="57"/>
        <v>0</v>
      </c>
      <c r="AO224" s="389">
        <f t="shared" si="57"/>
        <v>0</v>
      </c>
      <c r="AP224" s="389">
        <f t="shared" si="57"/>
        <v>0</v>
      </c>
      <c r="AQ224" s="389">
        <f t="shared" si="57"/>
        <v>63</v>
      </c>
      <c r="AR224" s="389">
        <f t="shared" si="57"/>
        <v>0</v>
      </c>
      <c r="AS224" s="389">
        <f t="shared" si="57"/>
        <v>0</v>
      </c>
      <c r="AT224" s="389">
        <f t="shared" si="57"/>
        <v>448</v>
      </c>
      <c r="AU224" s="389">
        <f t="shared" si="57"/>
        <v>0</v>
      </c>
      <c r="AV224" s="386">
        <f t="shared" si="57"/>
        <v>0</v>
      </c>
      <c r="AW224" s="386">
        <f t="shared" si="57"/>
        <v>0</v>
      </c>
      <c r="AX224" s="386">
        <f t="shared" si="57"/>
        <v>0</v>
      </c>
      <c r="AY224" s="388">
        <f t="shared" si="57"/>
        <v>0</v>
      </c>
      <c r="AZ224" s="389">
        <f t="shared" si="57"/>
        <v>53</v>
      </c>
      <c r="BA224" s="386">
        <f t="shared" si="57"/>
        <v>53</v>
      </c>
      <c r="BB224" s="386">
        <f t="shared" si="57"/>
        <v>0</v>
      </c>
      <c r="BC224" s="388">
        <f t="shared" si="57"/>
        <v>0</v>
      </c>
      <c r="BD224" s="389">
        <f t="shared" si="57"/>
        <v>0</v>
      </c>
      <c r="BE224" s="386">
        <f t="shared" si="57"/>
        <v>0</v>
      </c>
      <c r="BF224" s="386">
        <f t="shared" si="57"/>
        <v>0</v>
      </c>
      <c r="BG224" s="386">
        <f t="shared" si="57"/>
        <v>0</v>
      </c>
      <c r="BH224" s="386">
        <f t="shared" si="57"/>
        <v>0</v>
      </c>
      <c r="BI224" s="386">
        <f t="shared" si="57"/>
        <v>0</v>
      </c>
      <c r="BJ224" s="386">
        <f t="shared" si="57"/>
        <v>0</v>
      </c>
      <c r="BK224" s="386">
        <f t="shared" si="57"/>
        <v>0</v>
      </c>
      <c r="BL224" s="386">
        <f t="shared" si="57"/>
        <v>0</v>
      </c>
      <c r="BM224" s="386">
        <f t="shared" si="57"/>
        <v>0</v>
      </c>
      <c r="BN224" s="386">
        <f t="shared" si="57"/>
        <v>0</v>
      </c>
      <c r="BO224" s="386">
        <f t="shared" si="57"/>
        <v>0</v>
      </c>
      <c r="BP224" s="386">
        <f t="shared" si="57"/>
        <v>0</v>
      </c>
      <c r="BQ224" s="386">
        <f t="shared" si="57"/>
        <v>0</v>
      </c>
      <c r="BR224" s="386">
        <f t="shared" si="57"/>
        <v>0</v>
      </c>
      <c r="BS224" s="386">
        <f t="shared" si="57"/>
        <v>0</v>
      </c>
      <c r="BT224" s="386">
        <f t="shared" si="57"/>
        <v>0</v>
      </c>
      <c r="BU224" s="386">
        <f t="shared" si="57"/>
        <v>0</v>
      </c>
      <c r="BV224" s="386">
        <f t="shared" si="57"/>
        <v>0</v>
      </c>
      <c r="BW224" s="386">
        <f t="shared" si="57"/>
        <v>0</v>
      </c>
      <c r="BX224" s="386">
        <f t="shared" si="57"/>
        <v>0</v>
      </c>
      <c r="BY224" s="386">
        <f t="shared" si="57"/>
        <v>0</v>
      </c>
      <c r="BZ224" s="386">
        <f t="shared" si="57"/>
        <v>0</v>
      </c>
      <c r="CA224" s="386">
        <f t="shared" si="57"/>
        <v>0</v>
      </c>
      <c r="CB224" s="386">
        <f t="shared" si="57"/>
        <v>0</v>
      </c>
      <c r="CC224" s="386">
        <f t="shared" si="57"/>
        <v>0</v>
      </c>
      <c r="CD224" s="386">
        <f t="shared" si="57"/>
        <v>0</v>
      </c>
      <c r="CE224" s="386">
        <f t="shared" si="57"/>
        <v>0</v>
      </c>
      <c r="CF224" s="386">
        <f t="shared" si="57"/>
        <v>0</v>
      </c>
      <c r="CG224" s="386">
        <f t="shared" si="57"/>
        <v>0</v>
      </c>
      <c r="CH224" s="386">
        <f t="shared" si="57"/>
        <v>0</v>
      </c>
      <c r="CI224" s="386">
        <f t="shared" si="57"/>
        <v>0</v>
      </c>
      <c r="CJ224" s="386">
        <f t="shared" si="57"/>
        <v>26</v>
      </c>
      <c r="CK224" s="386">
        <f t="shared" si="57"/>
        <v>0</v>
      </c>
      <c r="CL224" s="386">
        <f t="shared" si="57"/>
        <v>26</v>
      </c>
      <c r="CM224" s="386">
        <f t="shared" si="57"/>
        <v>0</v>
      </c>
      <c r="CN224" s="386">
        <f t="shared" si="57"/>
        <v>0</v>
      </c>
      <c r="CO224" s="386">
        <f t="shared" si="57"/>
        <v>0</v>
      </c>
      <c r="CP224" s="386">
        <f t="shared" si="57"/>
        <v>0</v>
      </c>
      <c r="CQ224" s="386">
        <f t="shared" si="57"/>
        <v>0</v>
      </c>
      <c r="CR224" s="386">
        <f t="shared" si="57"/>
        <v>0</v>
      </c>
      <c r="CS224" s="386">
        <f t="shared" ref="CS224:DO224" si="58">SUM(CS212:CS223)</f>
        <v>0</v>
      </c>
      <c r="CT224" s="386">
        <f t="shared" si="58"/>
        <v>0</v>
      </c>
      <c r="CU224" s="386">
        <f t="shared" si="58"/>
        <v>0</v>
      </c>
      <c r="CV224" s="386">
        <f t="shared" si="58"/>
        <v>0</v>
      </c>
      <c r="CW224" s="386">
        <f t="shared" si="58"/>
        <v>0</v>
      </c>
      <c r="CX224" s="386">
        <f t="shared" si="58"/>
        <v>0</v>
      </c>
      <c r="CY224" s="386">
        <f t="shared" si="58"/>
        <v>0</v>
      </c>
      <c r="CZ224" s="386">
        <f t="shared" si="58"/>
        <v>0</v>
      </c>
      <c r="DA224" s="386">
        <f t="shared" si="58"/>
        <v>0</v>
      </c>
      <c r="DB224" s="386">
        <f t="shared" si="58"/>
        <v>0</v>
      </c>
      <c r="DC224" s="386">
        <f t="shared" si="58"/>
        <v>0</v>
      </c>
      <c r="DD224" s="386">
        <f t="shared" si="58"/>
        <v>0</v>
      </c>
      <c r="DE224" s="386">
        <f t="shared" si="58"/>
        <v>0</v>
      </c>
      <c r="DF224" s="386">
        <f t="shared" si="58"/>
        <v>676</v>
      </c>
      <c r="DG224" s="386">
        <f t="shared" si="58"/>
        <v>80</v>
      </c>
      <c r="DH224" s="386">
        <f t="shared" si="58"/>
        <v>160</v>
      </c>
      <c r="DI224" s="386">
        <f t="shared" si="58"/>
        <v>301</v>
      </c>
      <c r="DJ224" s="386">
        <f t="shared" si="58"/>
        <v>40</v>
      </c>
      <c r="DK224" s="386">
        <f t="shared" si="58"/>
        <v>160</v>
      </c>
      <c r="DL224" s="386">
        <f t="shared" si="58"/>
        <v>676</v>
      </c>
      <c r="DM224" s="386">
        <f t="shared" si="58"/>
        <v>0</v>
      </c>
      <c r="DN224" s="386">
        <f t="shared" si="58"/>
        <v>269</v>
      </c>
      <c r="DO224" s="386">
        <f t="shared" si="58"/>
        <v>0</v>
      </c>
    </row>
    <row r="225" spans="1:119">
      <c r="A225" s="406"/>
      <c r="B225" s="405"/>
      <c r="C225" s="408"/>
      <c r="D225" s="409"/>
      <c r="E225" s="409"/>
      <c r="F225" s="409"/>
      <c r="G225" s="409"/>
      <c r="H225" s="409"/>
      <c r="I225" s="409"/>
      <c r="J225" s="409"/>
      <c r="K225" s="409"/>
      <c r="L225" s="409"/>
      <c r="M225" s="409"/>
      <c r="N225" s="409"/>
      <c r="O225" s="409"/>
      <c r="P225" s="410"/>
      <c r="Q225" s="410"/>
      <c r="R225" s="410"/>
      <c r="S225" s="410"/>
      <c r="T225" s="411"/>
      <c r="U225" s="405"/>
      <c r="V225" s="405"/>
      <c r="W225" s="405"/>
      <c r="X225" s="408"/>
      <c r="Y225" s="408"/>
      <c r="Z225" s="408"/>
      <c r="AA225" s="408"/>
      <c r="AB225" s="408"/>
      <c r="AC225" s="408"/>
      <c r="AD225" s="408"/>
      <c r="AE225" s="408"/>
      <c r="AF225" s="408"/>
      <c r="AG225" s="408"/>
      <c r="AH225" s="408"/>
      <c r="AI225" s="408"/>
      <c r="AJ225" s="408"/>
      <c r="AK225" s="408"/>
      <c r="AL225" s="408"/>
      <c r="AM225" s="408"/>
      <c r="AN225" s="408"/>
      <c r="AO225" s="408"/>
      <c r="AP225" s="408"/>
      <c r="AQ225" s="408"/>
      <c r="AR225" s="408"/>
      <c r="AS225" s="412"/>
      <c r="AT225" s="413"/>
      <c r="AU225" s="405"/>
      <c r="AV225" s="408"/>
      <c r="AW225" s="408"/>
      <c r="AX225" s="412"/>
      <c r="AY225" s="413"/>
      <c r="AZ225" s="405"/>
      <c r="BA225" s="408"/>
      <c r="BB225" s="1183"/>
      <c r="BC225" s="413"/>
      <c r="BD225" s="414"/>
      <c r="BE225" s="415"/>
      <c r="BF225" s="415"/>
      <c r="BG225" s="415"/>
      <c r="BH225" s="415"/>
      <c r="BI225" s="415"/>
      <c r="BJ225" s="655"/>
      <c r="BK225" s="415"/>
      <c r="BL225" s="415"/>
      <c r="BM225" s="415"/>
      <c r="BN225" s="415"/>
      <c r="BO225" s="415"/>
      <c r="BP225" s="415"/>
      <c r="BQ225" s="415"/>
      <c r="BR225" s="415"/>
      <c r="BS225" s="415"/>
      <c r="BT225" s="415"/>
      <c r="BU225" s="655"/>
      <c r="BV225" s="415"/>
      <c r="BW225" s="415"/>
      <c r="BX225" s="415"/>
      <c r="BY225" s="655"/>
      <c r="BZ225" s="655"/>
      <c r="CA225" s="655"/>
      <c r="CB225" s="415"/>
      <c r="CC225" s="655"/>
      <c r="CD225" s="415"/>
      <c r="CE225" s="415"/>
      <c r="CF225" s="415"/>
      <c r="CG225" s="415"/>
      <c r="CH225" s="415"/>
      <c r="CI225" s="656"/>
      <c r="CJ225" s="416"/>
      <c r="CK225" s="656"/>
      <c r="CL225" s="416"/>
      <c r="CM225" s="656"/>
      <c r="CN225" s="416"/>
      <c r="CO225" s="416"/>
      <c r="CP225" s="416"/>
      <c r="CQ225" s="656"/>
      <c r="CR225" s="656"/>
      <c r="CS225" s="416"/>
      <c r="CT225" s="416"/>
      <c r="CU225" s="416"/>
      <c r="CV225" s="416"/>
      <c r="CW225" s="416"/>
      <c r="CX225" s="656"/>
      <c r="CY225" s="656"/>
      <c r="CZ225" s="416"/>
      <c r="DA225" s="416"/>
      <c r="DB225" s="416"/>
      <c r="DC225" s="416"/>
      <c r="DD225" s="416"/>
      <c r="DE225" s="416"/>
      <c r="DF225" s="416"/>
      <c r="DG225" s="416"/>
      <c r="DH225" s="416"/>
      <c r="DI225" s="416"/>
      <c r="DJ225" s="416"/>
      <c r="DK225" s="416"/>
      <c r="DL225" s="416"/>
      <c r="DM225" s="416"/>
      <c r="DN225" s="416"/>
      <c r="DO225" s="417"/>
    </row>
    <row r="226" spans="1:119">
      <c r="A226" s="316"/>
      <c r="B226" s="419"/>
      <c r="C226" s="420"/>
      <c r="D226" s="421"/>
      <c r="E226" s="421"/>
      <c r="F226" s="421"/>
      <c r="G226" s="421"/>
      <c r="H226" s="421"/>
      <c r="I226" s="421"/>
      <c r="J226" s="421"/>
      <c r="K226" s="421"/>
      <c r="L226" s="421"/>
      <c r="M226" s="421"/>
      <c r="N226" s="421"/>
      <c r="O226" s="421"/>
      <c r="P226" s="422"/>
      <c r="Q226" s="422"/>
      <c r="R226" s="422"/>
      <c r="S226" s="422"/>
      <c r="T226" s="423"/>
      <c r="U226" s="419"/>
      <c r="V226" s="419"/>
      <c r="W226" s="419"/>
      <c r="X226" s="420"/>
      <c r="Y226" s="420"/>
      <c r="Z226" s="420"/>
      <c r="AA226" s="420"/>
      <c r="AB226" s="420"/>
      <c r="AC226" s="420"/>
      <c r="AD226" s="420"/>
      <c r="AE226" s="420"/>
      <c r="AF226" s="420"/>
      <c r="AG226" s="420"/>
      <c r="AH226" s="420"/>
      <c r="AI226" s="420"/>
      <c r="AJ226" s="420"/>
      <c r="AK226" s="420"/>
      <c r="AL226" s="420"/>
      <c r="AM226" s="420"/>
      <c r="AN226" s="420"/>
      <c r="AO226" s="420"/>
      <c r="AP226" s="420"/>
      <c r="AQ226" s="420"/>
      <c r="AR226" s="420"/>
      <c r="AS226" s="424"/>
      <c r="AT226" s="425"/>
      <c r="AU226" s="419"/>
      <c r="AV226" s="420"/>
      <c r="AW226" s="420"/>
      <c r="AX226" s="424"/>
      <c r="AY226" s="425"/>
      <c r="AZ226" s="419"/>
      <c r="BA226" s="420"/>
      <c r="BB226" s="424"/>
      <c r="BC226" s="425"/>
      <c r="BD226" s="426"/>
      <c r="BE226" s="427"/>
      <c r="BF226" s="427"/>
      <c r="BG226" s="427"/>
      <c r="BH226" s="427"/>
      <c r="BI226" s="427"/>
      <c r="BJ226" s="427"/>
      <c r="BK226" s="427"/>
      <c r="BL226" s="427"/>
      <c r="BM226" s="427"/>
      <c r="BN226" s="427"/>
      <c r="BO226" s="427"/>
      <c r="BP226" s="427"/>
      <c r="BQ226" s="427"/>
      <c r="BR226" s="427"/>
      <c r="BS226" s="427"/>
      <c r="BT226" s="427"/>
      <c r="BU226" s="427"/>
      <c r="BV226" s="427"/>
      <c r="BW226" s="427"/>
      <c r="BX226" s="427"/>
      <c r="BY226" s="427"/>
      <c r="BZ226" s="427"/>
      <c r="CA226" s="427"/>
      <c r="CB226" s="427"/>
      <c r="CC226" s="427"/>
      <c r="CD226" s="427"/>
      <c r="CE226" s="427"/>
      <c r="CF226" s="427"/>
      <c r="CG226" s="427"/>
      <c r="CH226" s="427"/>
      <c r="CI226" s="428"/>
      <c r="CJ226" s="428"/>
      <c r="CK226" s="428"/>
      <c r="CL226" s="428"/>
      <c r="CM226" s="428"/>
      <c r="CN226" s="428"/>
      <c r="CO226" s="428"/>
      <c r="CP226" s="428"/>
      <c r="CQ226" s="428"/>
      <c r="CR226" s="428"/>
      <c r="CS226" s="428"/>
      <c r="CT226" s="428"/>
      <c r="CU226" s="428"/>
      <c r="CV226" s="428"/>
      <c r="CW226" s="428"/>
      <c r="CX226" s="428"/>
      <c r="CY226" s="428"/>
      <c r="CZ226" s="428"/>
      <c r="DA226" s="428"/>
      <c r="DB226" s="428"/>
      <c r="DC226" s="428"/>
      <c r="DD226" s="428"/>
      <c r="DE226" s="428"/>
      <c r="DF226" s="428"/>
      <c r="DG226" s="428"/>
      <c r="DH226" s="428"/>
      <c r="DI226" s="428"/>
      <c r="DJ226" s="428"/>
      <c r="DK226" s="428"/>
      <c r="DL226" s="428"/>
      <c r="DM226" s="428"/>
      <c r="DN226" s="428"/>
      <c r="DO226" s="429"/>
    </row>
    <row r="227" spans="1:119" ht="19.5" thickBot="1">
      <c r="A227" s="430"/>
      <c r="B227" s="431" t="s">
        <v>181</v>
      </c>
      <c r="C227" s="432">
        <f t="shared" ref="C227:AK227" si="59">SUM(C209+C224)</f>
        <v>1465</v>
      </c>
      <c r="D227" s="432">
        <f t="shared" si="59"/>
        <v>0</v>
      </c>
      <c r="E227" s="432">
        <f t="shared" si="59"/>
        <v>36</v>
      </c>
      <c r="F227" s="432">
        <f t="shared" si="59"/>
        <v>0</v>
      </c>
      <c r="G227" s="432">
        <f t="shared" si="59"/>
        <v>0</v>
      </c>
      <c r="H227" s="432">
        <f t="shared" si="59"/>
        <v>1120</v>
      </c>
      <c r="I227" s="432">
        <f t="shared" si="59"/>
        <v>0</v>
      </c>
      <c r="J227" s="432">
        <f t="shared" si="59"/>
        <v>0</v>
      </c>
      <c r="K227" s="432">
        <f t="shared" si="59"/>
        <v>0</v>
      </c>
      <c r="L227" s="432">
        <f t="shared" si="59"/>
        <v>0</v>
      </c>
      <c r="M227" s="432">
        <f t="shared" si="59"/>
        <v>0</v>
      </c>
      <c r="N227" s="432">
        <f t="shared" si="59"/>
        <v>0</v>
      </c>
      <c r="O227" s="432">
        <f t="shared" si="59"/>
        <v>0</v>
      </c>
      <c r="P227" s="432">
        <f t="shared" si="59"/>
        <v>0</v>
      </c>
      <c r="Q227" s="432">
        <f t="shared" si="59"/>
        <v>0</v>
      </c>
      <c r="R227" s="432">
        <f t="shared" si="59"/>
        <v>0</v>
      </c>
      <c r="S227" s="432">
        <f t="shared" si="59"/>
        <v>0</v>
      </c>
      <c r="T227" s="432">
        <f t="shared" si="59"/>
        <v>36</v>
      </c>
      <c r="U227" s="432">
        <f t="shared" si="59"/>
        <v>636</v>
      </c>
      <c r="V227" s="432">
        <f t="shared" si="59"/>
        <v>6</v>
      </c>
      <c r="W227" s="432">
        <f t="shared" si="59"/>
        <v>91</v>
      </c>
      <c r="X227" s="432">
        <f t="shared" si="59"/>
        <v>0</v>
      </c>
      <c r="Y227" s="432">
        <f t="shared" si="59"/>
        <v>0</v>
      </c>
      <c r="Z227" s="432">
        <f t="shared" si="59"/>
        <v>0</v>
      </c>
      <c r="AA227" s="432">
        <f t="shared" si="59"/>
        <v>922</v>
      </c>
      <c r="AB227" s="432"/>
      <c r="AC227" s="432">
        <f t="shared" si="59"/>
        <v>1039</v>
      </c>
      <c r="AD227" s="432">
        <f t="shared" si="59"/>
        <v>656</v>
      </c>
      <c r="AE227" s="432">
        <f t="shared" si="59"/>
        <v>0</v>
      </c>
      <c r="AF227" s="432">
        <f t="shared" si="59"/>
        <v>0</v>
      </c>
      <c r="AG227" s="432">
        <f t="shared" si="59"/>
        <v>124</v>
      </c>
      <c r="AH227" s="432">
        <f t="shared" si="59"/>
        <v>0</v>
      </c>
      <c r="AI227" s="432">
        <f t="shared" si="59"/>
        <v>0</v>
      </c>
      <c r="AJ227" s="432">
        <f t="shared" si="59"/>
        <v>0</v>
      </c>
      <c r="AK227" s="432">
        <f t="shared" si="59"/>
        <v>0</v>
      </c>
      <c r="AL227" s="432">
        <f t="shared" ref="AL227:CB227" si="60">SUM(AL209+AL224)</f>
        <v>0</v>
      </c>
      <c r="AM227" s="432">
        <f t="shared" si="60"/>
        <v>0</v>
      </c>
      <c r="AN227" s="432">
        <f t="shared" si="60"/>
        <v>0</v>
      </c>
      <c r="AO227" s="432">
        <f t="shared" si="60"/>
        <v>0</v>
      </c>
      <c r="AP227" s="432">
        <f t="shared" si="60"/>
        <v>0</v>
      </c>
      <c r="AQ227" s="432">
        <f t="shared" si="60"/>
        <v>233</v>
      </c>
      <c r="AR227" s="432">
        <f t="shared" si="60"/>
        <v>6</v>
      </c>
      <c r="AS227" s="432">
        <f t="shared" si="60"/>
        <v>0</v>
      </c>
      <c r="AT227" s="432">
        <f t="shared" si="60"/>
        <v>647</v>
      </c>
      <c r="AU227" s="432">
        <f t="shared" si="60"/>
        <v>0</v>
      </c>
      <c r="AV227" s="432">
        <f t="shared" si="60"/>
        <v>36</v>
      </c>
      <c r="AW227" s="432">
        <f t="shared" si="60"/>
        <v>503</v>
      </c>
      <c r="AX227" s="432">
        <f t="shared" si="60"/>
        <v>0</v>
      </c>
      <c r="AY227" s="432">
        <f t="shared" si="60"/>
        <v>0</v>
      </c>
      <c r="AZ227" s="432">
        <f t="shared" si="60"/>
        <v>518</v>
      </c>
      <c r="BA227" s="432">
        <f t="shared" si="60"/>
        <v>1039</v>
      </c>
      <c r="BB227" s="432">
        <f t="shared" si="60"/>
        <v>0</v>
      </c>
      <c r="BC227" s="432">
        <f t="shared" si="60"/>
        <v>539</v>
      </c>
      <c r="BD227" s="432">
        <f t="shared" si="60"/>
        <v>0</v>
      </c>
      <c r="BE227" s="432">
        <f t="shared" si="60"/>
        <v>0</v>
      </c>
      <c r="BF227" s="432">
        <f t="shared" si="60"/>
        <v>12</v>
      </c>
      <c r="BG227" s="432">
        <f t="shared" si="60"/>
        <v>2</v>
      </c>
      <c r="BH227" s="432">
        <f t="shared" si="60"/>
        <v>2</v>
      </c>
      <c r="BI227" s="432">
        <f t="shared" si="60"/>
        <v>0</v>
      </c>
      <c r="BJ227" s="432">
        <f t="shared" si="60"/>
        <v>0</v>
      </c>
      <c r="BK227" s="432">
        <f t="shared" si="60"/>
        <v>0</v>
      </c>
      <c r="BL227" s="432">
        <f t="shared" si="60"/>
        <v>0</v>
      </c>
      <c r="BM227" s="432">
        <f t="shared" si="60"/>
        <v>0</v>
      </c>
      <c r="BN227" s="432">
        <f t="shared" si="60"/>
        <v>0</v>
      </c>
      <c r="BO227" s="432">
        <f t="shared" si="60"/>
        <v>0</v>
      </c>
      <c r="BP227" s="432">
        <f t="shared" si="60"/>
        <v>0</v>
      </c>
      <c r="BQ227" s="432">
        <f t="shared" si="60"/>
        <v>0</v>
      </c>
      <c r="BR227" s="432">
        <f t="shared" si="60"/>
        <v>0</v>
      </c>
      <c r="BS227" s="432">
        <f t="shared" si="60"/>
        <v>0</v>
      </c>
      <c r="BT227" s="432">
        <f t="shared" si="60"/>
        <v>0</v>
      </c>
      <c r="BU227" s="432">
        <f t="shared" si="60"/>
        <v>0</v>
      </c>
      <c r="BV227" s="432">
        <f t="shared" si="60"/>
        <v>0</v>
      </c>
      <c r="BW227" s="432">
        <f t="shared" si="60"/>
        <v>0</v>
      </c>
      <c r="BX227" s="432">
        <f t="shared" si="60"/>
        <v>0</v>
      </c>
      <c r="BY227" s="432">
        <f t="shared" si="60"/>
        <v>0</v>
      </c>
      <c r="BZ227" s="432">
        <f t="shared" si="60"/>
        <v>0</v>
      </c>
      <c r="CA227" s="432">
        <f t="shared" si="60"/>
        <v>0</v>
      </c>
      <c r="CB227" s="432">
        <f t="shared" si="60"/>
        <v>0</v>
      </c>
      <c r="CC227" s="432"/>
      <c r="CD227" s="432">
        <f t="shared" ref="CD227:DO227" si="61">SUM(CD209+CD224)</f>
        <v>0</v>
      </c>
      <c r="CE227" s="432">
        <f t="shared" si="61"/>
        <v>9</v>
      </c>
      <c r="CF227" s="432">
        <f t="shared" si="61"/>
        <v>2</v>
      </c>
      <c r="CG227" s="432"/>
      <c r="CH227" s="432">
        <f t="shared" si="61"/>
        <v>2</v>
      </c>
      <c r="CI227" s="432"/>
      <c r="CJ227" s="432">
        <f t="shared" si="61"/>
        <v>26</v>
      </c>
      <c r="CK227" s="432"/>
      <c r="CL227" s="432">
        <f t="shared" si="61"/>
        <v>26</v>
      </c>
      <c r="CM227" s="432"/>
      <c r="CN227" s="432">
        <f t="shared" si="61"/>
        <v>0</v>
      </c>
      <c r="CO227" s="432">
        <f t="shared" si="61"/>
        <v>0</v>
      </c>
      <c r="CP227" s="432">
        <f t="shared" si="61"/>
        <v>0</v>
      </c>
      <c r="CQ227" s="432"/>
      <c r="CR227" s="432"/>
      <c r="CS227" s="432">
        <f t="shared" si="61"/>
        <v>0</v>
      </c>
      <c r="CT227" s="432">
        <f t="shared" si="61"/>
        <v>0</v>
      </c>
      <c r="CU227" s="432">
        <f t="shared" si="61"/>
        <v>0</v>
      </c>
      <c r="CV227" s="432">
        <f t="shared" si="61"/>
        <v>0</v>
      </c>
      <c r="CW227" s="432">
        <f t="shared" si="61"/>
        <v>0</v>
      </c>
      <c r="CX227" s="432">
        <f t="shared" si="61"/>
        <v>0</v>
      </c>
      <c r="CY227" s="432">
        <f t="shared" si="61"/>
        <v>0</v>
      </c>
      <c r="CZ227" s="432">
        <f t="shared" si="61"/>
        <v>0</v>
      </c>
      <c r="DA227" s="432">
        <f t="shared" si="61"/>
        <v>0</v>
      </c>
      <c r="DB227" s="432">
        <f t="shared" si="61"/>
        <v>0</v>
      </c>
      <c r="DC227" s="432">
        <f t="shared" si="61"/>
        <v>0</v>
      </c>
      <c r="DD227" s="432">
        <f t="shared" si="61"/>
        <v>0</v>
      </c>
      <c r="DE227" s="432">
        <f t="shared" si="61"/>
        <v>0</v>
      </c>
      <c r="DF227" s="432">
        <f t="shared" si="61"/>
        <v>676</v>
      </c>
      <c r="DG227" s="432">
        <f t="shared" si="61"/>
        <v>80</v>
      </c>
      <c r="DH227" s="432">
        <f t="shared" si="61"/>
        <v>160</v>
      </c>
      <c r="DI227" s="432">
        <f t="shared" si="61"/>
        <v>301</v>
      </c>
      <c r="DJ227" s="432">
        <f t="shared" si="61"/>
        <v>40</v>
      </c>
      <c r="DK227" s="432">
        <f t="shared" si="61"/>
        <v>160</v>
      </c>
      <c r="DL227" s="432">
        <f t="shared" si="61"/>
        <v>676</v>
      </c>
      <c r="DM227" s="432">
        <f t="shared" si="61"/>
        <v>0</v>
      </c>
      <c r="DN227" s="432">
        <f t="shared" si="61"/>
        <v>269</v>
      </c>
      <c r="DO227" s="432">
        <f t="shared" si="61"/>
        <v>0</v>
      </c>
    </row>
    <row r="228" spans="1:119" ht="19.5" thickTop="1">
      <c r="B228" s="435"/>
      <c r="C228" s="436"/>
      <c r="D228" s="436"/>
      <c r="E228" s="436"/>
      <c r="F228" s="436"/>
      <c r="G228" s="436"/>
      <c r="H228" s="436"/>
      <c r="I228" s="436"/>
      <c r="J228" s="436"/>
      <c r="K228" s="436"/>
      <c r="L228" s="436"/>
      <c r="M228" s="436"/>
      <c r="N228" s="436"/>
      <c r="O228" s="436"/>
      <c r="P228" s="436"/>
      <c r="Q228" s="436"/>
      <c r="R228" s="436"/>
      <c r="S228" s="436"/>
      <c r="T228" s="436"/>
      <c r="U228" s="436"/>
      <c r="V228" s="436"/>
      <c r="W228" s="436"/>
      <c r="X228" s="436"/>
      <c r="Y228" s="436"/>
      <c r="Z228" s="436"/>
      <c r="AA228" s="436"/>
      <c r="AB228" s="436"/>
      <c r="AC228" s="436"/>
      <c r="AD228" s="436"/>
      <c r="AE228" s="436"/>
      <c r="AF228" s="436"/>
      <c r="AG228" s="436"/>
      <c r="AH228" s="436"/>
      <c r="AI228" s="436"/>
      <c r="AJ228" s="436"/>
      <c r="AK228" s="436"/>
      <c r="AL228" s="436"/>
      <c r="AM228" s="436"/>
      <c r="AN228" s="436"/>
      <c r="AO228" s="436"/>
      <c r="AP228" s="436"/>
      <c r="AQ228" s="436"/>
      <c r="AR228" s="436"/>
      <c r="AS228" s="436"/>
      <c r="AT228" s="436"/>
      <c r="AU228" s="436"/>
      <c r="AV228" s="436"/>
      <c r="AW228" s="436"/>
      <c r="AX228" s="436"/>
      <c r="AY228" s="436"/>
      <c r="AZ228" s="436"/>
      <c r="BA228" s="436"/>
      <c r="BB228" s="436"/>
      <c r="BC228" s="436"/>
      <c r="BD228" s="437"/>
      <c r="BE228" s="437"/>
      <c r="BF228" s="437"/>
      <c r="BG228" s="437"/>
      <c r="BH228" s="437"/>
      <c r="BI228" s="437"/>
      <c r="BJ228" s="437"/>
      <c r="BK228" s="437"/>
      <c r="BL228" s="437"/>
      <c r="BM228" s="437"/>
      <c r="BN228" s="437"/>
      <c r="BO228" s="437"/>
      <c r="BP228" s="437"/>
      <c r="BQ228" s="437"/>
      <c r="BR228" s="437"/>
      <c r="BS228" s="437"/>
      <c r="BT228" s="437"/>
      <c r="BU228" s="437"/>
      <c r="BV228" s="437"/>
      <c r="BW228" s="437"/>
      <c r="BX228" s="437"/>
      <c r="BY228" s="437"/>
      <c r="BZ228" s="437"/>
      <c r="CA228" s="437"/>
      <c r="CB228" s="437"/>
      <c r="CC228" s="437"/>
      <c r="CD228" s="437"/>
      <c r="CE228" s="437"/>
      <c r="CF228" s="437"/>
      <c r="CG228" s="437"/>
      <c r="CH228" s="437"/>
      <c r="CI228" s="437"/>
      <c r="CJ228" s="437"/>
      <c r="CK228" s="437"/>
      <c r="CL228" s="437"/>
      <c r="CM228" s="437"/>
      <c r="CN228" s="437"/>
      <c r="CO228" s="437"/>
      <c r="CP228" s="437"/>
      <c r="CQ228" s="437"/>
      <c r="CR228" s="437"/>
      <c r="CS228" s="437"/>
      <c r="CT228" s="437"/>
      <c r="CU228" s="437"/>
      <c r="CV228" s="437"/>
      <c r="CW228" s="437"/>
      <c r="CX228" s="437"/>
      <c r="CY228" s="437"/>
      <c r="CZ228" s="437"/>
      <c r="DA228" s="437"/>
      <c r="DB228" s="437"/>
      <c r="DC228" s="437"/>
      <c r="DD228" s="437"/>
      <c r="DE228" s="437"/>
      <c r="DF228" s="437"/>
      <c r="DG228" s="437"/>
      <c r="DH228" s="437"/>
      <c r="DI228" s="437"/>
      <c r="DJ228" s="437"/>
      <c r="DK228" s="437"/>
      <c r="DL228" s="437"/>
      <c r="DM228" s="437"/>
      <c r="DN228" s="437"/>
      <c r="DO228" s="437"/>
    </row>
    <row r="229" spans="1:119" ht="18.75">
      <c r="B229" s="435"/>
      <c r="C229" s="436"/>
      <c r="D229" s="436"/>
      <c r="E229" s="436"/>
      <c r="F229" s="436"/>
      <c r="G229" s="436"/>
      <c r="H229" s="436"/>
      <c r="I229" s="436"/>
      <c r="J229" s="436"/>
      <c r="K229" s="436"/>
      <c r="L229" s="436"/>
      <c r="M229" s="436"/>
      <c r="N229" s="436"/>
      <c r="O229" s="436"/>
      <c r="P229" s="436"/>
      <c r="Q229" s="436"/>
      <c r="R229" s="436"/>
      <c r="S229" s="436"/>
      <c r="T229" s="436"/>
      <c r="U229" s="436"/>
      <c r="V229" s="436"/>
      <c r="W229" s="436"/>
      <c r="X229" s="436"/>
      <c r="Y229" s="436"/>
      <c r="Z229" s="436"/>
      <c r="AA229" s="436"/>
      <c r="AB229" s="436"/>
      <c r="AC229" s="436"/>
      <c r="AD229" s="436"/>
      <c r="AE229" s="436"/>
      <c r="AF229" s="436"/>
      <c r="AG229" s="436"/>
      <c r="AH229" s="436"/>
      <c r="AI229" s="436"/>
      <c r="AJ229" s="436"/>
      <c r="AK229" s="436"/>
      <c r="AL229" s="436"/>
      <c r="AM229" s="436"/>
      <c r="AN229" s="436"/>
      <c r="AO229" s="436"/>
      <c r="AP229" s="436"/>
      <c r="AQ229" s="436"/>
      <c r="AR229" s="436"/>
      <c r="AS229" s="436"/>
      <c r="AT229" s="436"/>
      <c r="AU229" s="436"/>
      <c r="AV229" s="436"/>
      <c r="AW229" s="436"/>
      <c r="AX229" s="436"/>
      <c r="AY229" s="436"/>
      <c r="AZ229" s="436"/>
      <c r="BA229" s="436"/>
      <c r="BB229" s="436"/>
      <c r="BC229" s="436"/>
      <c r="BD229" s="437"/>
      <c r="BE229" s="437"/>
      <c r="BF229" s="437"/>
      <c r="BG229" s="437"/>
      <c r="BH229" s="437"/>
      <c r="BI229" s="437"/>
      <c r="BJ229" s="437"/>
      <c r="BK229" s="437"/>
      <c r="BL229" s="437"/>
      <c r="BM229" s="437"/>
      <c r="BN229" s="437"/>
      <c r="BO229" s="437"/>
      <c r="BP229" s="437"/>
      <c r="BQ229" s="437"/>
      <c r="BR229" s="437"/>
      <c r="BS229" s="437"/>
      <c r="BT229" s="437"/>
      <c r="BU229" s="437"/>
      <c r="BV229" s="437"/>
      <c r="BW229" s="437"/>
      <c r="BX229" s="437"/>
      <c r="BY229" s="437"/>
      <c r="BZ229" s="437"/>
      <c r="CA229" s="437"/>
      <c r="CB229" s="437"/>
      <c r="CC229" s="437"/>
      <c r="CD229" s="437"/>
      <c r="CE229" s="437"/>
      <c r="CF229" s="437"/>
      <c r="CG229" s="437"/>
      <c r="CH229" s="437"/>
      <c r="CI229" s="437"/>
      <c r="CJ229" s="437"/>
      <c r="CK229" s="437"/>
      <c r="CL229" s="437"/>
      <c r="CM229" s="437"/>
      <c r="CN229" s="437"/>
      <c r="CO229" s="437"/>
      <c r="CP229" s="437"/>
      <c r="CQ229" s="437"/>
      <c r="CR229" s="437"/>
      <c r="CS229" s="437"/>
      <c r="CT229" s="437"/>
      <c r="CU229" s="437"/>
      <c r="CV229" s="437"/>
      <c r="CW229" s="437"/>
      <c r="CX229" s="437"/>
      <c r="CY229" s="437"/>
      <c r="CZ229" s="437"/>
      <c r="DA229" s="437"/>
      <c r="DB229" s="437"/>
      <c r="DC229" s="437"/>
      <c r="DD229" s="437"/>
      <c r="DE229" s="437"/>
      <c r="DF229" s="437"/>
      <c r="DG229" s="437"/>
      <c r="DH229" s="437"/>
      <c r="DI229" s="437"/>
      <c r="DJ229" s="437"/>
      <c r="DK229" s="437"/>
      <c r="DL229" s="437"/>
      <c r="DM229" s="437"/>
      <c r="DN229" s="437"/>
      <c r="DO229" s="437"/>
    </row>
    <row r="230" spans="1:119" ht="18.75">
      <c r="B230" s="435"/>
      <c r="C230" s="436"/>
      <c r="D230" s="436"/>
      <c r="E230" s="436"/>
      <c r="F230" s="436"/>
      <c r="G230" s="436"/>
      <c r="H230" s="436"/>
      <c r="I230" s="436"/>
      <c r="J230" s="436"/>
      <c r="K230" s="436"/>
      <c r="L230" s="436"/>
      <c r="M230" s="436"/>
      <c r="N230" s="436"/>
      <c r="O230" s="436"/>
      <c r="P230" s="436"/>
      <c r="Q230" s="436"/>
      <c r="R230" s="310"/>
      <c r="S230" s="436"/>
      <c r="T230" s="436"/>
      <c r="U230" s="436"/>
      <c r="V230" s="436"/>
      <c r="W230" s="436"/>
      <c r="X230" s="436"/>
      <c r="Y230" s="436"/>
      <c r="Z230" s="436"/>
      <c r="AA230" s="436"/>
      <c r="AB230" s="436"/>
      <c r="AC230" s="436"/>
      <c r="AD230" s="436"/>
      <c r="AE230" s="436"/>
      <c r="AF230" s="436"/>
      <c r="AG230" s="436"/>
      <c r="AH230" s="436"/>
      <c r="AI230" s="436"/>
      <c r="AJ230" s="436"/>
      <c r="AK230" s="436"/>
      <c r="AL230" s="436"/>
      <c r="AM230" s="436"/>
      <c r="AN230" s="436"/>
      <c r="AO230" s="436"/>
      <c r="AP230" s="436"/>
      <c r="AQ230" s="436"/>
      <c r="AR230" s="436"/>
      <c r="AS230" s="436"/>
      <c r="AT230" s="436"/>
      <c r="AU230" s="436"/>
      <c r="AV230" s="436"/>
      <c r="AW230" s="436"/>
      <c r="AX230" s="436"/>
      <c r="AY230" s="436"/>
      <c r="AZ230" s="436"/>
      <c r="BA230" s="436"/>
      <c r="BB230" s="436"/>
      <c r="BC230" s="436"/>
      <c r="BD230" s="437"/>
      <c r="BE230" s="437"/>
      <c r="BF230" s="437"/>
      <c r="BG230" s="437"/>
      <c r="BH230" s="437"/>
      <c r="BI230" s="437"/>
      <c r="BJ230" s="437"/>
      <c r="BK230" s="437"/>
      <c r="BL230" s="437"/>
      <c r="BM230" s="437"/>
      <c r="BN230" s="437"/>
      <c r="BO230" s="437"/>
      <c r="BP230" s="437"/>
      <c r="BQ230" s="437"/>
      <c r="BR230" s="437"/>
      <c r="BS230" s="437"/>
      <c r="BT230" s="437"/>
      <c r="BU230" s="437"/>
      <c r="BV230" s="437"/>
      <c r="BW230" s="437"/>
      <c r="BX230" s="437"/>
      <c r="BY230" s="437"/>
      <c r="BZ230" s="437"/>
      <c r="CA230" s="437"/>
      <c r="CB230" s="437"/>
      <c r="CC230" s="437"/>
      <c r="CD230" s="437"/>
      <c r="CE230" s="437"/>
      <c r="CF230" s="437"/>
      <c r="CG230" s="437"/>
      <c r="CH230" s="437"/>
      <c r="CI230" s="437"/>
      <c r="CJ230" s="437"/>
      <c r="CK230" s="437"/>
      <c r="CL230" s="437"/>
      <c r="CM230" s="437"/>
      <c r="CN230" s="437"/>
      <c r="CO230" s="437"/>
      <c r="CP230" s="437"/>
      <c r="CQ230" s="437"/>
      <c r="CR230" s="437"/>
      <c r="CS230" s="437"/>
      <c r="CT230" s="437"/>
      <c r="CU230" s="437"/>
      <c r="CV230" s="437"/>
      <c r="CW230" s="437"/>
      <c r="CX230" s="437"/>
      <c r="CY230" s="437"/>
      <c r="CZ230" s="437"/>
      <c r="DA230" s="437"/>
      <c r="DB230" s="437"/>
      <c r="DC230" s="437"/>
      <c r="DD230" s="437"/>
      <c r="DE230" s="437"/>
      <c r="DF230" s="437"/>
      <c r="DG230" s="437"/>
      <c r="DH230" s="437"/>
      <c r="DI230" s="437"/>
      <c r="DJ230" s="437"/>
      <c r="DK230" s="437"/>
      <c r="DL230" s="437"/>
      <c r="DM230" s="437"/>
      <c r="DN230" s="437"/>
      <c r="DO230" s="437"/>
    </row>
    <row r="231" spans="1:119" ht="18.75">
      <c r="B231" s="435"/>
      <c r="C231" s="436"/>
      <c r="D231" s="436"/>
      <c r="E231" s="436"/>
      <c r="F231" s="436"/>
      <c r="G231" s="436"/>
      <c r="H231" s="436"/>
      <c r="I231" s="436"/>
      <c r="J231" s="436"/>
      <c r="K231" s="436"/>
      <c r="L231" s="436"/>
      <c r="M231" s="436"/>
      <c r="N231" s="436"/>
      <c r="O231" s="436"/>
      <c r="P231" s="436"/>
      <c r="Q231" s="436"/>
      <c r="R231" s="436"/>
      <c r="S231" s="436"/>
      <c r="T231" s="436"/>
      <c r="U231" s="436"/>
      <c r="V231" s="436"/>
      <c r="W231" s="436"/>
      <c r="X231" s="436"/>
      <c r="Y231" s="436"/>
      <c r="Z231" s="436"/>
      <c r="AA231" s="436"/>
      <c r="AB231" s="436"/>
      <c r="AC231" s="436"/>
      <c r="AD231" s="436"/>
      <c r="AE231" s="436"/>
      <c r="AF231" s="436"/>
      <c r="AG231" s="436"/>
      <c r="AH231" s="436"/>
      <c r="AI231" s="436"/>
      <c r="AJ231" s="436"/>
      <c r="AK231" s="436"/>
      <c r="AL231" s="436"/>
      <c r="AM231" s="436"/>
      <c r="AN231" s="436"/>
      <c r="AO231" s="436"/>
      <c r="AP231" s="436"/>
      <c r="AQ231" s="436"/>
      <c r="AR231" s="436"/>
      <c r="AS231" s="436"/>
      <c r="AT231" s="436"/>
      <c r="AU231" s="436"/>
      <c r="AV231" s="436"/>
      <c r="AW231" s="436"/>
      <c r="AX231" s="436"/>
      <c r="AY231" s="436"/>
      <c r="AZ231" s="436"/>
      <c r="BA231" s="436"/>
      <c r="BB231" s="436"/>
      <c r="BC231" s="436"/>
      <c r="BD231" s="437"/>
      <c r="BE231" s="437"/>
      <c r="BF231" s="437"/>
      <c r="BG231" s="437"/>
      <c r="BH231" s="437"/>
      <c r="BI231" s="437"/>
      <c r="BJ231" s="437"/>
      <c r="BK231" s="437"/>
      <c r="BL231" s="437"/>
      <c r="BM231" s="437"/>
      <c r="BN231" s="437"/>
      <c r="BO231" s="437"/>
      <c r="BP231" s="437"/>
      <c r="BQ231" s="437"/>
      <c r="BR231" s="437"/>
      <c r="BS231" s="437"/>
      <c r="BT231" s="437"/>
      <c r="BU231" s="437"/>
      <c r="BV231" s="437"/>
      <c r="BW231" s="437"/>
      <c r="BX231" s="437"/>
      <c r="BY231" s="437"/>
      <c r="BZ231" s="437"/>
      <c r="CA231" s="437"/>
      <c r="CB231" s="437"/>
      <c r="CC231" s="437"/>
      <c r="CD231" s="437"/>
      <c r="CE231" s="437"/>
      <c r="CF231" s="437"/>
      <c r="CG231" s="437"/>
      <c r="CH231" s="437"/>
      <c r="CI231" s="437"/>
      <c r="CJ231" s="437"/>
      <c r="CK231" s="437"/>
      <c r="CL231" s="437"/>
      <c r="CM231" s="437"/>
      <c r="CN231" s="437"/>
      <c r="CO231" s="437"/>
      <c r="CP231" s="437"/>
      <c r="CQ231" s="437"/>
      <c r="CR231" s="437"/>
      <c r="CS231" s="437"/>
      <c r="CT231" s="437"/>
      <c r="CU231" s="437"/>
      <c r="CV231" s="437"/>
      <c r="CW231" s="437"/>
      <c r="CX231" s="437"/>
      <c r="CY231" s="437"/>
      <c r="CZ231" s="437"/>
      <c r="DA231" s="437"/>
      <c r="DB231" s="437"/>
      <c r="DC231" s="437"/>
      <c r="DD231" s="437"/>
      <c r="DE231" s="437"/>
      <c r="DF231" s="437"/>
      <c r="DG231" s="437"/>
      <c r="DH231" s="437"/>
      <c r="DI231" s="437"/>
      <c r="DJ231" s="437"/>
      <c r="DK231" s="437"/>
      <c r="DL231" s="437"/>
      <c r="DM231" s="437"/>
      <c r="DN231" s="437"/>
      <c r="DO231" s="437"/>
    </row>
    <row r="233" spans="1:119">
      <c r="B233" s="317" t="s">
        <v>646</v>
      </c>
    </row>
    <row r="234" spans="1:119">
      <c r="B234" s="654"/>
    </row>
    <row r="235" spans="1:119">
      <c r="B235" s="654"/>
    </row>
    <row r="236" spans="1:119">
      <c r="B236" s="654"/>
    </row>
    <row r="237" spans="1:119">
      <c r="B237" s="654"/>
    </row>
    <row r="238" spans="1:119">
      <c r="B238" s="654"/>
      <c r="BF238" s="327" t="s">
        <v>215</v>
      </c>
      <c r="BG238" s="327" t="s">
        <v>214</v>
      </c>
      <c r="BH238" s="327" t="s">
        <v>213</v>
      </c>
      <c r="BI238" s="327" t="s">
        <v>212</v>
      </c>
      <c r="BJ238" s="327"/>
      <c r="BK238" s="327" t="s">
        <v>352</v>
      </c>
      <c r="BL238" s="327" t="s">
        <v>353</v>
      </c>
      <c r="BM238" s="327"/>
      <c r="BN238" s="327"/>
      <c r="BO238" s="327"/>
      <c r="BP238" s="327"/>
      <c r="BQ238" s="327"/>
      <c r="BR238" s="327"/>
      <c r="BS238" s="327"/>
      <c r="BT238" s="327"/>
      <c r="BU238" s="327"/>
      <c r="BV238" s="327"/>
      <c r="BW238" s="327"/>
      <c r="BX238" s="327"/>
      <c r="BY238" s="327"/>
      <c r="BZ238" s="328"/>
      <c r="CA238" s="328"/>
      <c r="CB238" s="328"/>
      <c r="CC238" s="328"/>
      <c r="CD238" s="328"/>
      <c r="CE238" s="315" t="s">
        <v>211</v>
      </c>
      <c r="CF238" s="315" t="s">
        <v>210</v>
      </c>
      <c r="CG238" s="315"/>
      <c r="CH238" s="315" t="s">
        <v>209</v>
      </c>
      <c r="CI238" s="315" t="s">
        <v>1439</v>
      </c>
      <c r="CJ238" s="315" t="s">
        <v>208</v>
      </c>
      <c r="CK238" s="315"/>
      <c r="CL238" s="315"/>
      <c r="CM238" s="315"/>
      <c r="CN238" s="315"/>
      <c r="CO238" s="315"/>
      <c r="CP238" s="315"/>
      <c r="CQ238" s="315"/>
      <c r="CR238" s="315"/>
      <c r="CS238" s="315"/>
      <c r="CT238" s="315"/>
      <c r="CU238" s="315"/>
      <c r="CV238" s="315"/>
      <c r="CW238" s="315"/>
      <c r="CX238" s="315"/>
      <c r="CY238" s="321"/>
      <c r="CZ238" s="321"/>
      <c r="DA238" s="321"/>
      <c r="DB238" s="321"/>
      <c r="DC238" s="321"/>
      <c r="DD238" s="321"/>
      <c r="DE238" s="321"/>
      <c r="DF238" s="321"/>
      <c r="DG238" s="321"/>
    </row>
    <row r="239" spans="1:119">
      <c r="B239" s="654"/>
      <c r="BF239" s="323">
        <f>8.1*5.6</f>
        <v>45.359999999999992</v>
      </c>
      <c r="BG239" s="313">
        <f>7.9*4.4</f>
        <v>34.760000000000005</v>
      </c>
      <c r="BH239" s="323">
        <f>2.1*4.4</f>
        <v>9.240000000000002</v>
      </c>
      <c r="BI239" s="313">
        <f>2.1*2.55</f>
        <v>5.3549999999999995</v>
      </c>
      <c r="BJ239" s="313"/>
      <c r="BK239" s="313">
        <f>1.3*2.55</f>
        <v>3.3149999999999999</v>
      </c>
      <c r="BL239" s="313">
        <f>3*2.5</f>
        <v>7.5</v>
      </c>
      <c r="BM239" s="313"/>
      <c r="BN239" s="313"/>
      <c r="BO239" s="313"/>
      <c r="BP239" s="313"/>
      <c r="BQ239" s="313"/>
      <c r="BR239" s="313"/>
      <c r="BS239" s="313"/>
      <c r="BT239" s="313"/>
      <c r="BU239" s="313"/>
      <c r="BV239" s="313"/>
      <c r="BW239" s="313"/>
      <c r="BX239" s="313"/>
      <c r="BY239" s="313"/>
      <c r="BZ239" s="313"/>
      <c r="CA239" s="313"/>
      <c r="CB239" s="313"/>
      <c r="CC239" s="313"/>
      <c r="CD239" s="313"/>
      <c r="CE239" s="323">
        <f>7.9*3.85</f>
        <v>30.415000000000003</v>
      </c>
      <c r="CF239" s="323">
        <f>7.9*3.85</f>
        <v>30.415000000000003</v>
      </c>
      <c r="CG239" s="323"/>
      <c r="CH239" s="313">
        <f>8.1*4.4</f>
        <v>35.64</v>
      </c>
      <c r="CI239" s="313">
        <f>8.1*5.6</f>
        <v>45.359999999999992</v>
      </c>
      <c r="CJ239" s="323">
        <f>1.8*1.25</f>
        <v>2.25</v>
      </c>
      <c r="CK239" s="323"/>
      <c r="CL239" s="323"/>
      <c r="CM239" s="323"/>
      <c r="CN239" s="313"/>
      <c r="CO239" s="323"/>
      <c r="CP239" s="323"/>
      <c r="CQ239" s="323"/>
      <c r="CR239" s="323"/>
      <c r="CS239" s="313"/>
      <c r="CT239" s="313"/>
      <c r="CU239" s="323"/>
      <c r="CV239" s="323"/>
      <c r="CW239" s="323"/>
      <c r="CX239" s="323"/>
      <c r="CY239" s="323"/>
      <c r="CZ239" s="323"/>
      <c r="DA239" s="323"/>
      <c r="DB239" s="323"/>
      <c r="DC239" s="323"/>
      <c r="DD239" s="323"/>
      <c r="DE239" s="323"/>
      <c r="DF239" s="323"/>
      <c r="DG239" s="323"/>
    </row>
    <row r="240" spans="1:119">
      <c r="B240" s="654"/>
      <c r="BF240" s="325">
        <v>8.1</v>
      </c>
      <c r="BG240" s="325">
        <v>7.9</v>
      </c>
      <c r="BH240" s="325">
        <v>2.1</v>
      </c>
      <c r="BI240" s="325">
        <v>2.1</v>
      </c>
      <c r="BJ240" s="325"/>
      <c r="BK240" s="325">
        <v>1.3</v>
      </c>
      <c r="BL240" s="325">
        <v>3</v>
      </c>
      <c r="BM240" s="325"/>
      <c r="BN240" s="325"/>
      <c r="BO240" s="325"/>
      <c r="BP240" s="325"/>
      <c r="BQ240" s="325"/>
      <c r="BR240" s="325"/>
      <c r="BS240" s="325"/>
      <c r="BT240" s="325"/>
      <c r="BU240" s="325"/>
      <c r="BV240" s="325"/>
      <c r="BW240" s="325"/>
      <c r="BX240" s="325"/>
      <c r="BY240" s="325"/>
      <c r="BZ240" s="325"/>
      <c r="CA240" s="325"/>
      <c r="CB240" s="325"/>
      <c r="CC240" s="325"/>
      <c r="CD240" s="325"/>
      <c r="CE240" s="339">
        <f>7.9*2</f>
        <v>15.8</v>
      </c>
      <c r="CF240" s="339">
        <f>7.9*2</f>
        <v>15.8</v>
      </c>
      <c r="CG240" s="339"/>
      <c r="CH240" s="325">
        <f>8.1*2</f>
        <v>16.2</v>
      </c>
      <c r="CI240" s="325">
        <f>8.1*2</f>
        <v>16.2</v>
      </c>
      <c r="CJ240" s="339">
        <f>1.8*2</f>
        <v>3.6</v>
      </c>
      <c r="CK240" s="339"/>
      <c r="CL240" s="339"/>
      <c r="CM240" s="339"/>
      <c r="CN240" s="325"/>
      <c r="CO240" s="339"/>
      <c r="CP240" s="339"/>
      <c r="CQ240" s="339"/>
      <c r="CR240" s="339"/>
      <c r="CS240" s="325"/>
      <c r="CT240" s="325"/>
      <c r="CU240" s="339"/>
      <c r="CV240" s="339"/>
      <c r="CW240" s="339"/>
      <c r="CX240" s="325"/>
      <c r="CY240" s="325"/>
      <c r="CZ240" s="325"/>
      <c r="DA240" s="325"/>
      <c r="DB240" s="325"/>
      <c r="DC240" s="325"/>
      <c r="DD240" s="325"/>
      <c r="DE240" s="325"/>
      <c r="DF240" s="325"/>
      <c r="DG240" s="325"/>
    </row>
    <row r="241" spans="1:128">
      <c r="B241" s="654"/>
      <c r="BF241" s="325">
        <f>5.6*2</f>
        <v>11.2</v>
      </c>
      <c r="BG241" s="325">
        <f>4.4*2</f>
        <v>8.8000000000000007</v>
      </c>
      <c r="BH241" s="325">
        <f>4.4*2</f>
        <v>8.8000000000000007</v>
      </c>
      <c r="BI241" s="325">
        <f>2.55*2</f>
        <v>5.0999999999999996</v>
      </c>
      <c r="BJ241" s="325"/>
      <c r="BK241" s="325">
        <f>2.55*2</f>
        <v>5.0999999999999996</v>
      </c>
      <c r="BL241" s="325">
        <f>2.5*2</f>
        <v>5</v>
      </c>
      <c r="BM241" s="325"/>
      <c r="BN241" s="325"/>
      <c r="BO241" s="325"/>
      <c r="BP241" s="325"/>
      <c r="BQ241" s="325"/>
      <c r="BR241" s="325"/>
      <c r="BS241" s="325"/>
      <c r="BT241" s="325"/>
      <c r="BU241" s="325"/>
      <c r="BV241" s="325"/>
      <c r="BW241" s="325"/>
      <c r="BX241" s="325"/>
      <c r="BY241" s="325"/>
      <c r="BZ241" s="325"/>
      <c r="CA241" s="325"/>
      <c r="CB241" s="325"/>
      <c r="CC241" s="325"/>
      <c r="CD241" s="325"/>
      <c r="CE241" s="339">
        <f>3.85*2</f>
        <v>7.7</v>
      </c>
      <c r="CF241" s="339">
        <f>3.85*2</f>
        <v>7.7</v>
      </c>
      <c r="CG241" s="339"/>
      <c r="CH241" s="339">
        <f>4.4*2</f>
        <v>8.8000000000000007</v>
      </c>
      <c r="CI241" s="339">
        <f>5.6*2</f>
        <v>11.2</v>
      </c>
      <c r="CJ241" s="339">
        <f>1.25*2</f>
        <v>2.5</v>
      </c>
      <c r="CK241" s="339"/>
      <c r="CL241" s="339"/>
      <c r="CM241" s="339"/>
      <c r="CN241" s="325"/>
      <c r="CO241" s="339"/>
      <c r="CP241" s="339"/>
      <c r="CQ241" s="339"/>
      <c r="CR241" s="339"/>
      <c r="CS241" s="325"/>
      <c r="CT241" s="339"/>
      <c r="CU241" s="339"/>
      <c r="CV241" s="339"/>
      <c r="CW241" s="339"/>
      <c r="CX241" s="339"/>
      <c r="CY241" s="325"/>
      <c r="CZ241" s="325"/>
      <c r="DA241" s="325"/>
      <c r="DB241" s="325"/>
      <c r="DC241" s="325"/>
      <c r="DD241" s="325"/>
      <c r="DE241" s="325"/>
      <c r="DF241" s="325"/>
      <c r="DG241" s="325"/>
    </row>
    <row r="242" spans="1:128">
      <c r="B242" s="654"/>
      <c r="BF242" s="329" t="s">
        <v>186</v>
      </c>
      <c r="BG242" s="329" t="s">
        <v>186</v>
      </c>
      <c r="BH242" s="329" t="s">
        <v>186</v>
      </c>
      <c r="BI242" s="329" t="s">
        <v>186</v>
      </c>
      <c r="BJ242" s="329"/>
      <c r="BK242" s="329" t="s">
        <v>186</v>
      </c>
      <c r="BL242" s="329" t="s">
        <v>186</v>
      </c>
      <c r="BM242" s="329"/>
      <c r="BN242" s="329"/>
      <c r="BO242" s="329"/>
      <c r="BP242" s="329"/>
      <c r="BQ242" s="329"/>
      <c r="BR242" s="329"/>
      <c r="BS242" s="329"/>
      <c r="BT242" s="329"/>
      <c r="BU242" s="329"/>
      <c r="BV242" s="329"/>
      <c r="BW242" s="329"/>
      <c r="BX242" s="329"/>
      <c r="BY242" s="329"/>
      <c r="BZ242" s="329"/>
      <c r="CA242" s="329"/>
      <c r="CB242" s="329"/>
      <c r="CC242" s="329"/>
      <c r="CD242" s="329"/>
      <c r="CE242" s="329" t="s">
        <v>186</v>
      </c>
      <c r="CF242" s="329" t="s">
        <v>186</v>
      </c>
      <c r="CG242" s="329"/>
      <c r="CH242" s="329" t="s">
        <v>186</v>
      </c>
      <c r="CI242" s="329" t="s">
        <v>186</v>
      </c>
      <c r="CJ242" s="329" t="s">
        <v>186</v>
      </c>
      <c r="CK242" s="329"/>
      <c r="CL242" s="329"/>
      <c r="CM242" s="329"/>
      <c r="CN242" s="329"/>
      <c r="CO242" s="329"/>
      <c r="CP242" s="329"/>
      <c r="CQ242" s="329"/>
      <c r="CR242" s="329"/>
      <c r="CS242" s="329"/>
      <c r="CT242" s="329"/>
      <c r="CU242" s="329"/>
      <c r="CV242" s="329"/>
      <c r="CW242" s="329"/>
      <c r="CX242" s="329"/>
      <c r="CY242" s="329"/>
      <c r="CZ242" s="329"/>
      <c r="DA242" s="329"/>
      <c r="DB242" s="329"/>
      <c r="DC242" s="329"/>
      <c r="DD242" s="329"/>
      <c r="DE242" s="329"/>
      <c r="DF242" s="329"/>
      <c r="DG242" s="329"/>
    </row>
    <row r="243" spans="1:128">
      <c r="B243" s="654"/>
    </row>
    <row r="244" spans="1:128" ht="20.25">
      <c r="A244" s="343"/>
      <c r="B244" s="344"/>
      <c r="C244" s="345"/>
      <c r="D244" s="346"/>
      <c r="E244" s="346"/>
      <c r="F244" s="346"/>
      <c r="G244" s="346"/>
      <c r="H244" s="346"/>
      <c r="I244" s="346"/>
      <c r="J244" s="346"/>
      <c r="K244" s="346"/>
      <c r="L244" s="346"/>
      <c r="M244" s="346"/>
      <c r="N244" s="346"/>
      <c r="O244" s="346"/>
      <c r="P244" s="347"/>
      <c r="Q244" s="347"/>
      <c r="R244" s="347"/>
      <c r="S244" s="347"/>
      <c r="T244" s="348"/>
      <c r="U244" s="349"/>
      <c r="V244" s="349"/>
      <c r="W244" s="349"/>
      <c r="X244" s="345"/>
      <c r="Y244" s="345"/>
      <c r="Z244" s="345"/>
      <c r="AA244" s="345"/>
      <c r="AB244" s="345"/>
      <c r="AC244" s="345"/>
      <c r="AD244" s="345"/>
      <c r="AE244" s="345"/>
      <c r="AF244" s="345"/>
      <c r="AG244" s="345"/>
      <c r="AH244" s="345"/>
      <c r="AI244" s="345"/>
      <c r="AJ244" s="345"/>
      <c r="AK244" s="345"/>
      <c r="AL244" s="345"/>
      <c r="AM244" s="345"/>
      <c r="AN244" s="345"/>
      <c r="AO244" s="345"/>
      <c r="AP244" s="345"/>
      <c r="AQ244" s="345"/>
      <c r="AR244" s="345"/>
      <c r="AS244" s="350"/>
      <c r="AT244" s="351"/>
      <c r="AU244" s="349"/>
      <c r="AV244" s="345"/>
      <c r="AW244" s="345"/>
      <c r="AX244" s="345"/>
      <c r="AY244" s="351"/>
      <c r="AZ244" s="349"/>
      <c r="BA244" s="345"/>
      <c r="BB244" s="350"/>
      <c r="BC244" s="351"/>
      <c r="BD244" s="352"/>
      <c r="BE244" s="353"/>
      <c r="BF244" s="353"/>
      <c r="BG244" s="353"/>
      <c r="BH244" s="353"/>
      <c r="BI244" s="353"/>
      <c r="BJ244" s="353"/>
      <c r="BK244" s="353"/>
      <c r="BL244" s="353"/>
      <c r="BM244" s="353"/>
      <c r="BN244" s="353"/>
      <c r="BO244" s="353"/>
      <c r="BP244" s="353"/>
      <c r="BQ244" s="353"/>
      <c r="BR244" s="353"/>
      <c r="BS244" s="353"/>
      <c r="BT244" s="353"/>
      <c r="BU244" s="353"/>
      <c r="BV244" s="353"/>
      <c r="BW244" s="353"/>
      <c r="BX244" s="353"/>
      <c r="BY244" s="353"/>
      <c r="BZ244" s="353"/>
      <c r="CA244" s="353"/>
      <c r="CB244" s="353"/>
      <c r="CC244" s="353"/>
      <c r="CD244" s="353"/>
      <c r="CE244" s="353"/>
      <c r="CF244" s="353"/>
      <c r="CG244" s="353"/>
      <c r="CH244" s="353"/>
      <c r="CI244" s="353"/>
      <c r="CJ244" s="353"/>
      <c r="CK244" s="353"/>
      <c r="CL244" s="353"/>
      <c r="CM244" s="353"/>
      <c r="CN244" s="353"/>
      <c r="CO244" s="353"/>
      <c r="CP244" s="353"/>
      <c r="CQ244" s="353"/>
      <c r="CR244" s="353"/>
      <c r="CS244" s="353"/>
      <c r="CT244" s="353"/>
      <c r="CU244" s="353"/>
      <c r="CV244" s="353"/>
      <c r="CW244" s="353"/>
      <c r="CX244" s="353"/>
      <c r="CY244" s="353"/>
      <c r="CZ244" s="353"/>
      <c r="DA244" s="353"/>
      <c r="DB244" s="353"/>
      <c r="DC244" s="353"/>
      <c r="DD244" s="353"/>
      <c r="DE244" s="353"/>
      <c r="DF244" s="353"/>
      <c r="DG244" s="353"/>
      <c r="DH244" s="353"/>
      <c r="DI244" s="353"/>
      <c r="DJ244" s="353"/>
      <c r="DK244" s="353"/>
      <c r="DL244" s="353"/>
      <c r="DM244" s="353"/>
      <c r="DN244" s="353"/>
      <c r="DO244" s="353"/>
    </row>
    <row r="245" spans="1:128">
      <c r="A245" s="355"/>
      <c r="B245" s="356" t="s">
        <v>185</v>
      </c>
      <c r="C245" s="357"/>
      <c r="D245" s="358"/>
      <c r="E245" s="358"/>
      <c r="F245" s="358"/>
      <c r="G245" s="358"/>
      <c r="H245" s="358"/>
      <c r="I245" s="358"/>
      <c r="J245" s="358"/>
      <c r="K245" s="358"/>
      <c r="L245" s="358"/>
      <c r="M245" s="358"/>
      <c r="N245" s="358"/>
      <c r="O245" s="358"/>
      <c r="P245" s="359"/>
      <c r="Q245" s="359"/>
      <c r="R245" s="359"/>
      <c r="S245" s="359"/>
      <c r="T245" s="360"/>
      <c r="U245" s="361"/>
      <c r="V245" s="361"/>
      <c r="W245" s="361"/>
      <c r="X245" s="357"/>
      <c r="Y245" s="357"/>
      <c r="Z245" s="357"/>
      <c r="AA245" s="357"/>
      <c r="AB245" s="357"/>
      <c r="AC245" s="357"/>
      <c r="AD245" s="357"/>
      <c r="AE245" s="357"/>
      <c r="AF245" s="357"/>
      <c r="AG245" s="357"/>
      <c r="AH245" s="357"/>
      <c r="AI245" s="357"/>
      <c r="AJ245" s="357"/>
      <c r="AK245" s="357"/>
      <c r="AL245" s="357"/>
      <c r="AM245" s="357"/>
      <c r="AN245" s="357"/>
      <c r="AO245" s="357"/>
      <c r="AP245" s="357"/>
      <c r="AQ245" s="357"/>
      <c r="AR245" s="357"/>
      <c r="AS245" s="362"/>
      <c r="AT245" s="360"/>
      <c r="AU245" s="363"/>
      <c r="AV245" s="364"/>
      <c r="AW245" s="364"/>
      <c r="AX245" s="364"/>
      <c r="AY245" s="365"/>
      <c r="AZ245" s="363"/>
      <c r="BA245" s="364"/>
      <c r="BB245" s="395"/>
      <c r="BC245" s="365"/>
      <c r="BD245" s="366"/>
      <c r="BE245" s="358"/>
      <c r="BF245" s="358"/>
      <c r="BG245" s="358"/>
      <c r="BH245" s="358"/>
      <c r="BI245" s="358"/>
      <c r="BJ245" s="358"/>
      <c r="BK245" s="358"/>
      <c r="BL245" s="358"/>
      <c r="BM245" s="358"/>
      <c r="BN245" s="358"/>
      <c r="BO245" s="358"/>
      <c r="BP245" s="358"/>
      <c r="BQ245" s="358"/>
      <c r="BR245" s="358"/>
      <c r="BS245" s="358"/>
      <c r="BT245" s="358"/>
      <c r="BU245" s="358"/>
      <c r="BV245" s="358"/>
      <c r="BW245" s="358"/>
      <c r="BX245" s="358"/>
      <c r="BY245" s="358"/>
      <c r="BZ245" s="358"/>
      <c r="CA245" s="358"/>
      <c r="CB245" s="358"/>
      <c r="CC245" s="358"/>
      <c r="CD245" s="358"/>
      <c r="CE245" s="358"/>
      <c r="CF245" s="358"/>
      <c r="CG245" s="358"/>
      <c r="CH245" s="358"/>
      <c r="CI245" s="358"/>
      <c r="CJ245" s="358"/>
      <c r="CK245" s="358"/>
      <c r="CL245" s="358"/>
      <c r="CM245" s="358"/>
      <c r="CN245" s="358"/>
      <c r="CO245" s="358"/>
      <c r="CP245" s="358"/>
      <c r="CQ245" s="358"/>
      <c r="CR245" s="358"/>
      <c r="CS245" s="358"/>
      <c r="CT245" s="358"/>
      <c r="CU245" s="358"/>
      <c r="CV245" s="358"/>
      <c r="CW245" s="358"/>
      <c r="CX245" s="358"/>
      <c r="CY245" s="358"/>
      <c r="CZ245" s="358"/>
      <c r="DA245" s="358"/>
      <c r="DB245" s="358"/>
      <c r="DC245" s="358"/>
      <c r="DD245" s="358"/>
      <c r="DE245" s="358"/>
      <c r="DF245" s="358"/>
      <c r="DG245" s="358"/>
      <c r="DH245" s="358"/>
      <c r="DI245" s="358"/>
      <c r="DJ245" s="358"/>
      <c r="DK245" s="358"/>
      <c r="DL245" s="358"/>
      <c r="DM245" s="358"/>
      <c r="DN245" s="358"/>
      <c r="DO245" s="358"/>
    </row>
    <row r="246" spans="1:128">
      <c r="A246" s="355"/>
      <c r="B246" s="366" t="s">
        <v>1431</v>
      </c>
      <c r="C246" s="357"/>
      <c r="D246" s="358"/>
      <c r="E246" s="358"/>
      <c r="F246" s="358"/>
      <c r="G246" s="358"/>
      <c r="H246" s="358">
        <f>ROUNDUP(164,0)</f>
        <v>164</v>
      </c>
      <c r="I246" s="358"/>
      <c r="J246" s="358"/>
      <c r="K246" s="358"/>
      <c r="L246" s="358"/>
      <c r="M246" s="358"/>
      <c r="N246" s="358"/>
      <c r="O246" s="358"/>
      <c r="P246" s="359"/>
      <c r="Q246" s="359"/>
      <c r="R246" s="359"/>
      <c r="S246" s="359"/>
      <c r="T246" s="360"/>
      <c r="U246" s="361"/>
      <c r="V246" s="361"/>
      <c r="W246" s="361"/>
      <c r="X246" s="357"/>
      <c r="Y246" s="357"/>
      <c r="Z246" s="357"/>
      <c r="AA246" s="357"/>
      <c r="AB246" s="357"/>
      <c r="AC246" s="357"/>
      <c r="AD246" s="357"/>
      <c r="AE246" s="357">
        <f>ROUNDUP(((2.4*4.4)*24)+((2.36*2.15)*4)+(2.36*11.6),0)</f>
        <v>302</v>
      </c>
      <c r="AF246" s="357"/>
      <c r="AG246" s="357"/>
      <c r="AH246" s="357"/>
      <c r="AI246" s="357"/>
      <c r="AJ246" s="357"/>
      <c r="AK246" s="357"/>
      <c r="AL246" s="357"/>
      <c r="AM246" s="357"/>
      <c r="AN246" s="357"/>
      <c r="AO246" s="357"/>
      <c r="AP246" s="357"/>
      <c r="AQ246" s="357"/>
      <c r="AR246" s="357"/>
      <c r="AS246" s="362"/>
      <c r="AT246" s="360"/>
      <c r="AU246" s="363"/>
      <c r="AV246" s="364"/>
      <c r="AW246" s="364">
        <f>H246</f>
        <v>164</v>
      </c>
      <c r="AX246" s="364"/>
      <c r="AY246" s="365"/>
      <c r="AZ246" s="363"/>
      <c r="BA246" s="364">
        <f>AE246</f>
        <v>302</v>
      </c>
      <c r="BB246" s="395"/>
      <c r="BC246" s="365">
        <f>SUM(AU246:AW246)</f>
        <v>164</v>
      </c>
      <c r="BD246" s="366"/>
      <c r="BE246" s="358"/>
      <c r="BF246" s="358"/>
      <c r="BG246" s="358"/>
      <c r="BH246" s="358"/>
      <c r="BI246" s="358"/>
      <c r="BJ246" s="358"/>
      <c r="BK246" s="358"/>
      <c r="BL246" s="358"/>
      <c r="BM246" s="358"/>
      <c r="BN246" s="358"/>
      <c r="BO246" s="358"/>
      <c r="BP246" s="358"/>
      <c r="BQ246" s="358"/>
      <c r="BR246" s="358"/>
      <c r="BS246" s="358"/>
      <c r="BT246" s="358"/>
      <c r="BU246" s="358"/>
      <c r="BV246" s="358"/>
      <c r="BW246" s="358"/>
      <c r="BX246" s="358"/>
      <c r="BY246" s="358"/>
      <c r="BZ246" s="358"/>
      <c r="CA246" s="358"/>
      <c r="CB246" s="358"/>
      <c r="CC246" s="358"/>
      <c r="CD246" s="358"/>
      <c r="CE246" s="358"/>
      <c r="CF246" s="358"/>
      <c r="CG246" s="358"/>
      <c r="CH246" s="358"/>
      <c r="CI246" s="358"/>
      <c r="CJ246" s="358"/>
      <c r="CK246" s="358"/>
      <c r="CL246" s="358"/>
      <c r="CM246" s="358"/>
      <c r="CN246" s="358"/>
      <c r="CO246" s="358"/>
      <c r="CP246" s="358"/>
      <c r="CQ246" s="358"/>
      <c r="CR246" s="358"/>
      <c r="CS246" s="358"/>
      <c r="CT246" s="358"/>
      <c r="CU246" s="358"/>
      <c r="CV246" s="358"/>
      <c r="CW246" s="358"/>
      <c r="CX246" s="358"/>
      <c r="CY246" s="358"/>
      <c r="CZ246" s="358"/>
      <c r="DA246" s="358"/>
      <c r="DB246" s="358"/>
      <c r="DC246" s="358"/>
      <c r="DD246" s="358"/>
      <c r="DE246" s="358"/>
      <c r="DF246" s="358"/>
      <c r="DG246" s="358"/>
      <c r="DH246" s="358"/>
      <c r="DI246" s="358"/>
      <c r="DJ246" s="358"/>
      <c r="DK246" s="358"/>
      <c r="DL246" s="358"/>
      <c r="DM246" s="358"/>
      <c r="DN246" s="358"/>
      <c r="DO246" s="358"/>
    </row>
    <row r="247" spans="1:128">
      <c r="A247" s="373"/>
      <c r="B247" s="361" t="s">
        <v>1432</v>
      </c>
      <c r="C247" s="357"/>
      <c r="D247" s="357"/>
      <c r="E247" s="357"/>
      <c r="F247" s="357"/>
      <c r="G247" s="357"/>
      <c r="H247" s="357">
        <v>35</v>
      </c>
      <c r="I247" s="357"/>
      <c r="J247" s="357"/>
      <c r="K247" s="357"/>
      <c r="L247" s="357"/>
      <c r="M247" s="357"/>
      <c r="N247" s="357"/>
      <c r="O247" s="357"/>
      <c r="P247" s="362"/>
      <c r="Q247" s="362"/>
      <c r="R247" s="362"/>
      <c r="S247" s="362"/>
      <c r="T247" s="360"/>
      <c r="U247" s="361"/>
      <c r="V247" s="361">
        <f>ROUNDUP((24.3*4.4)-(BI239+BK239),0)</f>
        <v>99</v>
      </c>
      <c r="W247" s="361"/>
      <c r="X247" s="357"/>
      <c r="Y247" s="357"/>
      <c r="Z247" s="357"/>
      <c r="AA247" s="357"/>
      <c r="AB247" s="357"/>
      <c r="AC247" s="357">
        <f>ROUNDUP((20.7*4.4)-BI239,0)</f>
        <v>86</v>
      </c>
      <c r="AD247" s="357">
        <f>V247</f>
        <v>99</v>
      </c>
      <c r="AE247" s="357"/>
      <c r="AF247" s="357"/>
      <c r="AG247" s="357"/>
      <c r="AH247" s="357"/>
      <c r="AI247" s="357"/>
      <c r="AJ247" s="357"/>
      <c r="AK247" s="357"/>
      <c r="AL247" s="357"/>
      <c r="AM247" s="357"/>
      <c r="AN247" s="357"/>
      <c r="AO247" s="357"/>
      <c r="AP247" s="357"/>
      <c r="AQ247" s="357"/>
      <c r="AR247" s="357">
        <f>ROUNDUP((4.4*5)+BI241,0)</f>
        <v>28</v>
      </c>
      <c r="AS247" s="362"/>
      <c r="AT247" s="360">
        <f>BI240</f>
        <v>2.1</v>
      </c>
      <c r="AU247" s="361"/>
      <c r="AV247" s="357"/>
      <c r="AW247" s="364">
        <f>H247</f>
        <v>35</v>
      </c>
      <c r="AX247" s="357"/>
      <c r="AY247" s="360"/>
      <c r="AZ247" s="361">
        <f>AD247</f>
        <v>99</v>
      </c>
      <c r="BA247" s="357">
        <f>AC247</f>
        <v>86</v>
      </c>
      <c r="BB247" s="362"/>
      <c r="BC247" s="365">
        <f>SUM(AU247:AW247)</f>
        <v>35</v>
      </c>
      <c r="BD247" s="380"/>
      <c r="BE247" s="381"/>
      <c r="BF247" s="381"/>
      <c r="BG247" s="381"/>
      <c r="BH247" s="381"/>
      <c r="BI247" s="381">
        <v>1</v>
      </c>
      <c r="BJ247" s="381"/>
      <c r="BK247" s="381"/>
      <c r="BL247" s="381"/>
      <c r="BM247" s="381"/>
      <c r="BN247" s="381"/>
      <c r="BO247" s="381"/>
      <c r="BP247" s="381"/>
      <c r="BQ247" s="381"/>
      <c r="BR247" s="381"/>
      <c r="BS247" s="381"/>
      <c r="BT247" s="381"/>
      <c r="BU247" s="381"/>
      <c r="BV247" s="381"/>
      <c r="BW247" s="381"/>
      <c r="BX247" s="381"/>
      <c r="BY247" s="381"/>
      <c r="BZ247" s="381"/>
      <c r="CA247" s="381"/>
      <c r="CB247" s="381"/>
      <c r="CC247" s="381"/>
      <c r="CD247" s="381"/>
      <c r="CE247" s="381"/>
      <c r="CF247" s="381"/>
      <c r="CG247" s="381"/>
      <c r="CH247" s="381"/>
      <c r="CI247" s="381"/>
      <c r="CJ247" s="381"/>
      <c r="CK247" s="381"/>
      <c r="CL247" s="381"/>
      <c r="CM247" s="381"/>
      <c r="CN247" s="381"/>
      <c r="CO247" s="381"/>
      <c r="CP247" s="381"/>
      <c r="CQ247" s="381"/>
      <c r="CR247" s="381"/>
      <c r="CS247" s="381"/>
      <c r="CT247" s="381"/>
      <c r="CU247" s="381"/>
      <c r="CV247" s="381"/>
      <c r="CW247" s="381"/>
      <c r="CX247" s="381"/>
      <c r="CY247" s="381"/>
      <c r="CZ247" s="381"/>
      <c r="DA247" s="381"/>
      <c r="DB247" s="381"/>
      <c r="DC247" s="381"/>
      <c r="DD247" s="381"/>
      <c r="DE247" s="381"/>
      <c r="DF247" s="381"/>
      <c r="DG247" s="381"/>
      <c r="DH247" s="381"/>
      <c r="DI247" s="381"/>
      <c r="DJ247" s="381"/>
      <c r="DK247" s="381"/>
      <c r="DL247" s="381"/>
      <c r="DM247" s="381"/>
      <c r="DN247" s="381"/>
      <c r="DO247" s="381"/>
    </row>
    <row r="248" spans="1:128">
      <c r="A248" s="373"/>
      <c r="B248" s="361" t="s">
        <v>1433</v>
      </c>
      <c r="C248" s="357"/>
      <c r="D248" s="357"/>
      <c r="E248" s="357"/>
      <c r="F248" s="357"/>
      <c r="G248" s="357"/>
      <c r="H248" s="357">
        <v>27</v>
      </c>
      <c r="I248" s="357"/>
      <c r="J248" s="357"/>
      <c r="K248" s="357"/>
      <c r="L248" s="357"/>
      <c r="M248" s="357"/>
      <c r="N248" s="357"/>
      <c r="O248" s="357"/>
      <c r="P248" s="362"/>
      <c r="Q248" s="362"/>
      <c r="R248" s="362"/>
      <c r="S248" s="362"/>
      <c r="T248" s="360"/>
      <c r="U248" s="361"/>
      <c r="V248" s="361">
        <f>ROUNDUP((21.3*4.4)-(BK239+CJ239),0)</f>
        <v>89</v>
      </c>
      <c r="W248" s="361"/>
      <c r="X248" s="357"/>
      <c r="Y248" s="357"/>
      <c r="Z248" s="357"/>
      <c r="AA248" s="357"/>
      <c r="AB248" s="357"/>
      <c r="AC248" s="357">
        <f>ROUNDUP((22.9*4.4)-(BK239+BL239+CJ239),0)</f>
        <v>88</v>
      </c>
      <c r="AD248" s="357">
        <f>V248</f>
        <v>89</v>
      </c>
      <c r="AE248" s="357"/>
      <c r="AF248" s="357"/>
      <c r="AG248" s="357"/>
      <c r="AH248" s="357"/>
      <c r="AI248" s="357"/>
      <c r="AJ248" s="357"/>
      <c r="AK248" s="357"/>
      <c r="AL248" s="357"/>
      <c r="AM248" s="357"/>
      <c r="AN248" s="357"/>
      <c r="AO248" s="357"/>
      <c r="AP248" s="357"/>
      <c r="AQ248" s="357"/>
      <c r="AR248" s="357">
        <f>ROUNDUP((4.4*5)+BK241,0)</f>
        <v>28</v>
      </c>
      <c r="AS248" s="362"/>
      <c r="AT248" s="360">
        <f>BK240</f>
        <v>1.3</v>
      </c>
      <c r="AU248" s="361"/>
      <c r="AV248" s="357"/>
      <c r="AW248" s="364">
        <f>H248</f>
        <v>27</v>
      </c>
      <c r="AX248" s="357"/>
      <c r="AY248" s="360"/>
      <c r="AZ248" s="361">
        <f>AD248</f>
        <v>89</v>
      </c>
      <c r="BA248" s="357">
        <f>AC248</f>
        <v>88</v>
      </c>
      <c r="BB248" s="362"/>
      <c r="BC248" s="365">
        <f>SUM(AU248:AW248)</f>
        <v>27</v>
      </c>
      <c r="BD248" s="380"/>
      <c r="BE248" s="381"/>
      <c r="BF248" s="381"/>
      <c r="BG248" s="381"/>
      <c r="BH248" s="381"/>
      <c r="BI248" s="381"/>
      <c r="BJ248" s="381"/>
      <c r="BK248" s="381">
        <v>1</v>
      </c>
      <c r="BL248" s="381">
        <v>1</v>
      </c>
      <c r="BM248" s="381"/>
      <c r="BN248" s="381"/>
      <c r="BO248" s="381"/>
      <c r="BP248" s="381"/>
      <c r="BQ248" s="381"/>
      <c r="BR248" s="381"/>
      <c r="BS248" s="381"/>
      <c r="BT248" s="381"/>
      <c r="BU248" s="381"/>
      <c r="BV248" s="381"/>
      <c r="BW248" s="381"/>
      <c r="BX248" s="381"/>
      <c r="BY248" s="381"/>
      <c r="BZ248" s="381"/>
      <c r="CA248" s="381"/>
      <c r="CB248" s="381"/>
      <c r="CC248" s="381"/>
      <c r="CD248" s="381"/>
      <c r="CE248" s="381"/>
      <c r="CF248" s="381"/>
      <c r="CG248" s="381"/>
      <c r="CH248" s="381"/>
      <c r="CI248" s="381"/>
      <c r="CJ248" s="381">
        <v>1</v>
      </c>
      <c r="CK248" s="381"/>
      <c r="CL248" s="381"/>
      <c r="CM248" s="381"/>
      <c r="CN248" s="381"/>
      <c r="CO248" s="381"/>
      <c r="CP248" s="381"/>
      <c r="CQ248" s="381"/>
      <c r="CR248" s="381"/>
      <c r="CS248" s="381"/>
      <c r="CT248" s="381"/>
      <c r="CU248" s="381"/>
      <c r="CV248" s="381"/>
      <c r="CW248" s="381"/>
      <c r="CX248" s="381"/>
      <c r="CY248" s="381"/>
      <c r="CZ248" s="381"/>
      <c r="DA248" s="381"/>
      <c r="DB248" s="381"/>
      <c r="DC248" s="381"/>
      <c r="DD248" s="381"/>
      <c r="DE248" s="381"/>
      <c r="DF248" s="381"/>
      <c r="DG248" s="381"/>
      <c r="DH248" s="381"/>
      <c r="DI248" s="381"/>
      <c r="DJ248" s="381"/>
      <c r="DK248" s="381"/>
      <c r="DL248" s="381"/>
      <c r="DM248" s="381"/>
      <c r="DN248" s="381"/>
      <c r="DO248" s="381"/>
    </row>
    <row r="249" spans="1:128">
      <c r="A249" s="373"/>
      <c r="B249" s="361"/>
      <c r="C249" s="357"/>
      <c r="D249" s="357"/>
      <c r="E249" s="357"/>
      <c r="F249" s="357"/>
      <c r="G249" s="357"/>
      <c r="H249" s="357"/>
      <c r="I249" s="357"/>
      <c r="J249" s="357"/>
      <c r="K249" s="357"/>
      <c r="L249" s="357"/>
      <c r="M249" s="357"/>
      <c r="N249" s="357"/>
      <c r="O249" s="357"/>
      <c r="P249" s="362"/>
      <c r="Q249" s="362"/>
      <c r="R249" s="362"/>
      <c r="S249" s="362"/>
      <c r="T249" s="360"/>
      <c r="U249" s="361"/>
      <c r="V249" s="361"/>
      <c r="W249" s="361"/>
      <c r="X249" s="357"/>
      <c r="Y249" s="357"/>
      <c r="Z249" s="357"/>
      <c r="AA249" s="357"/>
      <c r="AB249" s="357"/>
      <c r="AC249" s="357"/>
      <c r="AD249" s="357"/>
      <c r="AE249" s="357"/>
      <c r="AF249" s="357"/>
      <c r="AG249" s="357"/>
      <c r="AH249" s="357"/>
      <c r="AI249" s="357"/>
      <c r="AJ249" s="357"/>
      <c r="AK249" s="357"/>
      <c r="AL249" s="357"/>
      <c r="AM249" s="357"/>
      <c r="AN249" s="357"/>
      <c r="AO249" s="357"/>
      <c r="AP249" s="357"/>
      <c r="AQ249" s="357"/>
      <c r="AR249" s="357"/>
      <c r="AS249" s="362"/>
      <c r="AT249" s="360"/>
      <c r="AU249" s="361"/>
      <c r="AV249" s="357"/>
      <c r="AW249" s="357"/>
      <c r="AX249" s="357"/>
      <c r="AY249" s="360"/>
      <c r="AZ249" s="361"/>
      <c r="BA249" s="357"/>
      <c r="BB249" s="362"/>
      <c r="BC249" s="365">
        <f>SUM(AU249:AW249)</f>
        <v>0</v>
      </c>
      <c r="BD249" s="380"/>
      <c r="BE249" s="381"/>
      <c r="BF249" s="381"/>
      <c r="BG249" s="381"/>
      <c r="BH249" s="381"/>
      <c r="BI249" s="381"/>
      <c r="BJ249" s="381"/>
      <c r="BK249" s="381"/>
      <c r="BL249" s="381"/>
      <c r="BM249" s="381"/>
      <c r="BN249" s="381"/>
      <c r="BO249" s="381"/>
      <c r="BP249" s="381"/>
      <c r="BQ249" s="381"/>
      <c r="BR249" s="381"/>
      <c r="BS249" s="381"/>
      <c r="BT249" s="381"/>
      <c r="BU249" s="381"/>
      <c r="BV249" s="381"/>
      <c r="BW249" s="381"/>
      <c r="BX249" s="381"/>
      <c r="BY249" s="381"/>
      <c r="BZ249" s="381"/>
      <c r="CA249" s="381"/>
      <c r="CB249" s="381"/>
      <c r="CC249" s="381"/>
      <c r="CD249" s="381"/>
      <c r="CE249" s="381"/>
      <c r="CF249" s="381"/>
      <c r="CG249" s="381"/>
      <c r="CH249" s="381"/>
      <c r="CI249" s="381"/>
      <c r="CJ249" s="381"/>
      <c r="CK249" s="381"/>
      <c r="CL249" s="381"/>
      <c r="CM249" s="381"/>
      <c r="CN249" s="381"/>
      <c r="CO249" s="381"/>
      <c r="CP249" s="381"/>
      <c r="CQ249" s="381"/>
      <c r="CR249" s="381"/>
      <c r="CS249" s="381"/>
      <c r="CT249" s="381"/>
      <c r="CU249" s="381"/>
      <c r="CV249" s="381"/>
      <c r="CW249" s="381"/>
      <c r="CX249" s="381"/>
      <c r="CY249" s="381"/>
      <c r="CZ249" s="381"/>
      <c r="DA249" s="381"/>
      <c r="DB249" s="381"/>
      <c r="DC249" s="381"/>
      <c r="DD249" s="381"/>
      <c r="DE249" s="381"/>
      <c r="DF249" s="381"/>
      <c r="DG249" s="381"/>
      <c r="DH249" s="381"/>
      <c r="DI249" s="381"/>
      <c r="DJ249" s="381"/>
      <c r="DK249" s="381"/>
      <c r="DL249" s="381"/>
      <c r="DM249" s="381"/>
      <c r="DN249" s="381"/>
      <c r="DO249" s="381"/>
    </row>
    <row r="250" spans="1:128">
      <c r="A250" s="373"/>
      <c r="B250" s="361"/>
      <c r="C250" s="357"/>
      <c r="D250" s="357"/>
      <c r="E250" s="357"/>
      <c r="F250" s="357"/>
      <c r="G250" s="357"/>
      <c r="H250" s="357"/>
      <c r="I250" s="357"/>
      <c r="J250" s="357"/>
      <c r="K250" s="357"/>
      <c r="L250" s="357"/>
      <c r="M250" s="357"/>
      <c r="N250" s="357"/>
      <c r="O250" s="357"/>
      <c r="P250" s="362"/>
      <c r="Q250" s="362"/>
      <c r="R250" s="362"/>
      <c r="S250" s="362"/>
      <c r="T250" s="360"/>
      <c r="U250" s="361"/>
      <c r="V250" s="361"/>
      <c r="W250" s="361"/>
      <c r="X250" s="357"/>
      <c r="Y250" s="357"/>
      <c r="Z250" s="357"/>
      <c r="AA250" s="357"/>
      <c r="AB250" s="357"/>
      <c r="AC250" s="357"/>
      <c r="AD250" s="357"/>
      <c r="AE250" s="357"/>
      <c r="AF250" s="357"/>
      <c r="AG250" s="357"/>
      <c r="AH250" s="357"/>
      <c r="AI250" s="357"/>
      <c r="AJ250" s="357"/>
      <c r="AK250" s="357"/>
      <c r="AL250" s="357"/>
      <c r="AM250" s="357"/>
      <c r="AN250" s="357"/>
      <c r="AO250" s="357"/>
      <c r="AP250" s="357"/>
      <c r="AQ250" s="357"/>
      <c r="AR250" s="357"/>
      <c r="AS250" s="362"/>
      <c r="AT250" s="360"/>
      <c r="AU250" s="361"/>
      <c r="AV250" s="357"/>
      <c r="AW250" s="357"/>
      <c r="AX250" s="357"/>
      <c r="AY250" s="360"/>
      <c r="AZ250" s="361"/>
      <c r="BA250" s="357"/>
      <c r="BB250" s="362"/>
      <c r="BC250" s="365">
        <f>SUM(AU250:AW250)</f>
        <v>0</v>
      </c>
      <c r="BD250" s="380"/>
      <c r="BE250" s="381"/>
      <c r="BF250" s="381"/>
      <c r="BG250" s="381"/>
      <c r="BH250" s="381"/>
      <c r="BI250" s="381"/>
      <c r="BJ250" s="381"/>
      <c r="BK250" s="381"/>
      <c r="BL250" s="381"/>
      <c r="BM250" s="381"/>
      <c r="BN250" s="381"/>
      <c r="BO250" s="381"/>
      <c r="BP250" s="381"/>
      <c r="BQ250" s="381"/>
      <c r="BR250" s="381"/>
      <c r="BS250" s="381"/>
      <c r="BT250" s="381"/>
      <c r="BU250" s="381"/>
      <c r="BV250" s="381"/>
      <c r="BW250" s="381"/>
      <c r="BX250" s="381"/>
      <c r="BY250" s="381"/>
      <c r="BZ250" s="381"/>
      <c r="CA250" s="381"/>
      <c r="CB250" s="381"/>
      <c r="CC250" s="381"/>
      <c r="CD250" s="381"/>
      <c r="CE250" s="381"/>
      <c r="CF250" s="381"/>
      <c r="CG250" s="381"/>
      <c r="CH250" s="381"/>
      <c r="CI250" s="381"/>
      <c r="CJ250" s="381"/>
      <c r="CK250" s="381"/>
      <c r="CL250" s="381"/>
      <c r="CM250" s="381"/>
      <c r="CN250" s="381"/>
      <c r="CO250" s="381"/>
      <c r="CP250" s="381"/>
      <c r="CQ250" s="381"/>
      <c r="CR250" s="381"/>
      <c r="CS250" s="381"/>
      <c r="CT250" s="381"/>
      <c r="CU250" s="381"/>
      <c r="CV250" s="381"/>
      <c r="CW250" s="381"/>
      <c r="CX250" s="381"/>
      <c r="CY250" s="381"/>
      <c r="CZ250" s="381"/>
      <c r="DA250" s="381"/>
      <c r="DB250" s="381"/>
      <c r="DC250" s="381"/>
      <c r="DD250" s="381"/>
      <c r="DE250" s="381"/>
      <c r="DF250" s="381"/>
      <c r="DG250" s="381"/>
      <c r="DH250" s="381"/>
      <c r="DI250" s="381"/>
      <c r="DJ250" s="381"/>
      <c r="DK250" s="381"/>
      <c r="DL250" s="381"/>
      <c r="DM250" s="381"/>
      <c r="DN250" s="381"/>
      <c r="DO250" s="381"/>
      <c r="DP250" s="338" t="s">
        <v>1285</v>
      </c>
      <c r="DQ250" s="338" t="s">
        <v>1286</v>
      </c>
      <c r="DR250" s="338" t="s">
        <v>1332</v>
      </c>
    </row>
    <row r="251" spans="1:128">
      <c r="A251" s="373"/>
      <c r="B251" s="361"/>
      <c r="C251" s="357"/>
      <c r="D251" s="357"/>
      <c r="E251" s="357"/>
      <c r="F251" s="357"/>
      <c r="G251" s="357"/>
      <c r="H251" s="357"/>
      <c r="I251" s="357"/>
      <c r="J251" s="357"/>
      <c r="K251" s="357"/>
      <c r="L251" s="357"/>
      <c r="M251" s="357"/>
      <c r="N251" s="357"/>
      <c r="O251" s="357"/>
      <c r="P251" s="362"/>
      <c r="Q251" s="362"/>
      <c r="R251" s="362"/>
      <c r="S251" s="362"/>
      <c r="T251" s="360"/>
      <c r="U251" s="361"/>
      <c r="V251" s="361"/>
      <c r="W251" s="361"/>
      <c r="X251" s="357"/>
      <c r="Y251" s="357"/>
      <c r="Z251" s="357"/>
      <c r="AA251" s="357"/>
      <c r="AB251" s="357"/>
      <c r="AC251" s="357"/>
      <c r="AD251" s="357"/>
      <c r="AE251" s="357"/>
      <c r="AF251" s="357"/>
      <c r="AG251" s="357"/>
      <c r="AH251" s="357"/>
      <c r="AI251" s="357"/>
      <c r="AJ251" s="357"/>
      <c r="AK251" s="357"/>
      <c r="AL251" s="357"/>
      <c r="AM251" s="357"/>
      <c r="AN251" s="357"/>
      <c r="AO251" s="357"/>
      <c r="AP251" s="357"/>
      <c r="AQ251" s="357"/>
      <c r="AR251" s="357"/>
      <c r="AS251" s="362"/>
      <c r="AT251" s="360"/>
      <c r="AU251" s="361"/>
      <c r="AV251" s="357"/>
      <c r="AW251" s="357"/>
      <c r="AX251" s="357"/>
      <c r="AY251" s="360"/>
      <c r="AZ251" s="361"/>
      <c r="BA251" s="357"/>
      <c r="BB251" s="362"/>
      <c r="BC251" s="360"/>
      <c r="BD251" s="380"/>
      <c r="BE251" s="381"/>
      <c r="BF251" s="381"/>
      <c r="BG251" s="381"/>
      <c r="BH251" s="381"/>
      <c r="BI251" s="381"/>
      <c r="BJ251" s="381"/>
      <c r="BK251" s="381"/>
      <c r="BL251" s="381"/>
      <c r="BM251" s="381"/>
      <c r="BN251" s="381"/>
      <c r="BO251" s="381"/>
      <c r="BP251" s="381"/>
      <c r="BQ251" s="381"/>
      <c r="BR251" s="381"/>
      <c r="BS251" s="381"/>
      <c r="BT251" s="381"/>
      <c r="BU251" s="381"/>
      <c r="BV251" s="381"/>
      <c r="BW251" s="381"/>
      <c r="BX251" s="381"/>
      <c r="BY251" s="381"/>
      <c r="BZ251" s="381"/>
      <c r="CA251" s="381"/>
      <c r="CB251" s="381"/>
      <c r="CC251" s="381"/>
      <c r="CD251" s="381"/>
      <c r="CE251" s="381"/>
      <c r="CF251" s="381"/>
      <c r="CG251" s="381"/>
      <c r="CH251" s="381"/>
      <c r="CI251" s="381"/>
      <c r="CJ251" s="381"/>
      <c r="CK251" s="381"/>
      <c r="CL251" s="381"/>
      <c r="CM251" s="381"/>
      <c r="CN251" s="381"/>
      <c r="CO251" s="381"/>
      <c r="CP251" s="381"/>
      <c r="CQ251" s="381"/>
      <c r="CR251" s="381"/>
      <c r="CS251" s="381"/>
      <c r="CT251" s="381"/>
      <c r="CU251" s="381"/>
      <c r="CV251" s="381"/>
      <c r="CW251" s="381"/>
      <c r="CX251" s="381"/>
      <c r="CY251" s="381"/>
      <c r="CZ251" s="381"/>
      <c r="DA251" s="381"/>
      <c r="DB251" s="381"/>
      <c r="DC251" s="381"/>
      <c r="DD251" s="381"/>
      <c r="DE251" s="381"/>
      <c r="DF251" s="381"/>
      <c r="DG251" s="381"/>
      <c r="DH251" s="381"/>
      <c r="DI251" s="381"/>
      <c r="DJ251" s="381"/>
      <c r="DK251" s="381"/>
      <c r="DL251" s="381"/>
      <c r="DM251" s="381"/>
      <c r="DN251" s="381"/>
      <c r="DO251" s="381"/>
      <c r="DP251" s="310">
        <f>BF255</f>
        <v>0</v>
      </c>
      <c r="DQ251" s="310">
        <f>BF275</f>
        <v>2</v>
      </c>
      <c r="DR251" s="310">
        <f>BF289</f>
        <v>0</v>
      </c>
      <c r="DU251" s="310">
        <f>SUM(DP251:DR251)</f>
        <v>2</v>
      </c>
      <c r="DV251" s="309" t="s">
        <v>1434</v>
      </c>
      <c r="DX251" s="708">
        <f>ROUNDUP(BF239*4500,0)</f>
        <v>204120</v>
      </c>
    </row>
    <row r="252" spans="1:128">
      <c r="A252" s="373"/>
      <c r="B252" s="361"/>
      <c r="C252" s="357"/>
      <c r="D252" s="357"/>
      <c r="E252" s="357"/>
      <c r="F252" s="357"/>
      <c r="G252" s="357"/>
      <c r="H252" s="357"/>
      <c r="I252" s="357"/>
      <c r="J252" s="357"/>
      <c r="K252" s="357"/>
      <c r="L252" s="357"/>
      <c r="M252" s="357"/>
      <c r="N252" s="357"/>
      <c r="O252" s="357"/>
      <c r="P252" s="362"/>
      <c r="Q252" s="362"/>
      <c r="R252" s="362"/>
      <c r="S252" s="362"/>
      <c r="T252" s="360"/>
      <c r="U252" s="361"/>
      <c r="V252" s="361"/>
      <c r="W252" s="361"/>
      <c r="X252" s="357"/>
      <c r="Y252" s="357"/>
      <c r="Z252" s="357"/>
      <c r="AA252" s="357"/>
      <c r="AB252" s="357"/>
      <c r="AC252" s="357"/>
      <c r="AD252" s="357"/>
      <c r="AE252" s="357"/>
      <c r="AF252" s="357"/>
      <c r="AG252" s="357"/>
      <c r="AH252" s="357"/>
      <c r="AI252" s="357"/>
      <c r="AJ252" s="357"/>
      <c r="AK252" s="357"/>
      <c r="AL252" s="357"/>
      <c r="AM252" s="357"/>
      <c r="AN252" s="357"/>
      <c r="AO252" s="357"/>
      <c r="AP252" s="357"/>
      <c r="AQ252" s="357"/>
      <c r="AR252" s="357"/>
      <c r="AS252" s="362"/>
      <c r="AT252" s="360"/>
      <c r="AU252" s="361"/>
      <c r="AV252" s="357"/>
      <c r="AW252" s="357"/>
      <c r="AX252" s="357"/>
      <c r="AY252" s="360"/>
      <c r="AZ252" s="361"/>
      <c r="BA252" s="357"/>
      <c r="BB252" s="362"/>
      <c r="BC252" s="360"/>
      <c r="BD252" s="380"/>
      <c r="BE252" s="381"/>
      <c r="BF252" s="381"/>
      <c r="BG252" s="381"/>
      <c r="BH252" s="381"/>
      <c r="BI252" s="381"/>
      <c r="BJ252" s="381"/>
      <c r="BK252" s="381"/>
      <c r="BL252" s="381"/>
      <c r="BM252" s="381"/>
      <c r="BN252" s="381"/>
      <c r="BO252" s="381"/>
      <c r="BP252" s="381"/>
      <c r="BQ252" s="381"/>
      <c r="BR252" s="381"/>
      <c r="BS252" s="381"/>
      <c r="BT252" s="381"/>
      <c r="BU252" s="381"/>
      <c r="BV252" s="381"/>
      <c r="BW252" s="381"/>
      <c r="BX252" s="381"/>
      <c r="BY252" s="381"/>
      <c r="BZ252" s="381"/>
      <c r="CA252" s="381"/>
      <c r="CB252" s="381"/>
      <c r="CC252" s="381"/>
      <c r="CD252" s="381"/>
      <c r="CE252" s="381"/>
      <c r="CF252" s="381"/>
      <c r="CG252" s="381"/>
      <c r="CH252" s="381"/>
      <c r="CI252" s="381"/>
      <c r="CJ252" s="381"/>
      <c r="CK252" s="381"/>
      <c r="CL252" s="381"/>
      <c r="CM252" s="381"/>
      <c r="CN252" s="381"/>
      <c r="CO252" s="381"/>
      <c r="CP252" s="381"/>
      <c r="CQ252" s="381"/>
      <c r="CR252" s="381"/>
      <c r="CS252" s="381"/>
      <c r="CT252" s="381"/>
      <c r="CU252" s="381"/>
      <c r="CV252" s="381"/>
      <c r="CW252" s="381"/>
      <c r="CX252" s="381"/>
      <c r="CY252" s="381"/>
      <c r="CZ252" s="381"/>
      <c r="DA252" s="381"/>
      <c r="DB252" s="381"/>
      <c r="DC252" s="381"/>
      <c r="DD252" s="381"/>
      <c r="DE252" s="381"/>
      <c r="DF252" s="381"/>
      <c r="DG252" s="381"/>
      <c r="DH252" s="381"/>
      <c r="DI252" s="381"/>
      <c r="DJ252" s="381"/>
      <c r="DK252" s="381"/>
      <c r="DL252" s="381"/>
      <c r="DM252" s="381"/>
      <c r="DN252" s="381"/>
      <c r="DO252" s="381"/>
      <c r="DP252" s="310">
        <f>BG255</f>
        <v>0</v>
      </c>
      <c r="DQ252" s="310">
        <f>BG275</f>
        <v>2</v>
      </c>
      <c r="DR252" s="310">
        <f>BG289</f>
        <v>0</v>
      </c>
      <c r="DU252" s="310">
        <f t="shared" ref="DU252:DU267" si="62">SUM(DP252:DR252)</f>
        <v>2</v>
      </c>
      <c r="DV252" s="309" t="s">
        <v>1908</v>
      </c>
      <c r="DX252" s="708">
        <f>ROUNDUP(BG239*4000,0)</f>
        <v>139040</v>
      </c>
    </row>
    <row r="253" spans="1:128">
      <c r="A253" s="373"/>
      <c r="B253" s="361"/>
      <c r="C253" s="357"/>
      <c r="D253" s="357"/>
      <c r="E253" s="357"/>
      <c r="F253" s="357"/>
      <c r="G253" s="357"/>
      <c r="H253" s="357"/>
      <c r="I253" s="357"/>
      <c r="J253" s="357"/>
      <c r="K253" s="357"/>
      <c r="L253" s="357"/>
      <c r="M253" s="357"/>
      <c r="N253" s="357"/>
      <c r="O253" s="357"/>
      <c r="P253" s="362"/>
      <c r="Q253" s="362"/>
      <c r="R253" s="362"/>
      <c r="S253" s="362"/>
      <c r="T253" s="360"/>
      <c r="U253" s="361"/>
      <c r="V253" s="361"/>
      <c r="W253" s="361"/>
      <c r="X253" s="357"/>
      <c r="Y253" s="357"/>
      <c r="Z253" s="357"/>
      <c r="AA253" s="357"/>
      <c r="AB253" s="357"/>
      <c r="AC253" s="357"/>
      <c r="AD253" s="357"/>
      <c r="AE253" s="357"/>
      <c r="AF253" s="357"/>
      <c r="AG253" s="357"/>
      <c r="AH253" s="357"/>
      <c r="AI253" s="357"/>
      <c r="AJ253" s="357"/>
      <c r="AK253" s="357"/>
      <c r="AL253" s="357"/>
      <c r="AM253" s="357"/>
      <c r="AN253" s="357"/>
      <c r="AO253" s="357"/>
      <c r="AP253" s="357"/>
      <c r="AQ253" s="357"/>
      <c r="AR253" s="357"/>
      <c r="AS253" s="362"/>
      <c r="AT253" s="360"/>
      <c r="AU253" s="361"/>
      <c r="AV253" s="357"/>
      <c r="AW253" s="357"/>
      <c r="AX253" s="357"/>
      <c r="AY253" s="360"/>
      <c r="AZ253" s="361"/>
      <c r="BA253" s="357"/>
      <c r="BB253" s="362"/>
      <c r="BC253" s="360"/>
      <c r="BD253" s="380"/>
      <c r="BE253" s="381"/>
      <c r="BF253" s="381"/>
      <c r="BG253" s="381"/>
      <c r="BH253" s="381"/>
      <c r="BI253" s="381"/>
      <c r="BJ253" s="381"/>
      <c r="BK253" s="381"/>
      <c r="BL253" s="381"/>
      <c r="BM253" s="381"/>
      <c r="BN253" s="381"/>
      <c r="BO253" s="381"/>
      <c r="BP253" s="381"/>
      <c r="BQ253" s="381"/>
      <c r="BR253" s="381"/>
      <c r="BS253" s="381"/>
      <c r="BT253" s="381"/>
      <c r="BU253" s="381"/>
      <c r="BV253" s="381"/>
      <c r="BW253" s="381"/>
      <c r="BX253" s="381"/>
      <c r="BY253" s="381"/>
      <c r="BZ253" s="381"/>
      <c r="CA253" s="381"/>
      <c r="CB253" s="381"/>
      <c r="CC253" s="381"/>
      <c r="CD253" s="381"/>
      <c r="CE253" s="381"/>
      <c r="CF253" s="381"/>
      <c r="CG253" s="381"/>
      <c r="CH253" s="381"/>
      <c r="CI253" s="381"/>
      <c r="CJ253" s="381"/>
      <c r="CK253" s="381"/>
      <c r="CL253" s="381"/>
      <c r="CM253" s="381"/>
      <c r="CN253" s="381"/>
      <c r="CO253" s="381"/>
      <c r="CP253" s="381"/>
      <c r="CQ253" s="381"/>
      <c r="CR253" s="381"/>
      <c r="CS253" s="381"/>
      <c r="CT253" s="381"/>
      <c r="CU253" s="381"/>
      <c r="CV253" s="381"/>
      <c r="CW253" s="381"/>
      <c r="CX253" s="381"/>
      <c r="CY253" s="381"/>
      <c r="CZ253" s="381"/>
      <c r="DA253" s="381"/>
      <c r="DB253" s="381"/>
      <c r="DC253" s="381"/>
      <c r="DD253" s="381"/>
      <c r="DE253" s="381"/>
      <c r="DF253" s="381"/>
      <c r="DG253" s="381"/>
      <c r="DH253" s="381"/>
      <c r="DI253" s="381"/>
      <c r="DJ253" s="381"/>
      <c r="DK253" s="381"/>
      <c r="DL253" s="381"/>
      <c r="DM253" s="381"/>
      <c r="DN253" s="381"/>
      <c r="DO253" s="381"/>
      <c r="DP253" s="310">
        <f>BH255</f>
        <v>0</v>
      </c>
      <c r="DQ253" s="310">
        <f>BH275</f>
        <v>2</v>
      </c>
      <c r="DR253" s="310">
        <f>BH289</f>
        <v>0</v>
      </c>
      <c r="DU253" s="310">
        <f t="shared" si="62"/>
        <v>2</v>
      </c>
      <c r="DV253" s="309" t="s">
        <v>1909</v>
      </c>
      <c r="DX253" s="708">
        <f>ROUNDUP(BH239*3500,0)</f>
        <v>32340</v>
      </c>
    </row>
    <row r="254" spans="1:128">
      <c r="A254" s="384"/>
      <c r="B254" s="361"/>
      <c r="C254" s="357"/>
      <c r="D254" s="357"/>
      <c r="E254" s="357"/>
      <c r="F254" s="357"/>
      <c r="G254" s="357"/>
      <c r="H254" s="357"/>
      <c r="I254" s="357"/>
      <c r="J254" s="357"/>
      <c r="K254" s="357"/>
      <c r="L254" s="357"/>
      <c r="M254" s="357"/>
      <c r="N254" s="357"/>
      <c r="O254" s="357"/>
      <c r="P254" s="362"/>
      <c r="Q254" s="362"/>
      <c r="R254" s="362"/>
      <c r="S254" s="362"/>
      <c r="T254" s="360">
        <f>SUM(C254:O254)</f>
        <v>0</v>
      </c>
      <c r="U254" s="361"/>
      <c r="V254" s="361"/>
      <c r="W254" s="361"/>
      <c r="X254" s="357"/>
      <c r="Y254" s="357"/>
      <c r="Z254" s="357"/>
      <c r="AA254" s="357"/>
      <c r="AB254" s="357"/>
      <c r="AC254" s="357"/>
      <c r="AD254" s="357"/>
      <c r="AE254" s="357"/>
      <c r="AF254" s="357"/>
      <c r="AG254" s="357"/>
      <c r="AH254" s="357"/>
      <c r="AI254" s="357"/>
      <c r="AJ254" s="357"/>
      <c r="AK254" s="357"/>
      <c r="AL254" s="357"/>
      <c r="AM254" s="357"/>
      <c r="AN254" s="357"/>
      <c r="AO254" s="357"/>
      <c r="AP254" s="357"/>
      <c r="AQ254" s="357"/>
      <c r="AR254" s="357"/>
      <c r="AS254" s="362"/>
      <c r="AT254" s="360"/>
      <c r="AU254" s="361"/>
      <c r="AV254" s="357"/>
      <c r="AW254" s="357"/>
      <c r="AX254" s="357"/>
      <c r="AY254" s="360"/>
      <c r="AZ254" s="361"/>
      <c r="BA254" s="357"/>
      <c r="BB254" s="362"/>
      <c r="BC254" s="360"/>
      <c r="BD254" s="380"/>
      <c r="BE254" s="381"/>
      <c r="BF254" s="381"/>
      <c r="BG254" s="381"/>
      <c r="BH254" s="381"/>
      <c r="BI254" s="381"/>
      <c r="BJ254" s="381"/>
      <c r="BK254" s="381"/>
      <c r="BL254" s="381"/>
      <c r="BM254" s="381"/>
      <c r="BN254" s="381"/>
      <c r="BO254" s="381"/>
      <c r="BP254" s="381"/>
      <c r="BQ254" s="381"/>
      <c r="BR254" s="381"/>
      <c r="BS254" s="381"/>
      <c r="BT254" s="381"/>
      <c r="BU254" s="381"/>
      <c r="BV254" s="381"/>
      <c r="BW254" s="381"/>
      <c r="BX254" s="381"/>
      <c r="BY254" s="381"/>
      <c r="BZ254" s="381"/>
      <c r="CA254" s="381"/>
      <c r="CB254" s="381"/>
      <c r="CC254" s="381"/>
      <c r="CD254" s="381"/>
      <c r="CE254" s="381"/>
      <c r="CF254" s="381"/>
      <c r="CG254" s="381"/>
      <c r="CH254" s="381"/>
      <c r="CI254" s="381"/>
      <c r="CJ254" s="381"/>
      <c r="CK254" s="381"/>
      <c r="CL254" s="381"/>
      <c r="CM254" s="381"/>
      <c r="CN254" s="381"/>
      <c r="CO254" s="381"/>
      <c r="CP254" s="381"/>
      <c r="CQ254" s="381"/>
      <c r="CR254" s="381"/>
      <c r="CS254" s="381"/>
      <c r="CT254" s="381"/>
      <c r="CU254" s="381"/>
      <c r="CV254" s="381"/>
      <c r="CW254" s="381"/>
      <c r="CX254" s="381"/>
      <c r="CY254" s="381"/>
      <c r="CZ254" s="381"/>
      <c r="DA254" s="381"/>
      <c r="DB254" s="381"/>
      <c r="DC254" s="381"/>
      <c r="DD254" s="381"/>
      <c r="DE254" s="381"/>
      <c r="DF254" s="381"/>
      <c r="DG254" s="381"/>
      <c r="DH254" s="381"/>
      <c r="DI254" s="381"/>
      <c r="DJ254" s="381"/>
      <c r="DK254" s="381"/>
      <c r="DL254" s="381"/>
      <c r="DM254" s="381"/>
      <c r="DN254" s="381"/>
      <c r="DO254" s="381"/>
      <c r="DP254" s="310">
        <f>BI255</f>
        <v>1</v>
      </c>
      <c r="DQ254" s="310">
        <f>BI275</f>
        <v>0</v>
      </c>
      <c r="DR254" s="310">
        <f>BI289</f>
        <v>0</v>
      </c>
      <c r="DU254" s="310">
        <f t="shared" si="62"/>
        <v>1</v>
      </c>
      <c r="DV254" s="309" t="s">
        <v>1435</v>
      </c>
      <c r="DX254" s="708">
        <f>ROUNDUP(BI239*4000,0)</f>
        <v>21420</v>
      </c>
    </row>
    <row r="255" spans="1:128" ht="18.75">
      <c r="A255" s="384"/>
      <c r="B255" s="385" t="s">
        <v>182</v>
      </c>
      <c r="C255" s="386">
        <f>SUM(C246:C254)</f>
        <v>0</v>
      </c>
      <c r="D255" s="386">
        <f t="shared" ref="D255:BV255" si="63">SUM(D246:D254)</f>
        <v>0</v>
      </c>
      <c r="E255" s="386">
        <f t="shared" si="63"/>
        <v>0</v>
      </c>
      <c r="F255" s="386">
        <f t="shared" si="63"/>
        <v>0</v>
      </c>
      <c r="G255" s="386">
        <f t="shared" si="63"/>
        <v>0</v>
      </c>
      <c r="H255" s="386">
        <f>SUM(H246:H254)</f>
        <v>226</v>
      </c>
      <c r="I255" s="386">
        <f t="shared" si="63"/>
        <v>0</v>
      </c>
      <c r="J255" s="386">
        <f t="shared" si="63"/>
        <v>0</v>
      </c>
      <c r="K255" s="386">
        <f t="shared" si="63"/>
        <v>0</v>
      </c>
      <c r="L255" s="386">
        <f t="shared" si="63"/>
        <v>0</v>
      </c>
      <c r="M255" s="386">
        <f t="shared" si="63"/>
        <v>0</v>
      </c>
      <c r="N255" s="386">
        <f t="shared" si="63"/>
        <v>0</v>
      </c>
      <c r="O255" s="386">
        <f t="shared" si="63"/>
        <v>0</v>
      </c>
      <c r="P255" s="386">
        <f t="shared" si="63"/>
        <v>0</v>
      </c>
      <c r="Q255" s="386">
        <f t="shared" si="63"/>
        <v>0</v>
      </c>
      <c r="R255" s="386">
        <f t="shared" si="63"/>
        <v>0</v>
      </c>
      <c r="S255" s="386">
        <f t="shared" si="63"/>
        <v>0</v>
      </c>
      <c r="T255" s="386">
        <f t="shared" si="63"/>
        <v>0</v>
      </c>
      <c r="U255" s="386">
        <f t="shared" si="63"/>
        <v>0</v>
      </c>
      <c r="V255" s="386">
        <f t="shared" si="63"/>
        <v>188</v>
      </c>
      <c r="W255" s="386">
        <f t="shared" si="63"/>
        <v>0</v>
      </c>
      <c r="X255" s="386">
        <f t="shared" si="63"/>
        <v>0</v>
      </c>
      <c r="Y255" s="386">
        <f t="shared" si="63"/>
        <v>0</v>
      </c>
      <c r="Z255" s="386">
        <f t="shared" si="63"/>
        <v>0</v>
      </c>
      <c r="AA255" s="386">
        <f t="shared" si="63"/>
        <v>0</v>
      </c>
      <c r="AB255" s="386">
        <f t="shared" si="63"/>
        <v>0</v>
      </c>
      <c r="AC255" s="386">
        <f t="shared" si="63"/>
        <v>174</v>
      </c>
      <c r="AD255" s="386">
        <f t="shared" si="63"/>
        <v>188</v>
      </c>
      <c r="AE255" s="386">
        <f t="shared" si="63"/>
        <v>302</v>
      </c>
      <c r="AF255" s="386">
        <f t="shared" si="63"/>
        <v>0</v>
      </c>
      <c r="AG255" s="386">
        <f t="shared" si="63"/>
        <v>0</v>
      </c>
      <c r="AH255" s="386">
        <f t="shared" si="63"/>
        <v>0</v>
      </c>
      <c r="AI255" s="386">
        <f t="shared" si="63"/>
        <v>0</v>
      </c>
      <c r="AJ255" s="386">
        <f t="shared" si="63"/>
        <v>0</v>
      </c>
      <c r="AK255" s="386">
        <f t="shared" si="63"/>
        <v>0</v>
      </c>
      <c r="AL255" s="386">
        <f t="shared" si="63"/>
        <v>0</v>
      </c>
      <c r="AM255" s="386">
        <f t="shared" si="63"/>
        <v>0</v>
      </c>
      <c r="AN255" s="386">
        <f t="shared" si="63"/>
        <v>0</v>
      </c>
      <c r="AO255" s="386">
        <f t="shared" si="63"/>
        <v>0</v>
      </c>
      <c r="AP255" s="386">
        <f t="shared" si="63"/>
        <v>0</v>
      </c>
      <c r="AQ255" s="386">
        <f t="shared" si="63"/>
        <v>0</v>
      </c>
      <c r="AR255" s="386">
        <f t="shared" si="63"/>
        <v>56</v>
      </c>
      <c r="AS255" s="386">
        <f t="shared" si="63"/>
        <v>0</v>
      </c>
      <c r="AT255" s="386">
        <f>ROUNDUP(SUM(AT246:AT254),0)</f>
        <v>4</v>
      </c>
      <c r="AU255" s="386">
        <f t="shared" si="63"/>
        <v>0</v>
      </c>
      <c r="AV255" s="386">
        <f t="shared" si="63"/>
        <v>0</v>
      </c>
      <c r="AW255" s="386">
        <f t="shared" si="63"/>
        <v>226</v>
      </c>
      <c r="AX255" s="386">
        <f t="shared" si="63"/>
        <v>0</v>
      </c>
      <c r="AY255" s="386">
        <f t="shared" si="63"/>
        <v>0</v>
      </c>
      <c r="AZ255" s="386">
        <f t="shared" si="63"/>
        <v>188</v>
      </c>
      <c r="BA255" s="386">
        <f t="shared" si="63"/>
        <v>476</v>
      </c>
      <c r="BB255" s="386">
        <f t="shared" si="63"/>
        <v>0</v>
      </c>
      <c r="BC255" s="386">
        <f t="shared" si="63"/>
        <v>226</v>
      </c>
      <c r="BD255" s="386">
        <f t="shared" si="63"/>
        <v>0</v>
      </c>
      <c r="BE255" s="386">
        <f t="shared" si="63"/>
        <v>0</v>
      </c>
      <c r="BF255" s="386">
        <f t="shared" si="63"/>
        <v>0</v>
      </c>
      <c r="BG255" s="386">
        <f t="shared" si="63"/>
        <v>0</v>
      </c>
      <c r="BH255" s="386">
        <f t="shared" si="63"/>
        <v>0</v>
      </c>
      <c r="BI255" s="386">
        <f t="shared" si="63"/>
        <v>1</v>
      </c>
      <c r="BJ255" s="386">
        <f t="shared" si="63"/>
        <v>0</v>
      </c>
      <c r="BK255" s="386">
        <f t="shared" si="63"/>
        <v>1</v>
      </c>
      <c r="BL255" s="386">
        <f t="shared" si="63"/>
        <v>1</v>
      </c>
      <c r="BM255" s="386">
        <f t="shared" si="63"/>
        <v>0</v>
      </c>
      <c r="BN255" s="386">
        <f t="shared" si="63"/>
        <v>0</v>
      </c>
      <c r="BO255" s="386">
        <f t="shared" si="63"/>
        <v>0</v>
      </c>
      <c r="BP255" s="386">
        <f t="shared" si="63"/>
        <v>0</v>
      </c>
      <c r="BQ255" s="386">
        <f t="shared" si="63"/>
        <v>0</v>
      </c>
      <c r="BR255" s="386">
        <f t="shared" si="63"/>
        <v>0</v>
      </c>
      <c r="BS255" s="386">
        <f t="shared" si="63"/>
        <v>0</v>
      </c>
      <c r="BT255" s="386">
        <f t="shared" si="63"/>
        <v>0</v>
      </c>
      <c r="BU255" s="386">
        <f t="shared" si="63"/>
        <v>0</v>
      </c>
      <c r="BV255" s="386">
        <f t="shared" si="63"/>
        <v>0</v>
      </c>
      <c r="BW255" s="386">
        <f t="shared" ref="BW255:CT255" si="64">SUM(BW246:BW254)</f>
        <v>0</v>
      </c>
      <c r="BX255" s="386">
        <f t="shared" si="64"/>
        <v>0</v>
      </c>
      <c r="BY255" s="386">
        <f t="shared" si="64"/>
        <v>0</v>
      </c>
      <c r="BZ255" s="386">
        <f t="shared" si="64"/>
        <v>0</v>
      </c>
      <c r="CA255" s="386">
        <f t="shared" si="64"/>
        <v>0</v>
      </c>
      <c r="CB255" s="386">
        <f t="shared" si="64"/>
        <v>0</v>
      </c>
      <c r="CC255" s="386">
        <f t="shared" si="64"/>
        <v>0</v>
      </c>
      <c r="CD255" s="386">
        <f t="shared" si="64"/>
        <v>0</v>
      </c>
      <c r="CE255" s="386">
        <f t="shared" si="64"/>
        <v>0</v>
      </c>
      <c r="CF255" s="386">
        <f t="shared" si="64"/>
        <v>0</v>
      </c>
      <c r="CG255" s="386">
        <f t="shared" si="64"/>
        <v>0</v>
      </c>
      <c r="CH255" s="386">
        <f t="shared" si="64"/>
        <v>0</v>
      </c>
      <c r="CI255" s="386">
        <f t="shared" si="64"/>
        <v>0</v>
      </c>
      <c r="CJ255" s="386">
        <f t="shared" si="64"/>
        <v>1</v>
      </c>
      <c r="CK255" s="386">
        <f t="shared" si="64"/>
        <v>0</v>
      </c>
      <c r="CL255" s="386">
        <f t="shared" si="64"/>
        <v>0</v>
      </c>
      <c r="CM255" s="386">
        <f t="shared" si="64"/>
        <v>0</v>
      </c>
      <c r="CN255" s="386">
        <f t="shared" si="64"/>
        <v>0</v>
      </c>
      <c r="CO255" s="386">
        <f t="shared" si="64"/>
        <v>0</v>
      </c>
      <c r="CP255" s="386">
        <f t="shared" si="64"/>
        <v>0</v>
      </c>
      <c r="CQ255" s="386">
        <f t="shared" si="64"/>
        <v>0</v>
      </c>
      <c r="CR255" s="386">
        <f t="shared" si="64"/>
        <v>0</v>
      </c>
      <c r="CS255" s="386">
        <f t="shared" si="64"/>
        <v>0</v>
      </c>
      <c r="CT255" s="386">
        <f t="shared" si="64"/>
        <v>0</v>
      </c>
      <c r="CU255" s="386">
        <f t="shared" ref="CU255:DO255" si="65">SUM(CU246:CU254)</f>
        <v>0</v>
      </c>
      <c r="CV255" s="386">
        <f t="shared" si="65"/>
        <v>0</v>
      </c>
      <c r="CW255" s="386">
        <f t="shared" si="65"/>
        <v>0</v>
      </c>
      <c r="CX255" s="386">
        <f t="shared" si="65"/>
        <v>0</v>
      </c>
      <c r="CY255" s="386">
        <f t="shared" si="65"/>
        <v>0</v>
      </c>
      <c r="CZ255" s="386">
        <f t="shared" si="65"/>
        <v>0</v>
      </c>
      <c r="DA255" s="386">
        <f t="shared" si="65"/>
        <v>0</v>
      </c>
      <c r="DB255" s="386">
        <f t="shared" si="65"/>
        <v>0</v>
      </c>
      <c r="DC255" s="386">
        <f t="shared" si="65"/>
        <v>0</v>
      </c>
      <c r="DD255" s="386">
        <f t="shared" si="65"/>
        <v>0</v>
      </c>
      <c r="DE255" s="386">
        <f t="shared" si="65"/>
        <v>0</v>
      </c>
      <c r="DF255" s="386">
        <f t="shared" si="65"/>
        <v>0</v>
      </c>
      <c r="DG255" s="386">
        <f t="shared" si="65"/>
        <v>0</v>
      </c>
      <c r="DH255" s="386">
        <f t="shared" si="65"/>
        <v>0</v>
      </c>
      <c r="DI255" s="386">
        <f t="shared" si="65"/>
        <v>0</v>
      </c>
      <c r="DJ255" s="386">
        <f t="shared" si="65"/>
        <v>0</v>
      </c>
      <c r="DK255" s="386">
        <f t="shared" si="65"/>
        <v>0</v>
      </c>
      <c r="DL255" s="386">
        <f t="shared" si="65"/>
        <v>0</v>
      </c>
      <c r="DM255" s="386">
        <f t="shared" si="65"/>
        <v>0</v>
      </c>
      <c r="DN255" s="386">
        <f t="shared" si="65"/>
        <v>0</v>
      </c>
      <c r="DO255" s="386">
        <f t="shared" si="65"/>
        <v>0</v>
      </c>
      <c r="DP255" s="310">
        <f>BK255</f>
        <v>1</v>
      </c>
      <c r="DQ255" s="310">
        <f>BK275</f>
        <v>0</v>
      </c>
      <c r="DR255" s="310">
        <f>BK289</f>
        <v>0</v>
      </c>
      <c r="DU255" s="310">
        <f t="shared" si="62"/>
        <v>1</v>
      </c>
      <c r="DV255" s="309" t="s">
        <v>1436</v>
      </c>
      <c r="DX255" s="708">
        <f>ROUNDUP(BK239*4000,0)</f>
        <v>13260</v>
      </c>
    </row>
    <row r="256" spans="1:128" ht="18.75">
      <c r="A256" s="384"/>
      <c r="B256" s="385"/>
      <c r="C256" s="386"/>
      <c r="D256" s="386"/>
      <c r="E256" s="386"/>
      <c r="F256" s="386"/>
      <c r="G256" s="386"/>
      <c r="H256" s="386"/>
      <c r="I256" s="386"/>
      <c r="J256" s="386"/>
      <c r="K256" s="386"/>
      <c r="L256" s="386"/>
      <c r="M256" s="386"/>
      <c r="N256" s="386"/>
      <c r="O256" s="386"/>
      <c r="P256" s="387"/>
      <c r="Q256" s="387"/>
      <c r="R256" s="387"/>
      <c r="S256" s="387"/>
      <c r="T256" s="388"/>
      <c r="U256" s="389"/>
      <c r="V256" s="389"/>
      <c r="W256" s="389"/>
      <c r="X256" s="386"/>
      <c r="Y256" s="386"/>
      <c r="Z256" s="386"/>
      <c r="AA256" s="386"/>
      <c r="AB256" s="386"/>
      <c r="AC256" s="386"/>
      <c r="AD256" s="386"/>
      <c r="AE256" s="386"/>
      <c r="AF256" s="386"/>
      <c r="AG256" s="386"/>
      <c r="AH256" s="386"/>
      <c r="AI256" s="386"/>
      <c r="AJ256" s="386"/>
      <c r="AK256" s="386"/>
      <c r="AL256" s="386"/>
      <c r="AM256" s="386"/>
      <c r="AN256" s="386"/>
      <c r="AO256" s="386"/>
      <c r="AP256" s="386"/>
      <c r="AQ256" s="386"/>
      <c r="AR256" s="386"/>
      <c r="AS256" s="387"/>
      <c r="AT256" s="388"/>
      <c r="AU256" s="389"/>
      <c r="AV256" s="386"/>
      <c r="AW256" s="386"/>
      <c r="AX256" s="387"/>
      <c r="AY256" s="388"/>
      <c r="AZ256" s="389"/>
      <c r="BA256" s="386"/>
      <c r="BB256" s="387"/>
      <c r="BC256" s="388"/>
      <c r="BD256" s="390"/>
      <c r="BE256" s="391"/>
      <c r="BF256" s="391"/>
      <c r="BG256" s="391"/>
      <c r="BH256" s="391"/>
      <c r="BI256" s="391"/>
      <c r="BJ256" s="391"/>
      <c r="BK256" s="391"/>
      <c r="BL256" s="391"/>
      <c r="BM256" s="391"/>
      <c r="BN256" s="391"/>
      <c r="BO256" s="391"/>
      <c r="BP256" s="391"/>
      <c r="BQ256" s="391"/>
      <c r="BR256" s="391"/>
      <c r="BS256" s="391"/>
      <c r="BT256" s="391"/>
      <c r="BU256" s="391"/>
      <c r="BV256" s="391"/>
      <c r="BW256" s="391"/>
      <c r="BX256" s="391"/>
      <c r="BY256" s="391"/>
      <c r="BZ256" s="391"/>
      <c r="CA256" s="391"/>
      <c r="CB256" s="391"/>
      <c r="CC256" s="391"/>
      <c r="CD256" s="391"/>
      <c r="CE256" s="391"/>
      <c r="CF256" s="391"/>
      <c r="CG256" s="391"/>
      <c r="CH256" s="391"/>
      <c r="CI256" s="391"/>
      <c r="CJ256" s="391"/>
      <c r="CK256" s="391"/>
      <c r="CL256" s="391"/>
      <c r="CM256" s="391"/>
      <c r="CN256" s="391"/>
      <c r="CO256" s="391"/>
      <c r="CP256" s="391"/>
      <c r="CQ256" s="391"/>
      <c r="CR256" s="391"/>
      <c r="CS256" s="391"/>
      <c r="CT256" s="391"/>
      <c r="CU256" s="391"/>
      <c r="CV256" s="391"/>
      <c r="CW256" s="391"/>
      <c r="CX256" s="391"/>
      <c r="CY256" s="391"/>
      <c r="CZ256" s="391"/>
      <c r="DA256" s="391"/>
      <c r="DB256" s="391"/>
      <c r="DC256" s="391"/>
      <c r="DD256" s="391"/>
      <c r="DE256" s="391"/>
      <c r="DF256" s="391"/>
      <c r="DG256" s="391"/>
      <c r="DH256" s="391"/>
      <c r="DI256" s="391"/>
      <c r="DJ256" s="391"/>
      <c r="DK256" s="391"/>
      <c r="DL256" s="391"/>
      <c r="DM256" s="391"/>
      <c r="DN256" s="391"/>
      <c r="DO256" s="391"/>
      <c r="DP256" s="310">
        <f>BL255</f>
        <v>1</v>
      </c>
      <c r="DQ256" s="310">
        <f>BL275</f>
        <v>0</v>
      </c>
      <c r="DR256" s="310">
        <f>BL289</f>
        <v>0</v>
      </c>
      <c r="DU256" s="310">
        <f t="shared" si="62"/>
        <v>1</v>
      </c>
      <c r="DV256" s="309" t="s">
        <v>1910</v>
      </c>
      <c r="DX256" s="708">
        <f>ROUNDUP(BL239*2500,0)</f>
        <v>18750</v>
      </c>
    </row>
    <row r="257" spans="1:128">
      <c r="A257" s="384"/>
      <c r="B257" s="394" t="s">
        <v>184</v>
      </c>
      <c r="C257" s="357"/>
      <c r="D257" s="357"/>
      <c r="E257" s="357"/>
      <c r="F257" s="357"/>
      <c r="G257" s="357"/>
      <c r="H257" s="357"/>
      <c r="I257" s="357"/>
      <c r="J257" s="357"/>
      <c r="K257" s="357"/>
      <c r="L257" s="357"/>
      <c r="M257" s="357"/>
      <c r="N257" s="357"/>
      <c r="O257" s="357"/>
      <c r="P257" s="362"/>
      <c r="Q257" s="362"/>
      <c r="R257" s="362"/>
      <c r="S257" s="362"/>
      <c r="T257" s="367"/>
      <c r="U257" s="361"/>
      <c r="V257" s="361"/>
      <c r="W257" s="361"/>
      <c r="X257" s="357"/>
      <c r="Y257" s="357"/>
      <c r="Z257" s="357"/>
      <c r="AA257" s="357"/>
      <c r="AB257" s="357"/>
      <c r="AC257" s="357"/>
      <c r="AD257" s="357"/>
      <c r="AE257" s="357"/>
      <c r="AF257" s="357"/>
      <c r="AG257" s="357"/>
      <c r="AH257" s="357"/>
      <c r="AI257" s="357"/>
      <c r="AJ257" s="357"/>
      <c r="AK257" s="357"/>
      <c r="AL257" s="357"/>
      <c r="AM257" s="357"/>
      <c r="AN257" s="357"/>
      <c r="AO257" s="357"/>
      <c r="AP257" s="357"/>
      <c r="AQ257" s="357"/>
      <c r="AR257" s="357"/>
      <c r="AS257" s="362"/>
      <c r="AT257" s="360"/>
      <c r="AU257" s="363"/>
      <c r="AV257" s="364"/>
      <c r="AW257" s="364"/>
      <c r="AX257" s="395"/>
      <c r="AY257" s="365"/>
      <c r="AZ257" s="361"/>
      <c r="BA257" s="357"/>
      <c r="BB257" s="362"/>
      <c r="BC257" s="360"/>
      <c r="BD257" s="380"/>
      <c r="BE257" s="381"/>
      <c r="BF257" s="381"/>
      <c r="BG257" s="381"/>
      <c r="BH257" s="381"/>
      <c r="BI257" s="381"/>
      <c r="BJ257" s="381"/>
      <c r="BK257" s="381"/>
      <c r="BL257" s="381"/>
      <c r="BM257" s="381"/>
      <c r="BN257" s="381"/>
      <c r="BO257" s="381"/>
      <c r="BP257" s="381"/>
      <c r="BQ257" s="381"/>
      <c r="BR257" s="381"/>
      <c r="BS257" s="381"/>
      <c r="BT257" s="381"/>
      <c r="BU257" s="381"/>
      <c r="BV257" s="381"/>
      <c r="BW257" s="381"/>
      <c r="BX257" s="381"/>
      <c r="BY257" s="381"/>
      <c r="BZ257" s="381"/>
      <c r="CA257" s="381"/>
      <c r="CB257" s="381"/>
      <c r="CC257" s="381"/>
      <c r="CD257" s="381"/>
      <c r="CE257" s="381"/>
      <c r="CF257" s="381"/>
      <c r="CG257" s="381"/>
      <c r="CH257" s="381"/>
      <c r="CI257" s="381"/>
      <c r="CJ257" s="381"/>
      <c r="CK257" s="381"/>
      <c r="CL257" s="381"/>
      <c r="CM257" s="381"/>
      <c r="CN257" s="381"/>
      <c r="CO257" s="381"/>
      <c r="CP257" s="381"/>
      <c r="CQ257" s="381"/>
      <c r="CR257" s="381"/>
      <c r="CS257" s="381"/>
      <c r="CT257" s="381"/>
      <c r="CU257" s="381"/>
      <c r="CV257" s="381"/>
      <c r="CW257" s="381"/>
      <c r="CX257" s="381"/>
      <c r="CY257" s="381"/>
      <c r="CZ257" s="381"/>
      <c r="DA257" s="381"/>
      <c r="DB257" s="381"/>
      <c r="DC257" s="381"/>
      <c r="DD257" s="381"/>
      <c r="DE257" s="381"/>
      <c r="DF257" s="381"/>
      <c r="DG257" s="381"/>
      <c r="DH257" s="381"/>
      <c r="DI257" s="381"/>
      <c r="DJ257" s="381"/>
      <c r="DK257" s="381"/>
      <c r="DL257" s="381"/>
      <c r="DM257" s="381"/>
      <c r="DN257" s="381"/>
      <c r="DO257" s="381"/>
      <c r="DU257" s="310">
        <f t="shared" si="62"/>
        <v>0</v>
      </c>
    </row>
    <row r="258" spans="1:128">
      <c r="A258" s="396"/>
      <c r="B258" s="366" t="s">
        <v>183</v>
      </c>
      <c r="C258" s="357"/>
      <c r="D258" s="357"/>
      <c r="E258" s="357"/>
      <c r="F258" s="357"/>
      <c r="G258" s="357"/>
      <c r="H258" s="357"/>
      <c r="I258" s="357"/>
      <c r="J258" s="357"/>
      <c r="K258" s="357"/>
      <c r="L258" s="357"/>
      <c r="M258" s="357"/>
      <c r="N258" s="357"/>
      <c r="O258" s="357"/>
      <c r="P258" s="362"/>
      <c r="Q258" s="362"/>
      <c r="R258" s="362"/>
      <c r="S258" s="362"/>
      <c r="T258" s="360"/>
      <c r="U258" s="361"/>
      <c r="V258" s="361"/>
      <c r="W258" s="361"/>
      <c r="X258" s="357"/>
      <c r="Y258" s="357"/>
      <c r="Z258" s="357"/>
      <c r="AA258" s="357"/>
      <c r="AB258" s="357"/>
      <c r="AC258" s="357"/>
      <c r="AD258" s="357"/>
      <c r="AE258" s="357"/>
      <c r="AF258" s="357"/>
      <c r="AG258" s="357"/>
      <c r="AH258" s="357"/>
      <c r="AI258" s="357"/>
      <c r="AJ258" s="357"/>
      <c r="AK258" s="357"/>
      <c r="AL258" s="357"/>
      <c r="AM258" s="357"/>
      <c r="AN258" s="357"/>
      <c r="AO258" s="357"/>
      <c r="AP258" s="357"/>
      <c r="AQ258" s="357"/>
      <c r="AR258" s="357"/>
      <c r="AS258" s="362"/>
      <c r="AT258" s="360"/>
      <c r="AU258" s="397"/>
      <c r="AV258" s="370"/>
      <c r="AW258" s="370"/>
      <c r="AX258" s="398"/>
      <c r="AY258" s="399"/>
      <c r="AZ258" s="361"/>
      <c r="BA258" s="357"/>
      <c r="BB258" s="362"/>
      <c r="BC258" s="360"/>
      <c r="BD258" s="371"/>
      <c r="BE258" s="369"/>
      <c r="BF258" s="369"/>
      <c r="BG258" s="369"/>
      <c r="BH258" s="369"/>
      <c r="BI258" s="369"/>
      <c r="BJ258" s="369"/>
      <c r="BK258" s="369"/>
      <c r="BL258" s="369"/>
      <c r="BM258" s="369"/>
      <c r="BN258" s="369"/>
      <c r="BO258" s="369"/>
      <c r="BP258" s="369"/>
      <c r="BQ258" s="369"/>
      <c r="BR258" s="369"/>
      <c r="BS258" s="369"/>
      <c r="BT258" s="369"/>
      <c r="BU258" s="369"/>
      <c r="BV258" s="369"/>
      <c r="BW258" s="369"/>
      <c r="BX258" s="369"/>
      <c r="BY258" s="369"/>
      <c r="BZ258" s="369"/>
      <c r="CA258" s="369"/>
      <c r="CB258" s="369"/>
      <c r="CC258" s="369"/>
      <c r="CD258" s="369"/>
      <c r="CE258" s="369"/>
      <c r="CF258" s="369"/>
      <c r="CG258" s="369"/>
      <c r="CH258" s="369"/>
      <c r="CI258" s="369"/>
      <c r="CJ258" s="369"/>
      <c r="CK258" s="369"/>
      <c r="CL258" s="369"/>
      <c r="CM258" s="369"/>
      <c r="CN258" s="369"/>
      <c r="CO258" s="369"/>
      <c r="CP258" s="369"/>
      <c r="CQ258" s="369"/>
      <c r="CR258" s="369"/>
      <c r="CS258" s="369"/>
      <c r="CT258" s="369"/>
      <c r="CU258" s="369"/>
      <c r="CV258" s="369"/>
      <c r="CW258" s="369"/>
      <c r="CX258" s="369"/>
      <c r="CY258" s="369"/>
      <c r="CZ258" s="369"/>
      <c r="DA258" s="369"/>
      <c r="DB258" s="369"/>
      <c r="DC258" s="369"/>
      <c r="DD258" s="369"/>
      <c r="DE258" s="369"/>
      <c r="DF258" s="369"/>
      <c r="DG258" s="369"/>
      <c r="DH258" s="369"/>
      <c r="DI258" s="369"/>
      <c r="DJ258" s="369"/>
      <c r="DK258" s="369"/>
      <c r="DL258" s="369"/>
      <c r="DM258" s="369"/>
      <c r="DN258" s="369"/>
      <c r="DO258" s="369"/>
      <c r="DU258" s="310">
        <f t="shared" si="62"/>
        <v>0</v>
      </c>
    </row>
    <row r="259" spans="1:128">
      <c r="A259" s="396"/>
      <c r="B259" s="366" t="s">
        <v>1055</v>
      </c>
      <c r="C259" s="357"/>
      <c r="D259" s="357"/>
      <c r="E259" s="357"/>
      <c r="F259" s="357">
        <v>90</v>
      </c>
      <c r="G259" s="357"/>
      <c r="H259" s="357"/>
      <c r="I259" s="357"/>
      <c r="J259" s="357"/>
      <c r="K259" s="357"/>
      <c r="L259" s="357"/>
      <c r="M259" s="357"/>
      <c r="N259" s="357"/>
      <c r="O259" s="357"/>
      <c r="P259" s="362"/>
      <c r="Q259" s="362"/>
      <c r="R259" s="362"/>
      <c r="S259" s="362"/>
      <c r="T259" s="360"/>
      <c r="U259" s="361"/>
      <c r="V259" s="361"/>
      <c r="W259" s="361"/>
      <c r="X259" s="357"/>
      <c r="Y259" s="357"/>
      <c r="Z259" s="357"/>
      <c r="AA259" s="357"/>
      <c r="AB259" s="357"/>
      <c r="AC259" s="357"/>
      <c r="AD259" s="357"/>
      <c r="AE259" s="357">
        <f>ROUNDUP(((2.36*9.05)*5)+((2.36*7.85)*3),0)</f>
        <v>163</v>
      </c>
      <c r="AF259" s="357"/>
      <c r="AG259" s="357"/>
      <c r="AH259" s="357"/>
      <c r="AI259" s="357"/>
      <c r="AJ259" s="357"/>
      <c r="AK259" s="357"/>
      <c r="AL259" s="357"/>
      <c r="AM259" s="357"/>
      <c r="AN259" s="357"/>
      <c r="AO259" s="357"/>
      <c r="AP259" s="357"/>
      <c r="AQ259" s="357"/>
      <c r="AR259" s="357"/>
      <c r="AS259" s="362"/>
      <c r="AT259" s="360"/>
      <c r="AU259" s="397"/>
      <c r="AV259" s="364"/>
      <c r="AW259" s="370">
        <f>ROUNDUP(9.47*34.2,0)</f>
        <v>324</v>
      </c>
      <c r="AX259" s="398"/>
      <c r="AY259" s="399"/>
      <c r="AZ259" s="361"/>
      <c r="BA259" s="357">
        <f>AE259</f>
        <v>163</v>
      </c>
      <c r="BB259" s="362"/>
      <c r="BC259" s="365">
        <f t="shared" ref="BC259:BC267" si="66">SUM(AU259:AW259)</f>
        <v>324</v>
      </c>
      <c r="BD259" s="380"/>
      <c r="BE259" s="369"/>
      <c r="BF259" s="369"/>
      <c r="BG259" s="369"/>
      <c r="BH259" s="369"/>
      <c r="BI259" s="369"/>
      <c r="BJ259" s="369"/>
      <c r="BK259" s="369"/>
      <c r="BL259" s="369"/>
      <c r="BM259" s="369"/>
      <c r="BN259" s="369"/>
      <c r="BO259" s="369"/>
      <c r="BP259" s="369"/>
      <c r="BQ259" s="369"/>
      <c r="BR259" s="369"/>
      <c r="BS259" s="369"/>
      <c r="BT259" s="369"/>
      <c r="BU259" s="369"/>
      <c r="BV259" s="369"/>
      <c r="BW259" s="369"/>
      <c r="BX259" s="369"/>
      <c r="BY259" s="369"/>
      <c r="BZ259" s="369"/>
      <c r="CA259" s="369"/>
      <c r="CB259" s="369"/>
      <c r="CC259" s="369"/>
      <c r="CD259" s="369"/>
      <c r="CE259" s="369"/>
      <c r="CF259" s="369"/>
      <c r="CG259" s="369"/>
      <c r="CH259" s="369"/>
      <c r="CI259" s="369"/>
      <c r="CJ259" s="369"/>
      <c r="CK259" s="369"/>
      <c r="CL259" s="369"/>
      <c r="CM259" s="369"/>
      <c r="CN259" s="369"/>
      <c r="CO259" s="369"/>
      <c r="CP259" s="369"/>
      <c r="CQ259" s="369"/>
      <c r="CR259" s="369"/>
      <c r="CS259" s="369"/>
      <c r="CT259" s="369"/>
      <c r="CU259" s="369"/>
      <c r="CV259" s="369"/>
      <c r="CW259" s="369"/>
      <c r="CX259" s="369"/>
      <c r="CY259" s="369"/>
      <c r="CZ259" s="369"/>
      <c r="DA259" s="369"/>
      <c r="DB259" s="369"/>
      <c r="DC259" s="369"/>
      <c r="DD259" s="369"/>
      <c r="DE259" s="369"/>
      <c r="DF259" s="369"/>
      <c r="DG259" s="369"/>
      <c r="DH259" s="369"/>
      <c r="DI259" s="369"/>
      <c r="DJ259" s="369"/>
      <c r="DK259" s="369"/>
      <c r="DL259" s="369"/>
      <c r="DM259" s="369"/>
      <c r="DN259" s="369"/>
      <c r="DO259" s="369"/>
      <c r="DU259" s="310">
        <f t="shared" si="62"/>
        <v>0</v>
      </c>
    </row>
    <row r="260" spans="1:128">
      <c r="A260" s="782"/>
      <c r="B260" s="361" t="s">
        <v>1440</v>
      </c>
      <c r="C260" s="357">
        <v>606</v>
      </c>
      <c r="D260" s="357"/>
      <c r="E260" s="357"/>
      <c r="F260" s="357"/>
      <c r="G260" s="357"/>
      <c r="H260" s="357"/>
      <c r="I260" s="357"/>
      <c r="J260" s="357"/>
      <c r="K260" s="357"/>
      <c r="L260" s="357"/>
      <c r="M260" s="357"/>
      <c r="N260" s="357"/>
      <c r="O260" s="357"/>
      <c r="P260" s="362"/>
      <c r="Q260" s="362"/>
      <c r="R260" s="362"/>
      <c r="S260" s="362"/>
      <c r="T260" s="360"/>
      <c r="U260" s="659">
        <f>ROUNDUP((17*6.5),0)</f>
        <v>111</v>
      </c>
      <c r="V260" s="659"/>
      <c r="W260" s="659"/>
      <c r="X260" s="357"/>
      <c r="Y260" s="357"/>
      <c r="Z260" s="357"/>
      <c r="AA260" s="357"/>
      <c r="AB260" s="357"/>
      <c r="AC260" s="357">
        <f>ROUNDUP(((110*6.5)+(68*4.4))-((BF239*2)+(CE239*6)+(CH239*4)+(CI239*2)),0)</f>
        <v>508</v>
      </c>
      <c r="AD260" s="357">
        <f>ROUNDUP((160*6.5)-((BF239*2)+(BG239*2)+(BH239*2)+(CF239*2)+(CI239*2)),0)</f>
        <v>710</v>
      </c>
      <c r="AE260" s="357">
        <f>ROUNDUP((2.4*6.5),0)</f>
        <v>16</v>
      </c>
      <c r="AF260" s="357"/>
      <c r="AG260" s="357"/>
      <c r="AH260" s="357"/>
      <c r="AI260" s="357"/>
      <c r="AJ260" s="357"/>
      <c r="AK260" s="357"/>
      <c r="AL260" s="357"/>
      <c r="AM260" s="357"/>
      <c r="AN260" s="357"/>
      <c r="AO260" s="357"/>
      <c r="AP260" s="357"/>
      <c r="AQ260" s="357"/>
      <c r="AR260" s="357"/>
      <c r="AS260" s="362"/>
      <c r="AT260" s="360"/>
      <c r="AU260" s="784"/>
      <c r="AV260" s="364"/>
      <c r="AW260" s="370">
        <f>C260</f>
        <v>606</v>
      </c>
      <c r="AX260" s="398"/>
      <c r="AY260" s="399"/>
      <c r="AZ260" s="659">
        <f>AD260+AE260</f>
        <v>726</v>
      </c>
      <c r="BA260" s="357">
        <f>AC260</f>
        <v>508</v>
      </c>
      <c r="BB260" s="362"/>
      <c r="BC260" s="365">
        <f t="shared" si="66"/>
        <v>606</v>
      </c>
      <c r="BD260" s="780"/>
      <c r="BE260" s="369"/>
      <c r="BF260" s="369">
        <v>2</v>
      </c>
      <c r="BG260" s="369"/>
      <c r="BH260" s="369"/>
      <c r="BI260" s="369"/>
      <c r="BJ260" s="369"/>
      <c r="BK260" s="369"/>
      <c r="BL260" s="369"/>
      <c r="BM260" s="369"/>
      <c r="BN260" s="369"/>
      <c r="BO260" s="369"/>
      <c r="BP260" s="369"/>
      <c r="BQ260" s="369"/>
      <c r="BR260" s="369"/>
      <c r="BS260" s="369"/>
      <c r="BT260" s="369"/>
      <c r="BU260" s="369"/>
      <c r="BV260" s="369"/>
      <c r="BW260" s="369"/>
      <c r="BX260" s="369"/>
      <c r="BY260" s="369"/>
      <c r="BZ260" s="369"/>
      <c r="CA260" s="369"/>
      <c r="CB260" s="369"/>
      <c r="CC260" s="369"/>
      <c r="CD260" s="369"/>
      <c r="CE260" s="369"/>
      <c r="CF260" s="369"/>
      <c r="CG260" s="369"/>
      <c r="CH260" s="369"/>
      <c r="CI260" s="369">
        <v>2</v>
      </c>
      <c r="CJ260" s="369"/>
      <c r="CK260" s="369"/>
      <c r="CL260" s="369"/>
      <c r="CM260" s="369"/>
      <c r="CN260" s="369"/>
      <c r="CO260" s="369"/>
      <c r="CP260" s="369"/>
      <c r="CQ260" s="369"/>
      <c r="CR260" s="369"/>
      <c r="CS260" s="369"/>
      <c r="CT260" s="369"/>
      <c r="CU260" s="369"/>
      <c r="CV260" s="369"/>
      <c r="CW260" s="369"/>
      <c r="CX260" s="369"/>
      <c r="CY260" s="369"/>
      <c r="CZ260" s="369"/>
      <c r="DA260" s="369"/>
      <c r="DB260" s="369"/>
      <c r="DC260" s="369"/>
      <c r="DD260" s="369"/>
      <c r="DE260" s="369"/>
      <c r="DF260" s="369"/>
      <c r="DG260" s="369"/>
      <c r="DH260" s="369"/>
      <c r="DI260" s="369"/>
      <c r="DJ260" s="369"/>
      <c r="DK260" s="369"/>
      <c r="DL260" s="369"/>
      <c r="DM260" s="369"/>
      <c r="DN260" s="369"/>
      <c r="DO260" s="369"/>
      <c r="DU260" s="310"/>
    </row>
    <row r="261" spans="1:128">
      <c r="A261" s="782"/>
      <c r="B261" s="783" t="s">
        <v>1449</v>
      </c>
      <c r="C261" s="357">
        <v>73</v>
      </c>
      <c r="D261" s="357"/>
      <c r="E261" s="357"/>
      <c r="F261" s="357"/>
      <c r="G261" s="357"/>
      <c r="H261" s="357"/>
      <c r="I261" s="357"/>
      <c r="J261" s="357"/>
      <c r="K261" s="357"/>
      <c r="L261" s="357"/>
      <c r="M261" s="357"/>
      <c r="N261" s="357"/>
      <c r="O261" s="357"/>
      <c r="P261" s="362"/>
      <c r="Q261" s="362"/>
      <c r="R261" s="362"/>
      <c r="S261" s="362"/>
      <c r="T261" s="360"/>
      <c r="U261" s="659">
        <f>ROUNDUP((35*6.5)-(BH239+(CE239*1)),0)</f>
        <v>188</v>
      </c>
      <c r="V261" s="659"/>
      <c r="W261" s="659"/>
      <c r="X261" s="357"/>
      <c r="Y261" s="357"/>
      <c r="Z261" s="357"/>
      <c r="AA261" s="357"/>
      <c r="AB261" s="357"/>
      <c r="AC261" s="357"/>
      <c r="AD261" s="357">
        <f t="shared" ref="AD261:AD266" si="67">U261</f>
        <v>188</v>
      </c>
      <c r="AE261" s="357"/>
      <c r="AF261" s="357"/>
      <c r="AG261" s="357"/>
      <c r="AH261" s="357"/>
      <c r="AI261" s="357"/>
      <c r="AJ261" s="357"/>
      <c r="AK261" s="357"/>
      <c r="AL261" s="357"/>
      <c r="AM261" s="357"/>
      <c r="AN261" s="357"/>
      <c r="AO261" s="357"/>
      <c r="AP261" s="357"/>
      <c r="AQ261" s="357">
        <f>ROUNDUP((3*6.5)+BH241+CE241,0)</f>
        <v>36</v>
      </c>
      <c r="AR261" s="357"/>
      <c r="AS261" s="362"/>
      <c r="AT261" s="360">
        <f>ROUNDUP(BH240+CE240,0)</f>
        <v>18</v>
      </c>
      <c r="AU261" s="784">
        <f>C261</f>
        <v>73</v>
      </c>
      <c r="AV261" s="364"/>
      <c r="AW261" s="370"/>
      <c r="AX261" s="398"/>
      <c r="AY261" s="399"/>
      <c r="AZ261" s="659">
        <f t="shared" ref="AZ261:AZ266" si="68">AD261</f>
        <v>188</v>
      </c>
      <c r="BA261" s="357"/>
      <c r="BB261" s="362"/>
      <c r="BC261" s="365">
        <f t="shared" si="66"/>
        <v>73</v>
      </c>
      <c r="BD261" s="780"/>
      <c r="BE261" s="369"/>
      <c r="BF261" s="369"/>
      <c r="BG261" s="369"/>
      <c r="BH261" s="369">
        <v>1</v>
      </c>
      <c r="BI261" s="369"/>
      <c r="BJ261" s="369"/>
      <c r="BK261" s="369"/>
      <c r="BL261" s="369"/>
      <c r="BM261" s="369"/>
      <c r="BN261" s="369"/>
      <c r="BO261" s="369"/>
      <c r="BP261" s="369"/>
      <c r="BQ261" s="369"/>
      <c r="BR261" s="369"/>
      <c r="BS261" s="369"/>
      <c r="BT261" s="369"/>
      <c r="BU261" s="369"/>
      <c r="BV261" s="369"/>
      <c r="BW261" s="369"/>
      <c r="BX261" s="369"/>
      <c r="BY261" s="369"/>
      <c r="BZ261" s="369"/>
      <c r="CA261" s="369"/>
      <c r="CB261" s="369"/>
      <c r="CC261" s="369"/>
      <c r="CD261" s="369"/>
      <c r="CE261" s="369">
        <v>1</v>
      </c>
      <c r="CF261" s="369"/>
      <c r="CG261" s="369"/>
      <c r="CH261" s="369"/>
      <c r="CI261" s="369"/>
      <c r="CJ261" s="369"/>
      <c r="CK261" s="369"/>
      <c r="CL261" s="369"/>
      <c r="CM261" s="369"/>
      <c r="CN261" s="369"/>
      <c r="CO261" s="369"/>
      <c r="CP261" s="369"/>
      <c r="CQ261" s="369"/>
      <c r="CR261" s="369"/>
      <c r="CS261" s="369"/>
      <c r="CT261" s="369"/>
      <c r="CU261" s="369"/>
      <c r="CV261" s="369"/>
      <c r="CW261" s="369"/>
      <c r="CX261" s="369"/>
      <c r="CY261" s="369"/>
      <c r="CZ261" s="369"/>
      <c r="DA261" s="369"/>
      <c r="DB261" s="369"/>
      <c r="DC261" s="369"/>
      <c r="DD261" s="369"/>
      <c r="DE261" s="369"/>
      <c r="DF261" s="369"/>
      <c r="DG261" s="369"/>
      <c r="DH261" s="369"/>
      <c r="DI261" s="369"/>
      <c r="DJ261" s="369"/>
      <c r="DK261" s="369"/>
      <c r="DL261" s="369"/>
      <c r="DM261" s="369"/>
      <c r="DN261" s="369"/>
      <c r="DO261" s="369"/>
      <c r="DU261" s="310"/>
    </row>
    <row r="262" spans="1:128">
      <c r="A262" s="782"/>
      <c r="B262" s="783" t="s">
        <v>1450</v>
      </c>
      <c r="C262" s="357">
        <v>154</v>
      </c>
      <c r="D262" s="357"/>
      <c r="E262" s="357"/>
      <c r="F262" s="357"/>
      <c r="G262" s="357"/>
      <c r="H262" s="357"/>
      <c r="I262" s="357"/>
      <c r="J262" s="357"/>
      <c r="K262" s="357"/>
      <c r="L262" s="357"/>
      <c r="M262" s="357"/>
      <c r="N262" s="357"/>
      <c r="O262" s="357"/>
      <c r="P262" s="362"/>
      <c r="Q262" s="362"/>
      <c r="R262" s="362"/>
      <c r="S262" s="362"/>
      <c r="T262" s="360"/>
      <c r="U262" s="659">
        <f>ROUNDUP((55*4.4)-(CE239*2),0)</f>
        <v>182</v>
      </c>
      <c r="V262" s="659"/>
      <c r="W262" s="659"/>
      <c r="X262" s="357"/>
      <c r="Y262" s="357"/>
      <c r="Z262" s="357"/>
      <c r="AA262" s="357"/>
      <c r="AB262" s="357"/>
      <c r="AC262" s="357"/>
      <c r="AD262" s="357">
        <f t="shared" si="67"/>
        <v>182</v>
      </c>
      <c r="AE262" s="357"/>
      <c r="AF262" s="357"/>
      <c r="AG262" s="357"/>
      <c r="AH262" s="357"/>
      <c r="AI262" s="357"/>
      <c r="AJ262" s="357"/>
      <c r="AK262" s="357"/>
      <c r="AL262" s="357"/>
      <c r="AM262" s="357"/>
      <c r="AN262" s="357"/>
      <c r="AO262" s="357"/>
      <c r="AP262" s="357"/>
      <c r="AQ262" s="357">
        <f>ROUNDUP(CE241*2,0)</f>
        <v>16</v>
      </c>
      <c r="AR262" s="357"/>
      <c r="AS262" s="362"/>
      <c r="AT262" s="360">
        <f>ROUNDUP(CE240*2,0)</f>
        <v>32</v>
      </c>
      <c r="AU262" s="784"/>
      <c r="AV262" s="364"/>
      <c r="AW262" s="370">
        <f>C262</f>
        <v>154</v>
      </c>
      <c r="AX262" s="398"/>
      <c r="AY262" s="399"/>
      <c r="AZ262" s="659">
        <f t="shared" si="68"/>
        <v>182</v>
      </c>
      <c r="BA262" s="357"/>
      <c r="BB262" s="362"/>
      <c r="BC262" s="365">
        <f t="shared" si="66"/>
        <v>154</v>
      </c>
      <c r="BD262" s="780"/>
      <c r="BE262" s="369"/>
      <c r="BF262" s="369"/>
      <c r="BG262" s="369"/>
      <c r="BH262" s="369"/>
      <c r="BI262" s="369"/>
      <c r="BJ262" s="369"/>
      <c r="BK262" s="369"/>
      <c r="BL262" s="369"/>
      <c r="BM262" s="369"/>
      <c r="BN262" s="369"/>
      <c r="BO262" s="369"/>
      <c r="BP262" s="369"/>
      <c r="BQ262" s="369"/>
      <c r="BR262" s="369"/>
      <c r="BS262" s="369"/>
      <c r="BT262" s="369"/>
      <c r="BU262" s="369"/>
      <c r="BV262" s="369"/>
      <c r="BW262" s="369"/>
      <c r="BX262" s="369"/>
      <c r="BY262" s="369"/>
      <c r="BZ262" s="369"/>
      <c r="CA262" s="369"/>
      <c r="CB262" s="369"/>
      <c r="CC262" s="369"/>
      <c r="CD262" s="369"/>
      <c r="CE262" s="369">
        <v>2</v>
      </c>
      <c r="CF262" s="369"/>
      <c r="CG262" s="369"/>
      <c r="CH262" s="369"/>
      <c r="CI262" s="369"/>
      <c r="CJ262" s="369"/>
      <c r="CK262" s="369"/>
      <c r="CL262" s="369"/>
      <c r="CM262" s="369"/>
      <c r="CN262" s="369"/>
      <c r="CO262" s="369"/>
      <c r="CP262" s="369"/>
      <c r="CQ262" s="369"/>
      <c r="CR262" s="369"/>
      <c r="CS262" s="369"/>
      <c r="CT262" s="369"/>
      <c r="CU262" s="369"/>
      <c r="CV262" s="369"/>
      <c r="CW262" s="369"/>
      <c r="CX262" s="369"/>
      <c r="CY262" s="369"/>
      <c r="CZ262" s="369"/>
      <c r="DA262" s="369"/>
      <c r="DB262" s="369"/>
      <c r="DC262" s="369"/>
      <c r="DD262" s="369"/>
      <c r="DE262" s="369"/>
      <c r="DF262" s="369"/>
      <c r="DG262" s="369"/>
      <c r="DH262" s="369"/>
      <c r="DI262" s="369"/>
      <c r="DJ262" s="369"/>
      <c r="DK262" s="369"/>
      <c r="DL262" s="369"/>
      <c r="DM262" s="369"/>
      <c r="DN262" s="369"/>
      <c r="DO262" s="369"/>
      <c r="DU262" s="310"/>
    </row>
    <row r="263" spans="1:128">
      <c r="A263" s="384"/>
      <c r="B263" s="783" t="s">
        <v>1451</v>
      </c>
      <c r="C263" s="357">
        <v>73</v>
      </c>
      <c r="D263" s="357"/>
      <c r="E263" s="357"/>
      <c r="F263" s="357"/>
      <c r="G263" s="357"/>
      <c r="H263" s="357"/>
      <c r="I263" s="357"/>
      <c r="J263" s="357"/>
      <c r="K263" s="357"/>
      <c r="L263" s="357"/>
      <c r="M263" s="357"/>
      <c r="N263" s="357"/>
      <c r="O263" s="357"/>
      <c r="P263" s="362"/>
      <c r="Q263" s="362"/>
      <c r="R263" s="362"/>
      <c r="S263" s="362"/>
      <c r="T263" s="360"/>
      <c r="U263" s="659">
        <f>ROUNDUP((35*6.5)-(BH239+(CE239*1)),0)</f>
        <v>188</v>
      </c>
      <c r="V263" s="361"/>
      <c r="W263" s="361"/>
      <c r="X263" s="357"/>
      <c r="Y263" s="357"/>
      <c r="Z263" s="357"/>
      <c r="AA263" s="357"/>
      <c r="AB263" s="357"/>
      <c r="AC263" s="357"/>
      <c r="AD263" s="357">
        <f t="shared" si="67"/>
        <v>188</v>
      </c>
      <c r="AE263" s="357"/>
      <c r="AF263" s="357"/>
      <c r="AG263" s="357"/>
      <c r="AH263" s="357"/>
      <c r="AI263" s="357"/>
      <c r="AJ263" s="357"/>
      <c r="AK263" s="357"/>
      <c r="AL263" s="357"/>
      <c r="AM263" s="357"/>
      <c r="AN263" s="357"/>
      <c r="AO263" s="357"/>
      <c r="AP263" s="357"/>
      <c r="AQ263" s="357">
        <f>ROUNDUP((3*6.5)+BH241+CE241,0)</f>
        <v>36</v>
      </c>
      <c r="AR263" s="357"/>
      <c r="AS263" s="362"/>
      <c r="AT263" s="360">
        <f>ROUNDUP(BH240+CE240,0)</f>
        <v>18</v>
      </c>
      <c r="AU263" s="363">
        <f>C263</f>
        <v>73</v>
      </c>
      <c r="AV263" s="364"/>
      <c r="AW263" s="364"/>
      <c r="AX263" s="395"/>
      <c r="AY263" s="365"/>
      <c r="AZ263" s="659">
        <f t="shared" si="68"/>
        <v>188</v>
      </c>
      <c r="BA263" s="357"/>
      <c r="BB263" s="362"/>
      <c r="BC263" s="365">
        <f t="shared" si="66"/>
        <v>73</v>
      </c>
      <c r="BD263" s="380"/>
      <c r="BE263" s="381"/>
      <c r="BF263" s="381"/>
      <c r="BG263" s="381"/>
      <c r="BH263" s="381">
        <v>1</v>
      </c>
      <c r="BI263" s="381"/>
      <c r="BJ263" s="381"/>
      <c r="BK263" s="381"/>
      <c r="BL263" s="381"/>
      <c r="BM263" s="381"/>
      <c r="BN263" s="381"/>
      <c r="BO263" s="381"/>
      <c r="BP263" s="381"/>
      <c r="BQ263" s="381"/>
      <c r="BR263" s="381"/>
      <c r="BS263" s="381"/>
      <c r="BT263" s="381"/>
      <c r="BU263" s="381"/>
      <c r="BV263" s="381"/>
      <c r="BW263" s="381"/>
      <c r="BX263" s="381"/>
      <c r="BY263" s="381"/>
      <c r="BZ263" s="381"/>
      <c r="CA263" s="381"/>
      <c r="CB263" s="381"/>
      <c r="CC263" s="381"/>
      <c r="CD263" s="381"/>
      <c r="CE263" s="381">
        <v>1</v>
      </c>
      <c r="CF263" s="381"/>
      <c r="CG263" s="381"/>
      <c r="CH263" s="381"/>
      <c r="CI263" s="381"/>
      <c r="CJ263" s="381"/>
      <c r="CK263" s="381"/>
      <c r="CL263" s="381"/>
      <c r="CM263" s="381"/>
      <c r="CN263" s="381"/>
      <c r="CO263" s="381"/>
      <c r="CP263" s="381"/>
      <c r="CQ263" s="381"/>
      <c r="CR263" s="381"/>
      <c r="CS263" s="381"/>
      <c r="CT263" s="381"/>
      <c r="CU263" s="381"/>
      <c r="CV263" s="381"/>
      <c r="CW263" s="381"/>
      <c r="CX263" s="381"/>
      <c r="CY263" s="381"/>
      <c r="CZ263" s="381"/>
      <c r="DA263" s="381"/>
      <c r="DB263" s="381"/>
      <c r="DC263" s="381"/>
      <c r="DD263" s="381"/>
      <c r="DE263" s="381"/>
      <c r="DF263" s="381"/>
      <c r="DG263" s="381"/>
      <c r="DH263" s="381"/>
      <c r="DI263" s="381"/>
      <c r="DJ263" s="381"/>
      <c r="DK263" s="381"/>
      <c r="DL263" s="381"/>
      <c r="DM263" s="381"/>
      <c r="DN263" s="381"/>
      <c r="DO263" s="381"/>
      <c r="DP263" s="310">
        <f>CE255</f>
        <v>0</v>
      </c>
      <c r="DQ263" s="310">
        <f>CE275</f>
        <v>6</v>
      </c>
      <c r="DR263" s="310">
        <f>CE289</f>
        <v>0</v>
      </c>
      <c r="DU263" s="310">
        <f t="shared" si="62"/>
        <v>6</v>
      </c>
      <c r="DV263" s="309" t="s">
        <v>1911</v>
      </c>
      <c r="DX263" s="708">
        <f>ROUNDUP(CE239*2800,0)</f>
        <v>85162</v>
      </c>
    </row>
    <row r="264" spans="1:128">
      <c r="A264" s="384"/>
      <c r="B264" s="783" t="s">
        <v>1452</v>
      </c>
      <c r="C264" s="357">
        <v>154</v>
      </c>
      <c r="D264" s="357"/>
      <c r="E264" s="357"/>
      <c r="F264" s="357"/>
      <c r="G264" s="357"/>
      <c r="H264" s="357"/>
      <c r="I264" s="357"/>
      <c r="J264" s="357"/>
      <c r="K264" s="357"/>
      <c r="L264" s="357"/>
      <c r="M264" s="357"/>
      <c r="N264" s="357"/>
      <c r="O264" s="357"/>
      <c r="P264" s="362"/>
      <c r="Q264" s="362"/>
      <c r="R264" s="362"/>
      <c r="S264" s="362"/>
      <c r="T264" s="360"/>
      <c r="U264" s="659">
        <f>ROUNDUP((55*4.4)-(CE239*2),0)</f>
        <v>182</v>
      </c>
      <c r="V264" s="361"/>
      <c r="W264" s="361"/>
      <c r="X264" s="357"/>
      <c r="Y264" s="357"/>
      <c r="Z264" s="357"/>
      <c r="AA264" s="357"/>
      <c r="AB264" s="357"/>
      <c r="AC264" s="357"/>
      <c r="AD264" s="357">
        <f t="shared" si="67"/>
        <v>182</v>
      </c>
      <c r="AE264" s="357"/>
      <c r="AF264" s="357"/>
      <c r="AG264" s="357"/>
      <c r="AH264" s="357"/>
      <c r="AI264" s="357"/>
      <c r="AJ264" s="357"/>
      <c r="AK264" s="357"/>
      <c r="AL264" s="357"/>
      <c r="AM264" s="357"/>
      <c r="AN264" s="357"/>
      <c r="AO264" s="357"/>
      <c r="AP264" s="357"/>
      <c r="AQ264" s="357">
        <f>ROUNDUP(CE241*2,0)</f>
        <v>16</v>
      </c>
      <c r="AR264" s="357"/>
      <c r="AS264" s="362"/>
      <c r="AT264" s="360">
        <f>ROUNDUP(CE240*2,0)</f>
        <v>32</v>
      </c>
      <c r="AU264" s="363"/>
      <c r="AV264" s="364"/>
      <c r="AW264" s="364">
        <f>C264</f>
        <v>154</v>
      </c>
      <c r="AX264" s="395"/>
      <c r="AY264" s="365"/>
      <c r="AZ264" s="659">
        <f t="shared" si="68"/>
        <v>182</v>
      </c>
      <c r="BA264" s="357"/>
      <c r="BB264" s="362"/>
      <c r="BC264" s="365">
        <f t="shared" si="66"/>
        <v>154</v>
      </c>
      <c r="BD264" s="380"/>
      <c r="BE264" s="381"/>
      <c r="BF264" s="381"/>
      <c r="BG264" s="381"/>
      <c r="BH264" s="381"/>
      <c r="BI264" s="381"/>
      <c r="BJ264" s="381"/>
      <c r="BK264" s="381"/>
      <c r="BL264" s="381"/>
      <c r="BM264" s="381"/>
      <c r="BN264" s="381"/>
      <c r="BO264" s="381"/>
      <c r="BP264" s="381"/>
      <c r="BQ264" s="381"/>
      <c r="BR264" s="381"/>
      <c r="BS264" s="381"/>
      <c r="BT264" s="381"/>
      <c r="BU264" s="381"/>
      <c r="BV264" s="381"/>
      <c r="BW264" s="381"/>
      <c r="BX264" s="381"/>
      <c r="BY264" s="381"/>
      <c r="BZ264" s="381"/>
      <c r="CA264" s="381"/>
      <c r="CB264" s="381"/>
      <c r="CC264" s="381"/>
      <c r="CD264" s="381"/>
      <c r="CE264" s="381">
        <v>2</v>
      </c>
      <c r="CF264" s="381"/>
      <c r="CG264" s="381"/>
      <c r="CH264" s="381"/>
      <c r="CI264" s="381"/>
      <c r="CJ264" s="381"/>
      <c r="CK264" s="381"/>
      <c r="CL264" s="381"/>
      <c r="CM264" s="381"/>
      <c r="CN264" s="381"/>
      <c r="CO264" s="381"/>
      <c r="CP264" s="381"/>
      <c r="CQ264" s="381"/>
      <c r="CR264" s="381"/>
      <c r="CS264" s="381"/>
      <c r="CT264" s="381"/>
      <c r="CU264" s="381"/>
      <c r="CV264" s="381"/>
      <c r="CW264" s="381"/>
      <c r="CX264" s="381"/>
      <c r="CY264" s="381"/>
      <c r="CZ264" s="381"/>
      <c r="DA264" s="381"/>
      <c r="DB264" s="381"/>
      <c r="DC264" s="381"/>
      <c r="DD264" s="381"/>
      <c r="DE264" s="381"/>
      <c r="DF264" s="381"/>
      <c r="DG264" s="381"/>
      <c r="DH264" s="381"/>
      <c r="DI264" s="381"/>
      <c r="DJ264" s="381"/>
      <c r="DK264" s="381"/>
      <c r="DL264" s="381"/>
      <c r="DM264" s="381"/>
      <c r="DN264" s="381"/>
      <c r="DO264" s="381"/>
      <c r="DP264" s="310">
        <f>CF255</f>
        <v>0</v>
      </c>
      <c r="DQ264" s="310">
        <f>CF275</f>
        <v>2</v>
      </c>
      <c r="DR264" s="310">
        <f>CF289</f>
        <v>0</v>
      </c>
      <c r="DU264" s="310">
        <f t="shared" si="62"/>
        <v>2</v>
      </c>
      <c r="DV264" s="309" t="s">
        <v>1912</v>
      </c>
      <c r="DX264" s="708">
        <f>ROUNDUP(CF239*2500,0)</f>
        <v>76038</v>
      </c>
    </row>
    <row r="265" spans="1:128">
      <c r="A265" s="384"/>
      <c r="B265" s="361" t="s">
        <v>1441</v>
      </c>
      <c r="C265" s="357">
        <v>155</v>
      </c>
      <c r="D265" s="357"/>
      <c r="E265" s="357"/>
      <c r="F265" s="357"/>
      <c r="G265" s="357"/>
      <c r="H265" s="357"/>
      <c r="I265" s="357"/>
      <c r="J265" s="357"/>
      <c r="K265" s="357"/>
      <c r="L265" s="357"/>
      <c r="M265" s="357"/>
      <c r="N265" s="357"/>
      <c r="O265" s="357"/>
      <c r="P265" s="362"/>
      <c r="Q265" s="362"/>
      <c r="R265" s="362"/>
      <c r="S265" s="362"/>
      <c r="T265" s="360"/>
      <c r="U265" s="361">
        <f>ROUNDUP(((55.2*4.4)+(7.73*6.5))-(BG239+CF239+(CH239*2)),0)</f>
        <v>157</v>
      </c>
      <c r="V265" s="361"/>
      <c r="W265" s="361"/>
      <c r="X265" s="357"/>
      <c r="Y265" s="357"/>
      <c r="Z265" s="357"/>
      <c r="AA265" s="357"/>
      <c r="AB265" s="357"/>
      <c r="AC265" s="357"/>
      <c r="AD265" s="357">
        <f t="shared" si="67"/>
        <v>157</v>
      </c>
      <c r="AE265" s="357"/>
      <c r="AF265" s="357"/>
      <c r="AG265" s="357"/>
      <c r="AH265" s="357"/>
      <c r="AI265" s="357"/>
      <c r="AJ265" s="357"/>
      <c r="AK265" s="357"/>
      <c r="AL265" s="357"/>
      <c r="AM265" s="357"/>
      <c r="AN265" s="357"/>
      <c r="AO265" s="357"/>
      <c r="AP265" s="357"/>
      <c r="AQ265" s="357">
        <f>ROUNDUP((BG241+CF241+(CH241*2)),0)</f>
        <v>35</v>
      </c>
      <c r="AR265" s="357"/>
      <c r="AS265" s="362"/>
      <c r="AT265" s="360">
        <f>ROUNDUP((BG240+CF240+(CH240*2)),0)</f>
        <v>57</v>
      </c>
      <c r="AU265" s="363"/>
      <c r="AV265" s="364"/>
      <c r="AW265" s="364">
        <f>C265</f>
        <v>155</v>
      </c>
      <c r="AX265" s="395"/>
      <c r="AY265" s="365"/>
      <c r="AZ265" s="659">
        <f t="shared" si="68"/>
        <v>157</v>
      </c>
      <c r="BA265" s="357"/>
      <c r="BB265" s="362"/>
      <c r="BC265" s="365">
        <f t="shared" si="66"/>
        <v>155</v>
      </c>
      <c r="BD265" s="380"/>
      <c r="BE265" s="381"/>
      <c r="BF265" s="381"/>
      <c r="BG265" s="381">
        <v>1</v>
      </c>
      <c r="BH265" s="381"/>
      <c r="BI265" s="381"/>
      <c r="BJ265" s="381"/>
      <c r="BK265" s="381"/>
      <c r="BL265" s="381"/>
      <c r="BM265" s="381"/>
      <c r="BN265" s="381"/>
      <c r="BO265" s="381"/>
      <c r="BP265" s="381"/>
      <c r="BQ265" s="381"/>
      <c r="BR265" s="381"/>
      <c r="BS265" s="381"/>
      <c r="BT265" s="381"/>
      <c r="BU265" s="381"/>
      <c r="BV265" s="381"/>
      <c r="BW265" s="381"/>
      <c r="BX265" s="381"/>
      <c r="BY265" s="381"/>
      <c r="BZ265" s="381"/>
      <c r="CA265" s="381"/>
      <c r="CB265" s="381"/>
      <c r="CC265" s="381"/>
      <c r="CD265" s="381"/>
      <c r="CE265" s="381"/>
      <c r="CF265" s="381">
        <v>1</v>
      </c>
      <c r="CG265" s="381"/>
      <c r="CH265" s="381">
        <v>2</v>
      </c>
      <c r="CI265" s="381"/>
      <c r="CJ265" s="381"/>
      <c r="CK265" s="381"/>
      <c r="CL265" s="381"/>
      <c r="CM265" s="381"/>
      <c r="CN265" s="381"/>
      <c r="CO265" s="381"/>
      <c r="CP265" s="381"/>
      <c r="CQ265" s="381"/>
      <c r="CR265" s="381"/>
      <c r="CS265" s="381"/>
      <c r="CT265" s="381"/>
      <c r="CU265" s="381"/>
      <c r="CV265" s="381"/>
      <c r="CW265" s="381"/>
      <c r="CX265" s="381"/>
      <c r="CY265" s="381"/>
      <c r="CZ265" s="381"/>
      <c r="DA265" s="381"/>
      <c r="DB265" s="381"/>
      <c r="DC265" s="381"/>
      <c r="DD265" s="381"/>
      <c r="DE265" s="381"/>
      <c r="DF265" s="381"/>
      <c r="DG265" s="381"/>
      <c r="DH265" s="381"/>
      <c r="DI265" s="381"/>
      <c r="DJ265" s="381"/>
      <c r="DK265" s="381"/>
      <c r="DL265" s="381"/>
      <c r="DM265" s="381"/>
      <c r="DN265" s="381"/>
      <c r="DO265" s="381"/>
      <c r="DP265" s="310">
        <f>CH255</f>
        <v>0</v>
      </c>
      <c r="DQ265" s="310">
        <f>CH275</f>
        <v>4</v>
      </c>
      <c r="DR265" s="310">
        <f>CH289</f>
        <v>0</v>
      </c>
      <c r="DU265" s="310">
        <f t="shared" si="62"/>
        <v>4</v>
      </c>
      <c r="DV265" s="309" t="s">
        <v>1437</v>
      </c>
      <c r="DX265" s="708">
        <f>ROUNDUP(CH239*3500,0)</f>
        <v>124740</v>
      </c>
    </row>
    <row r="266" spans="1:128">
      <c r="A266" s="384"/>
      <c r="B266" s="361" t="s">
        <v>1442</v>
      </c>
      <c r="C266" s="357">
        <v>155</v>
      </c>
      <c r="D266" s="357"/>
      <c r="E266" s="357"/>
      <c r="F266" s="357"/>
      <c r="G266" s="357"/>
      <c r="H266" s="357"/>
      <c r="I266" s="357"/>
      <c r="J266" s="357"/>
      <c r="K266" s="357"/>
      <c r="L266" s="357"/>
      <c r="M266" s="357"/>
      <c r="N266" s="357"/>
      <c r="O266" s="357"/>
      <c r="P266" s="362"/>
      <c r="Q266" s="362"/>
      <c r="R266" s="362"/>
      <c r="S266" s="362"/>
      <c r="T266" s="360"/>
      <c r="U266" s="361">
        <f>ROUNDUP(((55.2*4.4)+(7.73*6.5))-(BG239+CF239+(CH239*2)),0)</f>
        <v>157</v>
      </c>
      <c r="V266" s="361"/>
      <c r="W266" s="361"/>
      <c r="X266" s="357"/>
      <c r="Y266" s="357"/>
      <c r="Z266" s="357"/>
      <c r="AA266" s="357"/>
      <c r="AB266" s="357"/>
      <c r="AC266" s="357"/>
      <c r="AD266" s="357">
        <f t="shared" si="67"/>
        <v>157</v>
      </c>
      <c r="AE266" s="357"/>
      <c r="AF266" s="357"/>
      <c r="AG266" s="357"/>
      <c r="AH266" s="357"/>
      <c r="AI266" s="357"/>
      <c r="AJ266" s="357"/>
      <c r="AK266" s="357"/>
      <c r="AL266" s="357"/>
      <c r="AM266" s="357"/>
      <c r="AN266" s="357"/>
      <c r="AO266" s="357"/>
      <c r="AP266" s="357"/>
      <c r="AQ266" s="357">
        <f>ROUNDUP((BG241+CF241+(CH241*2)),0)</f>
        <v>35</v>
      </c>
      <c r="AR266" s="357"/>
      <c r="AS266" s="362"/>
      <c r="AT266" s="360">
        <f>ROUNDUP((BG240+CF240+(CH240*2)),0)</f>
        <v>57</v>
      </c>
      <c r="AU266" s="363"/>
      <c r="AV266" s="364"/>
      <c r="AW266" s="364">
        <f>C266</f>
        <v>155</v>
      </c>
      <c r="AX266" s="395"/>
      <c r="AY266" s="365"/>
      <c r="AZ266" s="659">
        <f t="shared" si="68"/>
        <v>157</v>
      </c>
      <c r="BA266" s="357"/>
      <c r="BB266" s="362"/>
      <c r="BC266" s="365">
        <f t="shared" si="66"/>
        <v>155</v>
      </c>
      <c r="BD266" s="380"/>
      <c r="BE266" s="381"/>
      <c r="BF266" s="381"/>
      <c r="BG266" s="381">
        <v>1</v>
      </c>
      <c r="BH266" s="381"/>
      <c r="BI266" s="381"/>
      <c r="BJ266" s="381"/>
      <c r="BK266" s="381"/>
      <c r="BL266" s="381"/>
      <c r="BM266" s="381"/>
      <c r="BN266" s="381"/>
      <c r="BO266" s="381"/>
      <c r="BP266" s="381"/>
      <c r="BQ266" s="381"/>
      <c r="BR266" s="381"/>
      <c r="BS266" s="381"/>
      <c r="BT266" s="381"/>
      <c r="BU266" s="381"/>
      <c r="BV266" s="381"/>
      <c r="BW266" s="381"/>
      <c r="BX266" s="381"/>
      <c r="BY266" s="381"/>
      <c r="BZ266" s="381"/>
      <c r="CA266" s="381"/>
      <c r="CB266" s="381"/>
      <c r="CC266" s="381"/>
      <c r="CD266" s="381"/>
      <c r="CE266" s="381"/>
      <c r="CF266" s="381">
        <v>1</v>
      </c>
      <c r="CG266" s="381"/>
      <c r="CH266" s="381">
        <v>2</v>
      </c>
      <c r="CI266" s="381"/>
      <c r="CJ266" s="381"/>
      <c r="CK266" s="381"/>
      <c r="CL266" s="381"/>
      <c r="CM266" s="381"/>
      <c r="CN266" s="381"/>
      <c r="CO266" s="381"/>
      <c r="CP266" s="381"/>
      <c r="CQ266" s="381"/>
      <c r="CR266" s="381"/>
      <c r="CS266" s="381"/>
      <c r="CT266" s="381"/>
      <c r="CU266" s="381"/>
      <c r="CV266" s="381"/>
      <c r="CW266" s="381"/>
      <c r="CX266" s="381"/>
      <c r="CY266" s="381"/>
      <c r="CZ266" s="381"/>
      <c r="DA266" s="381"/>
      <c r="DB266" s="381"/>
      <c r="DC266" s="381"/>
      <c r="DD266" s="381"/>
      <c r="DE266" s="381"/>
      <c r="DF266" s="381"/>
      <c r="DG266" s="381"/>
      <c r="DH266" s="381"/>
      <c r="DI266" s="381"/>
      <c r="DJ266" s="381"/>
      <c r="DK266" s="381"/>
      <c r="DL266" s="381"/>
      <c r="DM266" s="381"/>
      <c r="DN266" s="381"/>
      <c r="DO266" s="381"/>
      <c r="DP266" s="310">
        <f>CI255</f>
        <v>0</v>
      </c>
      <c r="DQ266" s="310">
        <f>CI275</f>
        <v>2</v>
      </c>
      <c r="DR266" s="310">
        <f>CI289</f>
        <v>0</v>
      </c>
      <c r="DU266" s="310">
        <f t="shared" si="62"/>
        <v>2</v>
      </c>
      <c r="DV266" s="309" t="s">
        <v>1438</v>
      </c>
      <c r="DX266" s="708">
        <f>ROUNDUP(CI239*3500,0)</f>
        <v>158760</v>
      </c>
    </row>
    <row r="267" spans="1:128">
      <c r="A267" s="384"/>
      <c r="B267" s="361" t="s">
        <v>1453</v>
      </c>
      <c r="C267" s="357">
        <f>ROUNDUP(((0.5*6.1)*6)+((0.14*6.1)*7)+(1.6*(6.02+1.5+6.12)),0)</f>
        <v>47</v>
      </c>
      <c r="D267" s="357"/>
      <c r="E267" s="357"/>
      <c r="F267" s="357"/>
      <c r="G267" s="357"/>
      <c r="H267" s="357"/>
      <c r="I267" s="357"/>
      <c r="J267" s="357"/>
      <c r="K267" s="357"/>
      <c r="L267" s="357"/>
      <c r="M267" s="357"/>
      <c r="N267" s="357"/>
      <c r="O267" s="357"/>
      <c r="P267" s="362"/>
      <c r="Q267" s="362"/>
      <c r="R267" s="362"/>
      <c r="S267" s="362"/>
      <c r="T267" s="360"/>
      <c r="U267" s="361"/>
      <c r="V267" s="361"/>
      <c r="W267" s="361"/>
      <c r="X267" s="357"/>
      <c r="Y267" s="357"/>
      <c r="Z267" s="357"/>
      <c r="AA267" s="357"/>
      <c r="AB267" s="357"/>
      <c r="AC267" s="357"/>
      <c r="AD267" s="357"/>
      <c r="AE267" s="357"/>
      <c r="AF267" s="357"/>
      <c r="AG267" s="357"/>
      <c r="AH267" s="357"/>
      <c r="AI267" s="357"/>
      <c r="AJ267" s="357"/>
      <c r="AK267" s="357"/>
      <c r="AL267" s="357"/>
      <c r="AM267" s="357"/>
      <c r="AN267" s="357"/>
      <c r="AO267" s="357"/>
      <c r="AP267" s="357"/>
      <c r="AQ267" s="357"/>
      <c r="AR267" s="357"/>
      <c r="AS267" s="362"/>
      <c r="AT267" s="360"/>
      <c r="AU267" s="363"/>
      <c r="AV267" s="364"/>
      <c r="AW267" s="364"/>
      <c r="AX267" s="395"/>
      <c r="AY267" s="365"/>
      <c r="AZ267" s="361"/>
      <c r="BA267" s="357"/>
      <c r="BB267" s="362"/>
      <c r="BC267" s="365">
        <f t="shared" si="66"/>
        <v>0</v>
      </c>
      <c r="BD267" s="380"/>
      <c r="BE267" s="381"/>
      <c r="BF267" s="381"/>
      <c r="BG267" s="381"/>
      <c r="BH267" s="381"/>
      <c r="BI267" s="381"/>
      <c r="BJ267" s="381"/>
      <c r="BK267" s="381"/>
      <c r="BL267" s="381"/>
      <c r="BM267" s="381"/>
      <c r="BN267" s="381"/>
      <c r="BO267" s="381"/>
      <c r="BP267" s="381"/>
      <c r="BQ267" s="381"/>
      <c r="BR267" s="381"/>
      <c r="BS267" s="381"/>
      <c r="BT267" s="381"/>
      <c r="BU267" s="381"/>
      <c r="BV267" s="381"/>
      <c r="BW267" s="381"/>
      <c r="BX267" s="381"/>
      <c r="BY267" s="381"/>
      <c r="BZ267" s="381"/>
      <c r="CA267" s="381"/>
      <c r="CB267" s="381"/>
      <c r="CC267" s="381"/>
      <c r="CD267" s="381"/>
      <c r="CE267" s="381"/>
      <c r="CF267" s="381"/>
      <c r="CG267" s="381"/>
      <c r="CH267" s="381"/>
      <c r="CI267" s="382"/>
      <c r="CJ267" s="382"/>
      <c r="CK267" s="382"/>
      <c r="CL267" s="382"/>
      <c r="CM267" s="382"/>
      <c r="CN267" s="382"/>
      <c r="CO267" s="382"/>
      <c r="CP267" s="382"/>
      <c r="CQ267" s="382"/>
      <c r="CR267" s="382"/>
      <c r="CS267" s="382"/>
      <c r="CT267" s="382"/>
      <c r="CU267" s="382"/>
      <c r="CV267" s="382"/>
      <c r="CW267" s="382"/>
      <c r="CX267" s="382"/>
      <c r="CY267" s="382"/>
      <c r="CZ267" s="382"/>
      <c r="DA267" s="382"/>
      <c r="DB267" s="382"/>
      <c r="DC267" s="382"/>
      <c r="DD267" s="382"/>
      <c r="DE267" s="382"/>
      <c r="DF267" s="382"/>
      <c r="DG267" s="382"/>
      <c r="DH267" s="382"/>
      <c r="DI267" s="382"/>
      <c r="DJ267" s="382"/>
      <c r="DK267" s="382"/>
      <c r="DL267" s="382"/>
      <c r="DM267" s="382"/>
      <c r="DN267" s="382"/>
      <c r="DO267" s="383"/>
      <c r="DP267" s="310">
        <f>CJ255</f>
        <v>1</v>
      </c>
      <c r="DQ267" s="310">
        <f>CJ275</f>
        <v>0</v>
      </c>
      <c r="DR267" s="310">
        <f>CJ289</f>
        <v>0</v>
      </c>
      <c r="DU267" s="310">
        <f t="shared" si="62"/>
        <v>1</v>
      </c>
      <c r="DV267" s="309" t="s">
        <v>1913</v>
      </c>
      <c r="DX267" s="708">
        <f>ROUNDUP(CJ239*3000,0)</f>
        <v>6750</v>
      </c>
    </row>
    <row r="268" spans="1:128">
      <c r="A268" s="384"/>
      <c r="B268" s="361" t="s">
        <v>1454</v>
      </c>
      <c r="C268" s="357">
        <f>ROUNDUP(((0.5*6.1)*6)+((0.14*6.1)*7)+(1.6*(6.02+1.5+6.12)),0)</f>
        <v>47</v>
      </c>
      <c r="D268" s="357"/>
      <c r="E268" s="357"/>
      <c r="F268" s="357"/>
      <c r="G268" s="357"/>
      <c r="H268" s="357"/>
      <c r="I268" s="357"/>
      <c r="J268" s="357"/>
      <c r="K268" s="357"/>
      <c r="L268" s="357"/>
      <c r="M268" s="357"/>
      <c r="N268" s="357"/>
      <c r="O268" s="357"/>
      <c r="P268" s="362"/>
      <c r="Q268" s="362"/>
      <c r="R268" s="362"/>
      <c r="S268" s="362"/>
      <c r="T268" s="360"/>
      <c r="U268" s="361"/>
      <c r="V268" s="361"/>
      <c r="W268" s="361"/>
      <c r="X268" s="357"/>
      <c r="Y268" s="357"/>
      <c r="Z268" s="357"/>
      <c r="AA268" s="357"/>
      <c r="AB268" s="357"/>
      <c r="AC268" s="357"/>
      <c r="AD268" s="357"/>
      <c r="AE268" s="357"/>
      <c r="AF268" s="357"/>
      <c r="AG268" s="357"/>
      <c r="AH268" s="357"/>
      <c r="AI268" s="357"/>
      <c r="AJ268" s="357"/>
      <c r="AK268" s="357"/>
      <c r="AL268" s="357"/>
      <c r="AM268" s="357"/>
      <c r="AN268" s="357"/>
      <c r="AO268" s="357"/>
      <c r="AP268" s="357"/>
      <c r="AQ268" s="357"/>
      <c r="AR268" s="357"/>
      <c r="AS268" s="362"/>
      <c r="AT268" s="360"/>
      <c r="AU268" s="363"/>
      <c r="AV268" s="364"/>
      <c r="AW268" s="364"/>
      <c r="AX268" s="395"/>
      <c r="AY268" s="365"/>
      <c r="AZ268" s="361"/>
      <c r="BA268" s="357"/>
      <c r="BB268" s="362"/>
      <c r="BC268" s="360"/>
      <c r="BD268" s="380"/>
      <c r="BE268" s="381"/>
      <c r="BF268" s="381"/>
      <c r="BG268" s="381"/>
      <c r="BH268" s="381"/>
      <c r="BI268" s="381"/>
      <c r="BJ268" s="381"/>
      <c r="BK268" s="381"/>
      <c r="BL268" s="381"/>
      <c r="BM268" s="381"/>
      <c r="BN268" s="381"/>
      <c r="BO268" s="381"/>
      <c r="BP268" s="381"/>
      <c r="BQ268" s="381"/>
      <c r="BR268" s="381"/>
      <c r="BS268" s="381"/>
      <c r="BT268" s="381"/>
      <c r="BU268" s="381"/>
      <c r="BV268" s="381"/>
      <c r="BW268" s="381"/>
      <c r="BX268" s="381"/>
      <c r="BY268" s="381"/>
      <c r="BZ268" s="381"/>
      <c r="CA268" s="381"/>
      <c r="CB268" s="381"/>
      <c r="CC268" s="381"/>
      <c r="CD268" s="381"/>
      <c r="CE268" s="381"/>
      <c r="CF268" s="381"/>
      <c r="CG268" s="381"/>
      <c r="CH268" s="381"/>
      <c r="CI268" s="382"/>
      <c r="CJ268" s="382"/>
      <c r="CK268" s="382"/>
      <c r="CL268" s="382"/>
      <c r="CM268" s="382"/>
      <c r="CN268" s="382"/>
      <c r="CO268" s="382"/>
      <c r="CP268" s="382"/>
      <c r="CQ268" s="382"/>
      <c r="CR268" s="382"/>
      <c r="CS268" s="382"/>
      <c r="CT268" s="382"/>
      <c r="CU268" s="382"/>
      <c r="CV268" s="382"/>
      <c r="CW268" s="382"/>
      <c r="CX268" s="382"/>
      <c r="CY268" s="382"/>
      <c r="CZ268" s="382"/>
      <c r="DA268" s="382"/>
      <c r="DB268" s="382"/>
      <c r="DC268" s="382"/>
      <c r="DD268" s="382"/>
      <c r="DE268" s="382"/>
      <c r="DF268" s="382"/>
      <c r="DG268" s="382"/>
      <c r="DH268" s="382"/>
      <c r="DI268" s="382"/>
      <c r="DJ268" s="382"/>
      <c r="DK268" s="382"/>
      <c r="DL268" s="382"/>
      <c r="DM268" s="382"/>
      <c r="DN268" s="382"/>
      <c r="DO268" s="383"/>
    </row>
    <row r="269" spans="1:128">
      <c r="A269" s="781"/>
      <c r="B269" s="361" t="s">
        <v>1455</v>
      </c>
      <c r="C269" s="357"/>
      <c r="D269" s="357"/>
      <c r="E269" s="357"/>
      <c r="F269" s="357">
        <f>ROUNDUP(356+(0.15*(23.6+21.8+20+16.4+14.6+12.8+9.2+7.4+5.6+3.7+5.54+10.9+12.7+14.5+7.2+7.2+7.2+9.6+7.8+6+4.2+6+11.4+13.2+13.2+13.2+2+3.8)),0)</f>
        <v>400</v>
      </c>
      <c r="G269" s="357"/>
      <c r="H269" s="357"/>
      <c r="I269" s="357"/>
      <c r="J269" s="357"/>
      <c r="K269" s="357"/>
      <c r="L269" s="357"/>
      <c r="M269" s="357"/>
      <c r="N269" s="357"/>
      <c r="O269" s="357"/>
      <c r="P269" s="362"/>
      <c r="Q269" s="362"/>
      <c r="R269" s="362"/>
      <c r="S269" s="362"/>
      <c r="T269" s="360"/>
      <c r="U269" s="659"/>
      <c r="V269" s="659">
        <f>ROUNDUP(98.61,0)</f>
        <v>99</v>
      </c>
      <c r="W269" s="659"/>
      <c r="X269" s="357"/>
      <c r="Y269" s="357"/>
      <c r="Z269" s="357"/>
      <c r="AA269" s="357"/>
      <c r="AB269" s="357">
        <f>ROUNDUP(117.64,0)</f>
        <v>118</v>
      </c>
      <c r="AC269" s="357">
        <f>ROUNDUP(117.64,0)</f>
        <v>118</v>
      </c>
      <c r="AD269" s="357"/>
      <c r="AE269" s="357"/>
      <c r="AF269" s="357"/>
      <c r="AG269" s="357"/>
      <c r="AH269" s="357"/>
      <c r="AI269" s="357"/>
      <c r="AJ269" s="357"/>
      <c r="AK269" s="357"/>
      <c r="AL269" s="357"/>
      <c r="AM269" s="357"/>
      <c r="AN269" s="357"/>
      <c r="AO269" s="357"/>
      <c r="AP269" s="357"/>
      <c r="AQ269" s="357"/>
      <c r="AR269" s="357"/>
      <c r="AS269" s="362"/>
      <c r="AT269" s="360">
        <v>18</v>
      </c>
      <c r="AU269" s="779"/>
      <c r="AV269" s="364"/>
      <c r="AW269" s="364"/>
      <c r="AX269" s="395"/>
      <c r="AY269" s="365"/>
      <c r="AZ269" s="659"/>
      <c r="BA269" s="357"/>
      <c r="BB269" s="362"/>
      <c r="BC269" s="360"/>
      <c r="BD269" s="780"/>
      <c r="BE269" s="381"/>
      <c r="BF269" s="381"/>
      <c r="BG269" s="381"/>
      <c r="BH269" s="381"/>
      <c r="BI269" s="381"/>
      <c r="BJ269" s="381"/>
      <c r="BK269" s="381"/>
      <c r="BL269" s="381"/>
      <c r="BM269" s="381"/>
      <c r="BN269" s="381"/>
      <c r="BO269" s="381"/>
      <c r="BP269" s="381"/>
      <c r="BQ269" s="381"/>
      <c r="BR269" s="381"/>
      <c r="BS269" s="381"/>
      <c r="BT269" s="381"/>
      <c r="BU269" s="381"/>
      <c r="BV269" s="381"/>
      <c r="BW269" s="381"/>
      <c r="BX269" s="381"/>
      <c r="BY269" s="381"/>
      <c r="BZ269" s="381"/>
      <c r="CA269" s="381"/>
      <c r="CB269" s="381"/>
      <c r="CC269" s="381"/>
      <c r="CD269" s="381"/>
      <c r="CE269" s="381"/>
      <c r="CF269" s="381"/>
      <c r="CG269" s="381"/>
      <c r="CH269" s="381"/>
      <c r="CI269" s="382"/>
      <c r="CJ269" s="382"/>
      <c r="CK269" s="382"/>
      <c r="CL269" s="382"/>
      <c r="CM269" s="382"/>
      <c r="CN269" s="382"/>
      <c r="CO269" s="382"/>
      <c r="CP269" s="382"/>
      <c r="CQ269" s="382"/>
      <c r="CR269" s="382"/>
      <c r="CS269" s="382"/>
      <c r="CT269" s="382"/>
      <c r="CU269" s="382"/>
      <c r="CV269" s="382"/>
      <c r="CW269" s="382"/>
      <c r="CX269" s="382"/>
      <c r="CY269" s="382"/>
      <c r="CZ269" s="382"/>
      <c r="DA269" s="382"/>
      <c r="DB269" s="382"/>
      <c r="DC269" s="382"/>
      <c r="DD269" s="382"/>
      <c r="DE269" s="382"/>
      <c r="DF269" s="382"/>
      <c r="DG269" s="382"/>
      <c r="DH269" s="382"/>
      <c r="DI269" s="382"/>
      <c r="DJ269" s="382"/>
      <c r="DK269" s="382"/>
      <c r="DL269" s="382"/>
      <c r="DM269" s="382"/>
      <c r="DN269" s="382"/>
      <c r="DO269" s="383"/>
    </row>
    <row r="270" spans="1:128">
      <c r="A270" s="781"/>
      <c r="B270" s="361" t="s">
        <v>1443</v>
      </c>
      <c r="C270" s="357"/>
      <c r="D270" s="357"/>
      <c r="E270" s="357"/>
      <c r="F270" s="357">
        <v>225</v>
      </c>
      <c r="G270" s="357"/>
      <c r="H270" s="357"/>
      <c r="I270" s="357"/>
      <c r="J270" s="357"/>
      <c r="K270" s="357"/>
      <c r="L270" s="357"/>
      <c r="M270" s="357"/>
      <c r="N270" s="357"/>
      <c r="O270" s="357"/>
      <c r="P270" s="362"/>
      <c r="Q270" s="362"/>
      <c r="R270" s="362"/>
      <c r="S270" s="362"/>
      <c r="T270" s="360"/>
      <c r="U270" s="659"/>
      <c r="V270" s="659">
        <f>ROUNDUP(21.71+8.77+1.32+9.21+30.45,0)</f>
        <v>72</v>
      </c>
      <c r="W270" s="659"/>
      <c r="X270" s="357"/>
      <c r="Y270" s="357"/>
      <c r="Z270" s="357"/>
      <c r="AA270" s="357"/>
      <c r="AB270" s="357">
        <f>ROUNDUP(158.52,0)</f>
        <v>159</v>
      </c>
      <c r="AC270" s="357">
        <f>ROUNDUP(158.52,0)</f>
        <v>159</v>
      </c>
      <c r="AD270" s="357"/>
      <c r="AE270" s="357"/>
      <c r="AF270" s="357"/>
      <c r="AG270" s="357"/>
      <c r="AH270" s="357"/>
      <c r="AI270" s="357"/>
      <c r="AJ270" s="357"/>
      <c r="AK270" s="357"/>
      <c r="AL270" s="357"/>
      <c r="AM270" s="357"/>
      <c r="AN270" s="357"/>
      <c r="AO270" s="357"/>
      <c r="AP270" s="357"/>
      <c r="AQ270" s="357"/>
      <c r="AR270" s="357"/>
      <c r="AS270" s="362"/>
      <c r="AT270" s="360">
        <f>ROUNDUP(30.93+10.19+1.73+9.75+22.36,0)</f>
        <v>75</v>
      </c>
      <c r="AU270" s="779"/>
      <c r="AV270" s="364"/>
      <c r="AW270" s="364"/>
      <c r="AX270" s="395"/>
      <c r="AY270" s="365"/>
      <c r="AZ270" s="659"/>
      <c r="BA270" s="357"/>
      <c r="BB270" s="362"/>
      <c r="BC270" s="360"/>
      <c r="BD270" s="780"/>
      <c r="BE270" s="381"/>
      <c r="BF270" s="381"/>
      <c r="BG270" s="381"/>
      <c r="BH270" s="381"/>
      <c r="BI270" s="381"/>
      <c r="BJ270" s="381"/>
      <c r="BK270" s="381"/>
      <c r="BL270" s="381"/>
      <c r="BM270" s="381"/>
      <c r="BN270" s="381"/>
      <c r="BO270" s="381"/>
      <c r="BP270" s="381"/>
      <c r="BQ270" s="381"/>
      <c r="BR270" s="381"/>
      <c r="BS270" s="381"/>
      <c r="BT270" s="381"/>
      <c r="BU270" s="381"/>
      <c r="BV270" s="381"/>
      <c r="BW270" s="381"/>
      <c r="BX270" s="381"/>
      <c r="BY270" s="381"/>
      <c r="BZ270" s="381"/>
      <c r="CA270" s="381"/>
      <c r="CB270" s="381"/>
      <c r="CC270" s="381"/>
      <c r="CD270" s="381"/>
      <c r="CE270" s="381"/>
      <c r="CF270" s="381"/>
      <c r="CG270" s="381"/>
      <c r="CH270" s="381"/>
      <c r="CI270" s="382"/>
      <c r="CJ270" s="382"/>
      <c r="CK270" s="382"/>
      <c r="CL270" s="382"/>
      <c r="CM270" s="382"/>
      <c r="CN270" s="382"/>
      <c r="CO270" s="382"/>
      <c r="CP270" s="382"/>
      <c r="CQ270" s="382"/>
      <c r="CR270" s="382"/>
      <c r="CS270" s="382"/>
      <c r="CT270" s="382"/>
      <c r="CU270" s="382"/>
      <c r="CV270" s="382"/>
      <c r="CW270" s="382"/>
      <c r="CX270" s="382"/>
      <c r="CY270" s="382"/>
      <c r="CZ270" s="382"/>
      <c r="DA270" s="382"/>
      <c r="DB270" s="382"/>
      <c r="DC270" s="382"/>
      <c r="DD270" s="382"/>
      <c r="DE270" s="382"/>
      <c r="DF270" s="382"/>
      <c r="DG270" s="382"/>
      <c r="DH270" s="382"/>
      <c r="DI270" s="382"/>
      <c r="DJ270" s="382"/>
      <c r="DK270" s="382"/>
      <c r="DL270" s="382"/>
      <c r="DM270" s="382"/>
      <c r="DN270" s="382"/>
      <c r="DO270" s="383"/>
    </row>
    <row r="271" spans="1:128">
      <c r="A271" s="781"/>
      <c r="B271" s="361" t="s">
        <v>1456</v>
      </c>
      <c r="C271" s="357"/>
      <c r="D271" s="357"/>
      <c r="E271" s="357"/>
      <c r="F271" s="357">
        <f>ROUNDUP(6.2*20,0)</f>
        <v>124</v>
      </c>
      <c r="G271" s="357"/>
      <c r="H271" s="357"/>
      <c r="I271" s="357"/>
      <c r="J271" s="357"/>
      <c r="K271" s="357"/>
      <c r="L271" s="357"/>
      <c r="M271" s="357"/>
      <c r="N271" s="357"/>
      <c r="O271" s="357"/>
      <c r="P271" s="362"/>
      <c r="Q271" s="362"/>
      <c r="R271" s="362"/>
      <c r="S271" s="362"/>
      <c r="T271" s="360"/>
      <c r="U271" s="659"/>
      <c r="V271" s="659">
        <f>ROUNDUP(77.62,0)</f>
        <v>78</v>
      </c>
      <c r="W271" s="659"/>
      <c r="X271" s="357"/>
      <c r="Y271" s="357"/>
      <c r="Z271" s="357"/>
      <c r="AA271" s="357"/>
      <c r="AB271" s="357">
        <f>ROUNDUP(121.44,0)</f>
        <v>122</v>
      </c>
      <c r="AC271" s="357">
        <f>ROUNDUP(121.44,0)</f>
        <v>122</v>
      </c>
      <c r="AD271" s="357"/>
      <c r="AE271" s="357"/>
      <c r="AF271" s="357"/>
      <c r="AG271" s="357"/>
      <c r="AH271" s="357"/>
      <c r="AI271" s="357"/>
      <c r="AJ271" s="357"/>
      <c r="AK271" s="357"/>
      <c r="AL271" s="357"/>
      <c r="AM271" s="357"/>
      <c r="AN271" s="357"/>
      <c r="AO271" s="357"/>
      <c r="AP271" s="357"/>
      <c r="AQ271" s="357"/>
      <c r="AR271" s="357"/>
      <c r="AS271" s="362"/>
      <c r="AT271" s="360">
        <f>ROUNDUP(19.36+16.5+1.73+4.87+3.55,0)</f>
        <v>47</v>
      </c>
      <c r="AU271" s="779"/>
      <c r="AV271" s="364"/>
      <c r="AW271" s="364"/>
      <c r="AX271" s="395"/>
      <c r="AY271" s="365"/>
      <c r="AZ271" s="659"/>
      <c r="BA271" s="357"/>
      <c r="BB271" s="362"/>
      <c r="BC271" s="360"/>
      <c r="BD271" s="780"/>
      <c r="BE271" s="381"/>
      <c r="BF271" s="381"/>
      <c r="BG271" s="381"/>
      <c r="BH271" s="381"/>
      <c r="BI271" s="381"/>
      <c r="BJ271" s="381"/>
      <c r="BK271" s="381"/>
      <c r="BL271" s="381"/>
      <c r="BM271" s="381"/>
      <c r="BN271" s="381"/>
      <c r="BO271" s="381"/>
      <c r="BP271" s="381"/>
      <c r="BQ271" s="381"/>
      <c r="BR271" s="381"/>
      <c r="BS271" s="381"/>
      <c r="BT271" s="381"/>
      <c r="BU271" s="381"/>
      <c r="BV271" s="381"/>
      <c r="BW271" s="381"/>
      <c r="BX271" s="381"/>
      <c r="BY271" s="381"/>
      <c r="BZ271" s="381"/>
      <c r="CA271" s="381"/>
      <c r="CB271" s="381"/>
      <c r="CC271" s="381"/>
      <c r="CD271" s="381"/>
      <c r="CE271" s="381"/>
      <c r="CF271" s="381"/>
      <c r="CG271" s="381"/>
      <c r="CH271" s="381"/>
      <c r="CI271" s="382"/>
      <c r="CJ271" s="382"/>
      <c r="CK271" s="382"/>
      <c r="CL271" s="382"/>
      <c r="CM271" s="382"/>
      <c r="CN271" s="382"/>
      <c r="CO271" s="382"/>
      <c r="CP271" s="382"/>
      <c r="CQ271" s="382"/>
      <c r="CR271" s="382"/>
      <c r="CS271" s="382"/>
      <c r="CT271" s="382"/>
      <c r="CU271" s="382"/>
      <c r="CV271" s="382"/>
      <c r="CW271" s="382"/>
      <c r="CX271" s="382"/>
      <c r="CY271" s="382"/>
      <c r="CZ271" s="382"/>
      <c r="DA271" s="382"/>
      <c r="DB271" s="382"/>
      <c r="DC271" s="382"/>
      <c r="DD271" s="382"/>
      <c r="DE271" s="382"/>
      <c r="DF271" s="382"/>
      <c r="DG271" s="382"/>
      <c r="DH271" s="382"/>
      <c r="DI271" s="382"/>
      <c r="DJ271" s="382"/>
      <c r="DK271" s="382"/>
      <c r="DL271" s="382"/>
      <c r="DM271" s="382"/>
      <c r="DN271" s="382"/>
      <c r="DO271" s="383"/>
    </row>
    <row r="272" spans="1:128">
      <c r="A272" s="781"/>
      <c r="B272" s="405"/>
      <c r="C272" s="357"/>
      <c r="D272" s="357"/>
      <c r="E272" s="357"/>
      <c r="F272" s="357"/>
      <c r="G272" s="357"/>
      <c r="H272" s="357"/>
      <c r="I272" s="357"/>
      <c r="J272" s="357"/>
      <c r="K272" s="357"/>
      <c r="L272" s="357"/>
      <c r="M272" s="357"/>
      <c r="N272" s="357"/>
      <c r="O272" s="357"/>
      <c r="P272" s="362"/>
      <c r="Q272" s="362"/>
      <c r="R272" s="362"/>
      <c r="S272" s="362"/>
      <c r="T272" s="360"/>
      <c r="U272" s="659"/>
      <c r="V272" s="659"/>
      <c r="W272" s="659"/>
      <c r="X272" s="357"/>
      <c r="Y272" s="357"/>
      <c r="Z272" s="357"/>
      <c r="AA272" s="357"/>
      <c r="AB272" s="357"/>
      <c r="AC272" s="357"/>
      <c r="AD272" s="357"/>
      <c r="AE272" s="357"/>
      <c r="AF272" s="357"/>
      <c r="AG272" s="357"/>
      <c r="AH272" s="357"/>
      <c r="AI272" s="357"/>
      <c r="AJ272" s="357"/>
      <c r="AK272" s="357"/>
      <c r="AL272" s="357"/>
      <c r="AM272" s="357"/>
      <c r="AN272" s="357"/>
      <c r="AO272" s="357"/>
      <c r="AP272" s="357"/>
      <c r="AQ272" s="357"/>
      <c r="AR272" s="357"/>
      <c r="AS272" s="362"/>
      <c r="AT272" s="360"/>
      <c r="AU272" s="779"/>
      <c r="AV272" s="364"/>
      <c r="AW272" s="364"/>
      <c r="AX272" s="395"/>
      <c r="AY272" s="365"/>
      <c r="AZ272" s="659"/>
      <c r="BA272" s="357"/>
      <c r="BB272" s="362"/>
      <c r="BC272" s="360"/>
      <c r="BD272" s="780"/>
      <c r="BE272" s="381"/>
      <c r="BF272" s="381"/>
      <c r="BG272" s="381"/>
      <c r="BH272" s="381"/>
      <c r="BI272" s="381"/>
      <c r="BJ272" s="381"/>
      <c r="BK272" s="381"/>
      <c r="BL272" s="381"/>
      <c r="BM272" s="381"/>
      <c r="BN272" s="381"/>
      <c r="BO272" s="381"/>
      <c r="BP272" s="381"/>
      <c r="BQ272" s="381"/>
      <c r="BR272" s="381"/>
      <c r="BS272" s="381"/>
      <c r="BT272" s="381"/>
      <c r="BU272" s="381"/>
      <c r="BV272" s="381"/>
      <c r="BW272" s="381"/>
      <c r="BX272" s="381"/>
      <c r="BY272" s="381"/>
      <c r="BZ272" s="381"/>
      <c r="CA272" s="381"/>
      <c r="CB272" s="381"/>
      <c r="CC272" s="381"/>
      <c r="CD272" s="381"/>
      <c r="CE272" s="381"/>
      <c r="CF272" s="381"/>
      <c r="CG272" s="381"/>
      <c r="CH272" s="381"/>
      <c r="CI272" s="382"/>
      <c r="CJ272" s="382"/>
      <c r="CK272" s="382"/>
      <c r="CL272" s="382"/>
      <c r="CM272" s="382"/>
      <c r="CN272" s="382"/>
      <c r="CO272" s="382"/>
      <c r="CP272" s="382"/>
      <c r="CQ272" s="382"/>
      <c r="CR272" s="382"/>
      <c r="CS272" s="382"/>
      <c r="CT272" s="382"/>
      <c r="CU272" s="382"/>
      <c r="CV272" s="382"/>
      <c r="CW272" s="382"/>
      <c r="CX272" s="382"/>
      <c r="CY272" s="382"/>
      <c r="CZ272" s="382"/>
      <c r="DA272" s="382"/>
      <c r="DB272" s="382"/>
      <c r="DC272" s="382"/>
      <c r="DD272" s="382"/>
      <c r="DE272" s="382"/>
      <c r="DF272" s="382"/>
      <c r="DG272" s="382"/>
      <c r="DH272" s="382"/>
      <c r="DI272" s="382"/>
      <c r="DJ272" s="382"/>
      <c r="DK272" s="382"/>
      <c r="DL272" s="382"/>
      <c r="DM272" s="382"/>
      <c r="DN272" s="382"/>
      <c r="DO272" s="383"/>
    </row>
    <row r="273" spans="1:122">
      <c r="A273" s="384"/>
      <c r="B273" s="405"/>
      <c r="C273" s="357"/>
      <c r="D273" s="357"/>
      <c r="E273" s="357"/>
      <c r="F273" s="357"/>
      <c r="G273" s="357"/>
      <c r="H273" s="357"/>
      <c r="I273" s="357"/>
      <c r="J273" s="357"/>
      <c r="K273" s="357"/>
      <c r="L273" s="357"/>
      <c r="M273" s="357"/>
      <c r="N273" s="357"/>
      <c r="O273" s="357"/>
      <c r="P273" s="362"/>
      <c r="Q273" s="362"/>
      <c r="R273" s="362"/>
      <c r="S273" s="362"/>
      <c r="T273" s="360"/>
      <c r="U273" s="361"/>
      <c r="V273" s="361"/>
      <c r="W273" s="361"/>
      <c r="X273" s="357"/>
      <c r="Y273" s="357"/>
      <c r="Z273" s="357"/>
      <c r="AA273" s="357"/>
      <c r="AB273" s="357"/>
      <c r="AC273" s="357"/>
      <c r="AD273" s="357"/>
      <c r="AE273" s="357"/>
      <c r="AF273" s="357"/>
      <c r="AG273" s="357"/>
      <c r="AH273" s="357"/>
      <c r="AI273" s="357"/>
      <c r="AJ273" s="357"/>
      <c r="AK273" s="357"/>
      <c r="AL273" s="357"/>
      <c r="AM273" s="357"/>
      <c r="AN273" s="357"/>
      <c r="AO273" s="357"/>
      <c r="AP273" s="357"/>
      <c r="AQ273" s="357"/>
      <c r="AR273" s="357"/>
      <c r="AS273" s="362"/>
      <c r="AT273" s="360"/>
      <c r="AU273" s="363"/>
      <c r="AV273" s="364"/>
      <c r="AW273" s="364"/>
      <c r="AX273" s="395"/>
      <c r="AY273" s="365"/>
      <c r="AZ273" s="361"/>
      <c r="BA273" s="357"/>
      <c r="BB273" s="362"/>
      <c r="BC273" s="360"/>
      <c r="BD273" s="380"/>
      <c r="BE273" s="381"/>
      <c r="BF273" s="381"/>
      <c r="BG273" s="381"/>
      <c r="BH273" s="381"/>
      <c r="BI273" s="381"/>
      <c r="BJ273" s="381"/>
      <c r="BK273" s="381"/>
      <c r="BL273" s="381"/>
      <c r="BM273" s="381"/>
      <c r="BN273" s="381"/>
      <c r="BO273" s="381"/>
      <c r="BP273" s="381"/>
      <c r="BQ273" s="381"/>
      <c r="BR273" s="381"/>
      <c r="BS273" s="381"/>
      <c r="BT273" s="381"/>
      <c r="BU273" s="381"/>
      <c r="BV273" s="381"/>
      <c r="BW273" s="381"/>
      <c r="BX273" s="381"/>
      <c r="BY273" s="381"/>
      <c r="BZ273" s="381"/>
      <c r="CA273" s="381"/>
      <c r="CB273" s="381"/>
      <c r="CC273" s="381"/>
      <c r="CD273" s="381"/>
      <c r="CE273" s="381"/>
      <c r="CF273" s="381"/>
      <c r="CG273" s="381"/>
      <c r="CH273" s="381"/>
      <c r="CI273" s="382"/>
      <c r="CJ273" s="382"/>
      <c r="CK273" s="382"/>
      <c r="CL273" s="382"/>
      <c r="CM273" s="382"/>
      <c r="CN273" s="382"/>
      <c r="CO273" s="382"/>
      <c r="CP273" s="382"/>
      <c r="CQ273" s="382"/>
      <c r="CR273" s="382"/>
      <c r="CS273" s="382"/>
      <c r="CT273" s="382"/>
      <c r="CU273" s="382"/>
      <c r="CV273" s="382"/>
      <c r="CW273" s="382"/>
      <c r="CX273" s="382"/>
      <c r="CY273" s="382"/>
      <c r="CZ273" s="382"/>
      <c r="DA273" s="382"/>
      <c r="DB273" s="382"/>
      <c r="DC273" s="382"/>
      <c r="DD273" s="382"/>
      <c r="DE273" s="382"/>
      <c r="DF273" s="382"/>
      <c r="DG273" s="382"/>
      <c r="DH273" s="382"/>
      <c r="DI273" s="382"/>
      <c r="DJ273" s="382"/>
      <c r="DK273" s="382"/>
      <c r="DL273" s="382"/>
      <c r="DM273" s="382"/>
      <c r="DN273" s="382"/>
      <c r="DO273" s="383"/>
    </row>
    <row r="274" spans="1:122">
      <c r="A274" s="384"/>
      <c r="B274" s="361"/>
      <c r="C274" s="357"/>
      <c r="D274" s="357"/>
      <c r="E274" s="357"/>
      <c r="F274" s="357"/>
      <c r="G274" s="357"/>
      <c r="H274" s="357"/>
      <c r="I274" s="357"/>
      <c r="J274" s="357"/>
      <c r="K274" s="357"/>
      <c r="L274" s="357"/>
      <c r="M274" s="357"/>
      <c r="N274" s="357"/>
      <c r="O274" s="357"/>
      <c r="P274" s="362"/>
      <c r="Q274" s="362"/>
      <c r="R274" s="362"/>
      <c r="S274" s="362"/>
      <c r="T274" s="367"/>
      <c r="U274" s="361"/>
      <c r="V274" s="361"/>
      <c r="W274" s="361"/>
      <c r="X274" s="357"/>
      <c r="Y274" s="357"/>
      <c r="Z274" s="357"/>
      <c r="AA274" s="357"/>
      <c r="AB274" s="357"/>
      <c r="AC274" s="357"/>
      <c r="AD274" s="357"/>
      <c r="AE274" s="357"/>
      <c r="AF274" s="357"/>
      <c r="AG274" s="357"/>
      <c r="AH274" s="357"/>
      <c r="AI274" s="357"/>
      <c r="AJ274" s="357"/>
      <c r="AK274" s="357"/>
      <c r="AL274" s="357"/>
      <c r="AM274" s="357"/>
      <c r="AN274" s="357"/>
      <c r="AO274" s="357"/>
      <c r="AP274" s="357"/>
      <c r="AQ274" s="357"/>
      <c r="AR274" s="357"/>
      <c r="AS274" s="362"/>
      <c r="AT274" s="360"/>
      <c r="AU274" s="361"/>
      <c r="AV274" s="357"/>
      <c r="AW274" s="357"/>
      <c r="AX274" s="362"/>
      <c r="AY274" s="360"/>
      <c r="AZ274" s="361"/>
      <c r="BA274" s="357"/>
      <c r="BB274" s="362"/>
      <c r="BC274" s="360"/>
      <c r="BD274" s="380"/>
      <c r="BE274" s="381"/>
      <c r="BF274" s="381"/>
      <c r="BG274" s="381"/>
      <c r="BH274" s="381"/>
      <c r="BI274" s="381"/>
      <c r="BJ274" s="381"/>
      <c r="BK274" s="381"/>
      <c r="BL274" s="381"/>
      <c r="BM274" s="381"/>
      <c r="BN274" s="381"/>
      <c r="BO274" s="381"/>
      <c r="BP274" s="381"/>
      <c r="BQ274" s="381"/>
      <c r="BR274" s="381"/>
      <c r="BS274" s="381"/>
      <c r="BT274" s="381"/>
      <c r="BU274" s="381"/>
      <c r="BV274" s="381"/>
      <c r="BW274" s="381"/>
      <c r="BX274" s="381"/>
      <c r="BY274" s="381"/>
      <c r="BZ274" s="381"/>
      <c r="CA274" s="381"/>
      <c r="CB274" s="381"/>
      <c r="CC274" s="381"/>
      <c r="CD274" s="381"/>
      <c r="CE274" s="381"/>
      <c r="CF274" s="381"/>
      <c r="CG274" s="381"/>
      <c r="CH274" s="381"/>
      <c r="CI274" s="382"/>
      <c r="CJ274" s="382"/>
      <c r="CK274" s="382"/>
      <c r="CL274" s="382"/>
      <c r="CM274" s="382"/>
      <c r="CN274" s="382"/>
      <c r="CO274" s="382"/>
      <c r="CP274" s="382"/>
      <c r="CQ274" s="382"/>
      <c r="CR274" s="382"/>
      <c r="CS274" s="382"/>
      <c r="CT274" s="382"/>
      <c r="CU274" s="382"/>
      <c r="CV274" s="382"/>
      <c r="CW274" s="382"/>
      <c r="CX274" s="382"/>
      <c r="CY274" s="382"/>
      <c r="CZ274" s="382"/>
      <c r="DA274" s="382"/>
      <c r="DB274" s="382"/>
      <c r="DC274" s="382"/>
      <c r="DD274" s="382"/>
      <c r="DE274" s="382"/>
      <c r="DF274" s="382"/>
      <c r="DG274" s="382"/>
      <c r="DH274" s="382"/>
      <c r="DI274" s="382"/>
      <c r="DJ274" s="382"/>
      <c r="DK274" s="382"/>
      <c r="DL274" s="382"/>
      <c r="DM274" s="382"/>
      <c r="DN274" s="382"/>
      <c r="DO274" s="383"/>
    </row>
    <row r="275" spans="1:122" ht="18.75">
      <c r="A275" s="384"/>
      <c r="B275" s="385" t="s">
        <v>182</v>
      </c>
      <c r="C275" s="386">
        <f>SUM(C258:C274)</f>
        <v>1464</v>
      </c>
      <c r="D275" s="386">
        <f t="shared" ref="D275:BQ275" si="69">SUM(D258:D274)</f>
        <v>0</v>
      </c>
      <c r="E275" s="386">
        <f t="shared" si="69"/>
        <v>0</v>
      </c>
      <c r="F275" s="386">
        <f>SUM(F258:F274)</f>
        <v>839</v>
      </c>
      <c r="G275" s="386">
        <f t="shared" si="69"/>
        <v>0</v>
      </c>
      <c r="H275" s="386">
        <f t="shared" si="69"/>
        <v>0</v>
      </c>
      <c r="I275" s="386">
        <f t="shared" si="69"/>
        <v>0</v>
      </c>
      <c r="J275" s="386">
        <f t="shared" si="69"/>
        <v>0</v>
      </c>
      <c r="K275" s="386">
        <f t="shared" si="69"/>
        <v>0</v>
      </c>
      <c r="L275" s="386">
        <f t="shared" si="69"/>
        <v>0</v>
      </c>
      <c r="M275" s="386">
        <f t="shared" si="69"/>
        <v>0</v>
      </c>
      <c r="N275" s="386">
        <f t="shared" si="69"/>
        <v>0</v>
      </c>
      <c r="O275" s="386">
        <f t="shared" si="69"/>
        <v>0</v>
      </c>
      <c r="P275" s="386">
        <f t="shared" si="69"/>
        <v>0</v>
      </c>
      <c r="Q275" s="386">
        <f t="shared" si="69"/>
        <v>0</v>
      </c>
      <c r="R275" s="386">
        <f t="shared" si="69"/>
        <v>0</v>
      </c>
      <c r="S275" s="386">
        <f t="shared" si="69"/>
        <v>0</v>
      </c>
      <c r="T275" s="386">
        <f t="shared" si="69"/>
        <v>0</v>
      </c>
      <c r="U275" s="386">
        <f t="shared" si="69"/>
        <v>1165</v>
      </c>
      <c r="V275" s="386">
        <f t="shared" si="69"/>
        <v>249</v>
      </c>
      <c r="W275" s="386">
        <f t="shared" si="69"/>
        <v>0</v>
      </c>
      <c r="X275" s="386">
        <f t="shared" si="69"/>
        <v>0</v>
      </c>
      <c r="Y275" s="386">
        <f t="shared" si="69"/>
        <v>0</v>
      </c>
      <c r="Z275" s="386">
        <f t="shared" si="69"/>
        <v>0</v>
      </c>
      <c r="AA275" s="386">
        <f t="shared" si="69"/>
        <v>0</v>
      </c>
      <c r="AB275" s="386">
        <f t="shared" si="69"/>
        <v>399</v>
      </c>
      <c r="AC275" s="386">
        <f t="shared" si="69"/>
        <v>907</v>
      </c>
      <c r="AD275" s="386">
        <f t="shared" si="69"/>
        <v>1764</v>
      </c>
      <c r="AE275" s="386">
        <f t="shared" si="69"/>
        <v>179</v>
      </c>
      <c r="AF275" s="386">
        <f t="shared" si="69"/>
        <v>0</v>
      </c>
      <c r="AG275" s="386">
        <f t="shared" si="69"/>
        <v>0</v>
      </c>
      <c r="AH275" s="386">
        <f t="shared" si="69"/>
        <v>0</v>
      </c>
      <c r="AI275" s="386">
        <f t="shared" si="69"/>
        <v>0</v>
      </c>
      <c r="AJ275" s="386">
        <f t="shared" si="69"/>
        <v>0</v>
      </c>
      <c r="AK275" s="386">
        <f t="shared" si="69"/>
        <v>0</v>
      </c>
      <c r="AL275" s="386">
        <f t="shared" si="69"/>
        <v>0</v>
      </c>
      <c r="AM275" s="386">
        <f t="shared" si="69"/>
        <v>0</v>
      </c>
      <c r="AN275" s="386">
        <f t="shared" si="69"/>
        <v>0</v>
      </c>
      <c r="AO275" s="386">
        <f t="shared" si="69"/>
        <v>0</v>
      </c>
      <c r="AP275" s="386">
        <f t="shared" si="69"/>
        <v>0</v>
      </c>
      <c r="AQ275" s="386">
        <f t="shared" si="69"/>
        <v>174</v>
      </c>
      <c r="AR275" s="386">
        <f t="shared" si="69"/>
        <v>0</v>
      </c>
      <c r="AS275" s="386">
        <f t="shared" si="69"/>
        <v>0</v>
      </c>
      <c r="AT275" s="386">
        <f t="shared" si="69"/>
        <v>354</v>
      </c>
      <c r="AU275" s="386">
        <f t="shared" si="69"/>
        <v>146</v>
      </c>
      <c r="AV275" s="386">
        <f t="shared" si="69"/>
        <v>0</v>
      </c>
      <c r="AW275" s="386">
        <f t="shared" si="69"/>
        <v>1548</v>
      </c>
      <c r="AX275" s="386">
        <f t="shared" si="69"/>
        <v>0</v>
      </c>
      <c r="AY275" s="386">
        <f t="shared" si="69"/>
        <v>0</v>
      </c>
      <c r="AZ275" s="386">
        <f t="shared" si="69"/>
        <v>1780</v>
      </c>
      <c r="BA275" s="386">
        <f t="shared" si="69"/>
        <v>671</v>
      </c>
      <c r="BB275" s="386">
        <f t="shared" si="69"/>
        <v>0</v>
      </c>
      <c r="BC275" s="386">
        <f t="shared" si="69"/>
        <v>1694</v>
      </c>
      <c r="BD275" s="386">
        <f t="shared" si="69"/>
        <v>0</v>
      </c>
      <c r="BE275" s="386">
        <f t="shared" si="69"/>
        <v>0</v>
      </c>
      <c r="BF275" s="386">
        <f t="shared" si="69"/>
        <v>2</v>
      </c>
      <c r="BG275" s="386">
        <f t="shared" si="69"/>
        <v>2</v>
      </c>
      <c r="BH275" s="386">
        <f t="shared" si="69"/>
        <v>2</v>
      </c>
      <c r="BI275" s="386">
        <f t="shared" si="69"/>
        <v>0</v>
      </c>
      <c r="BJ275" s="386">
        <f t="shared" si="69"/>
        <v>0</v>
      </c>
      <c r="BK275" s="386">
        <f t="shared" si="69"/>
        <v>0</v>
      </c>
      <c r="BL275" s="386">
        <f t="shared" si="69"/>
        <v>0</v>
      </c>
      <c r="BM275" s="386">
        <f t="shared" si="69"/>
        <v>0</v>
      </c>
      <c r="BN275" s="386">
        <f t="shared" si="69"/>
        <v>0</v>
      </c>
      <c r="BO275" s="386">
        <f t="shared" si="69"/>
        <v>0</v>
      </c>
      <c r="BP275" s="386">
        <f t="shared" si="69"/>
        <v>0</v>
      </c>
      <c r="BQ275" s="386">
        <f t="shared" si="69"/>
        <v>0</v>
      </c>
      <c r="BR275" s="386">
        <f t="shared" ref="BR275:DO275" si="70">SUM(BR258:BR274)</f>
        <v>0</v>
      </c>
      <c r="BS275" s="386">
        <f t="shared" si="70"/>
        <v>0</v>
      </c>
      <c r="BT275" s="386">
        <f t="shared" si="70"/>
        <v>0</v>
      </c>
      <c r="BU275" s="386">
        <f t="shared" si="70"/>
        <v>0</v>
      </c>
      <c r="BV275" s="386">
        <f t="shared" si="70"/>
        <v>0</v>
      </c>
      <c r="BW275" s="386">
        <f t="shared" si="70"/>
        <v>0</v>
      </c>
      <c r="BX275" s="386">
        <f t="shared" si="70"/>
        <v>0</v>
      </c>
      <c r="BY275" s="386">
        <f t="shared" si="70"/>
        <v>0</v>
      </c>
      <c r="BZ275" s="386">
        <f t="shared" si="70"/>
        <v>0</v>
      </c>
      <c r="CA275" s="386">
        <f t="shared" si="70"/>
        <v>0</v>
      </c>
      <c r="CB275" s="386">
        <f t="shared" si="70"/>
        <v>0</v>
      </c>
      <c r="CC275" s="386">
        <f t="shared" si="70"/>
        <v>0</v>
      </c>
      <c r="CD275" s="386">
        <f t="shared" si="70"/>
        <v>0</v>
      </c>
      <c r="CE275" s="386">
        <f t="shared" si="70"/>
        <v>6</v>
      </c>
      <c r="CF275" s="386">
        <f t="shared" si="70"/>
        <v>2</v>
      </c>
      <c r="CG275" s="386">
        <f t="shared" si="70"/>
        <v>0</v>
      </c>
      <c r="CH275" s="386">
        <f t="shared" si="70"/>
        <v>4</v>
      </c>
      <c r="CI275" s="386">
        <f t="shared" si="70"/>
        <v>2</v>
      </c>
      <c r="CJ275" s="386">
        <f t="shared" si="70"/>
        <v>0</v>
      </c>
      <c r="CK275" s="386">
        <f t="shared" si="70"/>
        <v>0</v>
      </c>
      <c r="CL275" s="386">
        <f t="shared" si="70"/>
        <v>0</v>
      </c>
      <c r="CM275" s="386">
        <f t="shared" si="70"/>
        <v>0</v>
      </c>
      <c r="CN275" s="386">
        <f t="shared" si="70"/>
        <v>0</v>
      </c>
      <c r="CO275" s="386">
        <f t="shared" si="70"/>
        <v>0</v>
      </c>
      <c r="CP275" s="386">
        <f t="shared" si="70"/>
        <v>0</v>
      </c>
      <c r="CQ275" s="386">
        <f t="shared" si="70"/>
        <v>0</v>
      </c>
      <c r="CR275" s="386">
        <f t="shared" si="70"/>
        <v>0</v>
      </c>
      <c r="CS275" s="386">
        <f t="shared" si="70"/>
        <v>0</v>
      </c>
      <c r="CT275" s="386">
        <f t="shared" si="70"/>
        <v>0</v>
      </c>
      <c r="CU275" s="386">
        <f t="shared" si="70"/>
        <v>0</v>
      </c>
      <c r="CV275" s="386">
        <f t="shared" si="70"/>
        <v>0</v>
      </c>
      <c r="CW275" s="386">
        <f t="shared" si="70"/>
        <v>0</v>
      </c>
      <c r="CX275" s="386">
        <f t="shared" si="70"/>
        <v>0</v>
      </c>
      <c r="CY275" s="386">
        <f t="shared" si="70"/>
        <v>0</v>
      </c>
      <c r="CZ275" s="386">
        <f t="shared" si="70"/>
        <v>0</v>
      </c>
      <c r="DA275" s="386">
        <f t="shared" si="70"/>
        <v>0</v>
      </c>
      <c r="DB275" s="386">
        <f t="shared" si="70"/>
        <v>0</v>
      </c>
      <c r="DC275" s="386">
        <f t="shared" si="70"/>
        <v>0</v>
      </c>
      <c r="DD275" s="386">
        <f t="shared" si="70"/>
        <v>0</v>
      </c>
      <c r="DE275" s="386">
        <f t="shared" si="70"/>
        <v>0</v>
      </c>
      <c r="DF275" s="386">
        <f t="shared" si="70"/>
        <v>0</v>
      </c>
      <c r="DG275" s="386">
        <f t="shared" si="70"/>
        <v>0</v>
      </c>
      <c r="DH275" s="386">
        <f t="shared" si="70"/>
        <v>0</v>
      </c>
      <c r="DI275" s="386">
        <f t="shared" si="70"/>
        <v>0</v>
      </c>
      <c r="DJ275" s="386">
        <f t="shared" si="70"/>
        <v>0</v>
      </c>
      <c r="DK275" s="386">
        <f t="shared" si="70"/>
        <v>0</v>
      </c>
      <c r="DL275" s="386">
        <f t="shared" si="70"/>
        <v>0</v>
      </c>
      <c r="DM275" s="386">
        <f t="shared" si="70"/>
        <v>0</v>
      </c>
      <c r="DN275" s="386">
        <f t="shared" si="70"/>
        <v>0</v>
      </c>
      <c r="DO275" s="386">
        <f t="shared" si="70"/>
        <v>0</v>
      </c>
    </row>
    <row r="276" spans="1:122" ht="18.75">
      <c r="A276" s="406"/>
      <c r="B276" s="407"/>
      <c r="C276" s="408"/>
      <c r="D276" s="409"/>
      <c r="E276" s="409"/>
      <c r="F276" s="409"/>
      <c r="G276" s="409"/>
      <c r="H276" s="409"/>
      <c r="I276" s="409"/>
      <c r="J276" s="409"/>
      <c r="K276" s="409"/>
      <c r="L276" s="409"/>
      <c r="M276" s="409"/>
      <c r="N276" s="409"/>
      <c r="O276" s="409"/>
      <c r="P276" s="410"/>
      <c r="Q276" s="410"/>
      <c r="R276" s="410"/>
      <c r="S276" s="410"/>
      <c r="T276" s="411"/>
      <c r="U276" s="405"/>
      <c r="V276" s="405"/>
      <c r="W276" s="405"/>
      <c r="X276" s="408"/>
      <c r="Y276" s="408"/>
      <c r="Z276" s="408"/>
      <c r="AA276" s="408"/>
      <c r="AB276" s="408"/>
      <c r="AC276" s="408"/>
      <c r="AD276" s="408"/>
      <c r="AE276" s="408"/>
      <c r="AF276" s="408"/>
      <c r="AG276" s="408"/>
      <c r="AH276" s="408"/>
      <c r="AI276" s="408"/>
      <c r="AJ276" s="408"/>
      <c r="AK276" s="408"/>
      <c r="AL276" s="408"/>
      <c r="AM276" s="408"/>
      <c r="AN276" s="408"/>
      <c r="AO276" s="408"/>
      <c r="AP276" s="408"/>
      <c r="AQ276" s="408"/>
      <c r="AR276" s="408"/>
      <c r="AS276" s="412"/>
      <c r="AT276" s="413"/>
      <c r="AU276" s="405"/>
      <c r="AV276" s="408"/>
      <c r="AW276" s="408"/>
      <c r="AX276" s="412"/>
      <c r="AY276" s="413"/>
      <c r="AZ276" s="405"/>
      <c r="BA276" s="408"/>
      <c r="BB276" s="1183"/>
      <c r="BC276" s="413"/>
      <c r="BD276" s="414"/>
      <c r="BE276" s="415"/>
      <c r="BF276" s="415"/>
      <c r="BG276" s="415"/>
      <c r="BH276" s="415"/>
      <c r="BI276" s="415"/>
      <c r="BJ276" s="655"/>
      <c r="BK276" s="415"/>
      <c r="BL276" s="415"/>
      <c r="BM276" s="415"/>
      <c r="BN276" s="415"/>
      <c r="BO276" s="415"/>
      <c r="BP276" s="415"/>
      <c r="BQ276" s="415"/>
      <c r="BR276" s="415"/>
      <c r="BS276" s="415"/>
      <c r="BT276" s="415"/>
      <c r="BU276" s="655"/>
      <c r="BV276" s="415"/>
      <c r="BW276" s="415"/>
      <c r="BX276" s="415"/>
      <c r="BY276" s="655"/>
      <c r="BZ276" s="655"/>
      <c r="CA276" s="655"/>
      <c r="CB276" s="415"/>
      <c r="CC276" s="655"/>
      <c r="CD276" s="415"/>
      <c r="CE276" s="415"/>
      <c r="CF276" s="415"/>
      <c r="CG276" s="415"/>
      <c r="CH276" s="415"/>
      <c r="CI276" s="656"/>
      <c r="CJ276" s="416"/>
      <c r="CK276" s="656"/>
      <c r="CL276" s="416"/>
      <c r="CM276" s="656"/>
      <c r="CN276" s="416"/>
      <c r="CO276" s="416"/>
      <c r="CP276" s="416"/>
      <c r="CQ276" s="656"/>
      <c r="CR276" s="656"/>
      <c r="CS276" s="416"/>
      <c r="CT276" s="416"/>
      <c r="CU276" s="416"/>
      <c r="CV276" s="416"/>
      <c r="CW276" s="416"/>
      <c r="CX276" s="656"/>
      <c r="CY276" s="656"/>
      <c r="CZ276" s="416"/>
      <c r="DA276" s="416"/>
      <c r="DB276" s="416"/>
      <c r="DC276" s="416"/>
      <c r="DD276" s="416"/>
      <c r="DE276" s="416"/>
      <c r="DF276" s="416"/>
      <c r="DG276" s="416"/>
      <c r="DH276" s="416"/>
      <c r="DI276" s="416"/>
      <c r="DJ276" s="416"/>
      <c r="DK276" s="416"/>
      <c r="DL276" s="416"/>
      <c r="DM276" s="416"/>
      <c r="DN276" s="416"/>
      <c r="DO276" s="417"/>
    </row>
    <row r="277" spans="1:122">
      <c r="A277" s="406"/>
      <c r="B277" s="394" t="s">
        <v>269</v>
      </c>
      <c r="C277" s="408"/>
      <c r="D277" s="409"/>
      <c r="E277" s="409"/>
      <c r="F277" s="409"/>
      <c r="G277" s="409"/>
      <c r="H277" s="409"/>
      <c r="I277" s="409"/>
      <c r="J277" s="409"/>
      <c r="K277" s="409"/>
      <c r="L277" s="409"/>
      <c r="M277" s="409"/>
      <c r="N277" s="409"/>
      <c r="O277" s="409"/>
      <c r="P277" s="410"/>
      <c r="Q277" s="410"/>
      <c r="R277" s="410"/>
      <c r="S277" s="410"/>
      <c r="T277" s="411"/>
      <c r="U277" s="405"/>
      <c r="V277" s="405"/>
      <c r="W277" s="405"/>
      <c r="X277" s="408"/>
      <c r="Y277" s="408"/>
      <c r="Z277" s="408"/>
      <c r="AA277" s="408"/>
      <c r="AB277" s="408"/>
      <c r="AC277" s="408"/>
      <c r="AD277" s="408"/>
      <c r="AE277" s="408"/>
      <c r="AF277" s="408"/>
      <c r="AG277" s="408"/>
      <c r="AH277" s="408"/>
      <c r="AI277" s="408"/>
      <c r="AJ277" s="408"/>
      <c r="AK277" s="408"/>
      <c r="AL277" s="408"/>
      <c r="AM277" s="408"/>
      <c r="AN277" s="408"/>
      <c r="AO277" s="408"/>
      <c r="AP277" s="408"/>
      <c r="AQ277" s="408"/>
      <c r="AR277" s="408"/>
      <c r="AS277" s="412"/>
      <c r="AT277" s="413"/>
      <c r="AU277" s="405"/>
      <c r="AV277" s="408"/>
      <c r="AW277" s="408"/>
      <c r="AX277" s="412"/>
      <c r="AY277" s="413"/>
      <c r="AZ277" s="405"/>
      <c r="BA277" s="408"/>
      <c r="BB277" s="1183"/>
      <c r="BC277" s="413"/>
      <c r="BD277" s="414"/>
      <c r="BE277" s="415"/>
      <c r="BF277" s="415"/>
      <c r="BG277" s="415"/>
      <c r="BH277" s="415"/>
      <c r="BI277" s="415"/>
      <c r="BJ277" s="655"/>
      <c r="BK277" s="415"/>
      <c r="BL277" s="415"/>
      <c r="BM277" s="415"/>
      <c r="BN277" s="415"/>
      <c r="BO277" s="415"/>
      <c r="BP277" s="415"/>
      <c r="BQ277" s="415"/>
      <c r="BR277" s="415"/>
      <c r="BS277" s="415"/>
      <c r="BT277" s="415"/>
      <c r="BU277" s="655"/>
      <c r="BV277" s="415"/>
      <c r="BW277" s="415"/>
      <c r="BX277" s="415"/>
      <c r="BY277" s="655"/>
      <c r="BZ277" s="655"/>
      <c r="CA277" s="655"/>
      <c r="CB277" s="415"/>
      <c r="CC277" s="655"/>
      <c r="CD277" s="415"/>
      <c r="CE277" s="415"/>
      <c r="CF277" s="415"/>
      <c r="CG277" s="415"/>
      <c r="CH277" s="415"/>
      <c r="CI277" s="656"/>
      <c r="CJ277" s="416"/>
      <c r="CK277" s="656"/>
      <c r="CL277" s="416"/>
      <c r="CM277" s="656"/>
      <c r="CN277" s="416"/>
      <c r="CO277" s="416"/>
      <c r="CP277" s="416"/>
      <c r="CQ277" s="656"/>
      <c r="CR277" s="656"/>
      <c r="CS277" s="416"/>
      <c r="CT277" s="416"/>
      <c r="CU277" s="416"/>
      <c r="CV277" s="416"/>
      <c r="CW277" s="416"/>
      <c r="CX277" s="656"/>
      <c r="CY277" s="656"/>
      <c r="CZ277" s="416"/>
      <c r="DA277" s="416"/>
      <c r="DB277" s="416"/>
      <c r="DC277" s="416"/>
      <c r="DD277" s="416"/>
      <c r="DE277" s="416"/>
      <c r="DF277" s="416"/>
      <c r="DG277" s="416"/>
      <c r="DH277" s="416"/>
      <c r="DI277" s="416"/>
      <c r="DJ277" s="416"/>
      <c r="DK277" s="416"/>
      <c r="DL277" s="416"/>
      <c r="DM277" s="416"/>
      <c r="DN277" s="416"/>
      <c r="DO277" s="417"/>
    </row>
    <row r="278" spans="1:122">
      <c r="A278" s="406"/>
      <c r="B278" s="405" t="s">
        <v>650</v>
      </c>
      <c r="C278" s="408"/>
      <c r="D278" s="409"/>
      <c r="E278" s="409"/>
      <c r="F278" s="409"/>
      <c r="G278" s="409"/>
      <c r="H278" s="409"/>
      <c r="I278" s="409"/>
      <c r="J278" s="409"/>
      <c r="K278" s="409"/>
      <c r="L278" s="409"/>
      <c r="M278" s="409"/>
      <c r="N278" s="409"/>
      <c r="O278" s="409"/>
      <c r="P278" s="410"/>
      <c r="Q278" s="410"/>
      <c r="R278" s="410"/>
      <c r="S278" s="410"/>
      <c r="T278" s="360"/>
      <c r="U278" s="405"/>
      <c r="V278" s="405"/>
      <c r="W278" s="405"/>
      <c r="X278" s="408"/>
      <c r="Y278" s="408"/>
      <c r="Z278" s="408"/>
      <c r="AA278" s="408"/>
      <c r="AB278" s="408"/>
      <c r="AC278" s="408"/>
      <c r="AD278" s="408"/>
      <c r="AE278" s="408">
        <f>ROUNDUP(((0.94*1.7)*5)+((1.44*0.94)*10)+((0.94*1.04)*10),0)</f>
        <v>32</v>
      </c>
      <c r="AF278" s="408"/>
      <c r="AG278" s="408"/>
      <c r="AH278" s="408"/>
      <c r="AI278" s="408"/>
      <c r="AJ278" s="408"/>
      <c r="AK278" s="408"/>
      <c r="AL278" s="408"/>
      <c r="AM278" s="408"/>
      <c r="AN278" s="408"/>
      <c r="AO278" s="408"/>
      <c r="AP278" s="408"/>
      <c r="AQ278" s="408"/>
      <c r="AR278" s="408"/>
      <c r="AS278" s="412"/>
      <c r="AT278" s="405"/>
      <c r="AU278" s="405"/>
      <c r="AV278" s="408"/>
      <c r="AW278" s="416"/>
      <c r="AX278" s="412"/>
      <c r="AY278" s="413"/>
      <c r="AZ278" s="405"/>
      <c r="BA278" s="408">
        <f>AC278</f>
        <v>0</v>
      </c>
      <c r="BB278" s="1183"/>
      <c r="BC278" s="413"/>
      <c r="BD278" s="414"/>
      <c r="BE278" s="415"/>
      <c r="BF278" s="415"/>
      <c r="BG278" s="415"/>
      <c r="BH278" s="415"/>
      <c r="BI278" s="415"/>
      <c r="BJ278" s="655"/>
      <c r="BK278" s="415"/>
      <c r="BL278" s="415"/>
      <c r="BM278" s="415"/>
      <c r="BN278" s="415"/>
      <c r="BO278" s="415"/>
      <c r="BP278" s="415"/>
      <c r="BQ278" s="415"/>
      <c r="BR278" s="415"/>
      <c r="BS278" s="415"/>
      <c r="BT278" s="415"/>
      <c r="BU278" s="655"/>
      <c r="BV278" s="415"/>
      <c r="BW278" s="415"/>
      <c r="BX278" s="415"/>
      <c r="BY278" s="655"/>
      <c r="BZ278" s="655"/>
      <c r="CA278" s="655"/>
      <c r="CB278" s="415"/>
      <c r="CC278" s="655"/>
      <c r="CD278" s="415"/>
      <c r="CE278" s="415"/>
      <c r="CF278" s="415"/>
      <c r="CG278" s="415"/>
      <c r="CH278" s="415"/>
      <c r="CI278" s="656"/>
      <c r="CJ278" s="416"/>
      <c r="CK278" s="656"/>
      <c r="CL278" s="416"/>
      <c r="CM278" s="656"/>
      <c r="CN278" s="416"/>
      <c r="CO278" s="416"/>
      <c r="CP278" s="416"/>
      <c r="CQ278" s="656"/>
      <c r="CR278" s="656"/>
      <c r="CS278" s="416"/>
      <c r="CT278" s="416"/>
      <c r="CU278" s="416"/>
      <c r="CV278" s="416"/>
      <c r="CW278" s="416"/>
      <c r="CX278" s="656"/>
      <c r="CY278" s="656"/>
      <c r="CZ278" s="416"/>
      <c r="DA278" s="416"/>
      <c r="DB278" s="416"/>
      <c r="DC278" s="416"/>
      <c r="DD278" s="416"/>
      <c r="DE278" s="416"/>
      <c r="DF278" s="416"/>
      <c r="DG278" s="416"/>
      <c r="DH278" s="416"/>
      <c r="DI278" s="416"/>
      <c r="DJ278" s="416"/>
      <c r="DK278" s="416"/>
      <c r="DL278" s="416"/>
      <c r="DM278" s="416"/>
      <c r="DN278" s="416"/>
      <c r="DO278" s="417"/>
    </row>
    <row r="279" spans="1:122">
      <c r="A279" s="403"/>
      <c r="B279" s="374" t="s">
        <v>402</v>
      </c>
      <c r="C279" s="400"/>
      <c r="D279" s="357"/>
      <c r="E279" s="357"/>
      <c r="F279" s="357"/>
      <c r="G279" s="357"/>
      <c r="H279" s="400">
        <f>ROUND(1778-266,0)</f>
        <v>1512</v>
      </c>
      <c r="I279" s="357"/>
      <c r="J279" s="357"/>
      <c r="K279" s="357"/>
      <c r="L279" s="357"/>
      <c r="M279" s="357"/>
      <c r="N279" s="357"/>
      <c r="O279" s="357"/>
      <c r="P279" s="362"/>
      <c r="Q279" s="362"/>
      <c r="R279" s="362"/>
      <c r="S279" s="362"/>
      <c r="T279" s="360"/>
      <c r="U279" s="361"/>
      <c r="V279" s="361"/>
      <c r="W279" s="361"/>
      <c r="X279" s="357"/>
      <c r="Y279" s="357"/>
      <c r="Z279" s="357"/>
      <c r="AA279" s="357"/>
      <c r="AB279" s="357"/>
      <c r="AC279" s="357"/>
      <c r="AD279" s="357"/>
      <c r="AE279" s="357"/>
      <c r="AF279" s="357"/>
      <c r="AG279" s="357"/>
      <c r="AH279" s="357"/>
      <c r="AI279" s="357"/>
      <c r="AJ279" s="357"/>
      <c r="AK279" s="357"/>
      <c r="AL279" s="357"/>
      <c r="AM279" s="357"/>
      <c r="AN279" s="357"/>
      <c r="AO279" s="357"/>
      <c r="AP279" s="357"/>
      <c r="AQ279" s="357"/>
      <c r="AR279" s="357"/>
      <c r="AS279" s="362"/>
      <c r="AT279" s="360"/>
      <c r="AU279" s="363"/>
      <c r="AV279" s="364"/>
      <c r="AW279" s="364"/>
      <c r="AX279" s="395"/>
      <c r="AY279" s="365"/>
      <c r="AZ279" s="361"/>
      <c r="BA279" s="357"/>
      <c r="BB279" s="362"/>
      <c r="BC279" s="360"/>
      <c r="BD279" s="380"/>
      <c r="BE279" s="381"/>
      <c r="BF279" s="381"/>
      <c r="BG279" s="381"/>
      <c r="BH279" s="381"/>
      <c r="BI279" s="381"/>
      <c r="BJ279" s="381"/>
      <c r="BK279" s="381"/>
      <c r="BL279" s="381"/>
      <c r="BM279" s="381"/>
      <c r="BN279" s="381"/>
      <c r="BO279" s="381"/>
      <c r="BP279" s="381"/>
      <c r="BQ279" s="381"/>
      <c r="BR279" s="381"/>
      <c r="BS279" s="381"/>
      <c r="BT279" s="381"/>
      <c r="BU279" s="381"/>
      <c r="BV279" s="381"/>
      <c r="BW279" s="381"/>
      <c r="BX279" s="381"/>
      <c r="BY279" s="381"/>
      <c r="BZ279" s="381"/>
      <c r="CA279" s="381"/>
      <c r="CB279" s="381"/>
      <c r="CC279" s="381"/>
      <c r="CD279" s="381"/>
      <c r="CE279" s="381"/>
      <c r="CF279" s="381"/>
      <c r="CG279" s="381"/>
      <c r="CH279" s="381"/>
      <c r="CI279" s="382"/>
      <c r="CJ279" s="382"/>
      <c r="CK279" s="382"/>
      <c r="CL279" s="382"/>
      <c r="CM279" s="382"/>
      <c r="CN279" s="382"/>
      <c r="CO279" s="382"/>
      <c r="CP279" s="382"/>
      <c r="CQ279" s="382"/>
      <c r="CR279" s="382"/>
      <c r="CS279" s="382"/>
      <c r="CT279" s="382"/>
      <c r="CU279" s="382"/>
      <c r="CV279" s="382"/>
      <c r="CW279" s="382"/>
      <c r="CX279" s="382"/>
      <c r="CY279" s="382"/>
      <c r="CZ279" s="382"/>
      <c r="DA279" s="382"/>
      <c r="DB279" s="382"/>
      <c r="DC279" s="382"/>
      <c r="DD279" s="382"/>
      <c r="DE279" s="382"/>
      <c r="DF279" s="382"/>
      <c r="DG279" s="382"/>
      <c r="DH279" s="382"/>
      <c r="DI279" s="382"/>
      <c r="DJ279" s="382"/>
      <c r="DK279" s="382"/>
      <c r="DL279" s="382"/>
      <c r="DM279" s="382"/>
      <c r="DN279" s="382"/>
      <c r="DO279" s="383"/>
    </row>
    <row r="280" spans="1:122">
      <c r="A280" s="403"/>
      <c r="B280" s="405" t="s">
        <v>56</v>
      </c>
      <c r="C280" s="357"/>
      <c r="D280" s="357"/>
      <c r="E280" s="357"/>
      <c r="F280" s="357"/>
      <c r="G280" s="357"/>
      <c r="H280" s="357"/>
      <c r="I280" s="357"/>
      <c r="J280" s="357"/>
      <c r="K280" s="357"/>
      <c r="L280" s="357"/>
      <c r="M280" s="357"/>
      <c r="N280" s="357"/>
      <c r="O280" s="357"/>
      <c r="P280" s="362"/>
      <c r="Q280" s="362"/>
      <c r="R280" s="362"/>
      <c r="S280" s="362"/>
      <c r="T280" s="360"/>
      <c r="U280" s="361"/>
      <c r="V280" s="361"/>
      <c r="W280" s="361"/>
      <c r="X280" s="357"/>
      <c r="Y280" s="357"/>
      <c r="Z280" s="357"/>
      <c r="AA280" s="357"/>
      <c r="AB280" s="357"/>
      <c r="AC280" s="357"/>
      <c r="AD280" s="357"/>
      <c r="AE280" s="357"/>
      <c r="AF280" s="357"/>
      <c r="AG280" s="357"/>
      <c r="AH280" s="357"/>
      <c r="AI280" s="357"/>
      <c r="AJ280" s="357"/>
      <c r="AK280" s="357"/>
      <c r="AL280" s="357"/>
      <c r="AM280" s="357"/>
      <c r="AN280" s="357"/>
      <c r="AO280" s="357"/>
      <c r="AP280" s="357"/>
      <c r="AQ280" s="357"/>
      <c r="AR280" s="357"/>
      <c r="AS280" s="362"/>
      <c r="AT280" s="360"/>
      <c r="AU280" s="363"/>
      <c r="AV280" s="364"/>
      <c r="AW280" s="364"/>
      <c r="AX280" s="395"/>
      <c r="AY280" s="365"/>
      <c r="AZ280" s="361"/>
      <c r="BA280" s="357"/>
      <c r="BB280" s="362"/>
      <c r="BC280" s="360"/>
      <c r="BD280" s="380"/>
      <c r="BE280" s="381"/>
      <c r="BF280" s="381"/>
      <c r="BG280" s="381"/>
      <c r="BH280" s="381"/>
      <c r="BI280" s="381"/>
      <c r="BJ280" s="381"/>
      <c r="BK280" s="381"/>
      <c r="BL280" s="381"/>
      <c r="BM280" s="381"/>
      <c r="BN280" s="381"/>
      <c r="BO280" s="381"/>
      <c r="BP280" s="381"/>
      <c r="BQ280" s="381"/>
      <c r="BR280" s="381"/>
      <c r="BS280" s="381"/>
      <c r="BT280" s="381"/>
      <c r="BU280" s="381"/>
      <c r="BV280" s="381"/>
      <c r="BW280" s="381"/>
      <c r="BX280" s="381"/>
      <c r="BY280" s="381"/>
      <c r="BZ280" s="381"/>
      <c r="CA280" s="381"/>
      <c r="CB280" s="381"/>
      <c r="CC280" s="381"/>
      <c r="CD280" s="381"/>
      <c r="CE280" s="381"/>
      <c r="CF280" s="381"/>
      <c r="CG280" s="381"/>
      <c r="CH280" s="381"/>
      <c r="CI280" s="382"/>
      <c r="CJ280" s="382"/>
      <c r="CK280" s="382"/>
      <c r="CL280" s="382"/>
      <c r="CM280" s="382"/>
      <c r="CN280" s="382"/>
      <c r="CO280" s="382"/>
      <c r="CP280" s="382"/>
      <c r="CQ280" s="382"/>
      <c r="CR280" s="382"/>
      <c r="CS280" s="382"/>
      <c r="CT280" s="382"/>
      <c r="CU280" s="382"/>
      <c r="CV280" s="382"/>
      <c r="CW280" s="382"/>
      <c r="CX280" s="382"/>
      <c r="CY280" s="382"/>
      <c r="CZ280" s="382"/>
      <c r="DA280" s="382"/>
      <c r="DB280" s="382"/>
      <c r="DC280" s="382"/>
      <c r="DD280" s="382"/>
      <c r="DE280" s="382"/>
      <c r="DF280" s="400">
        <f>ROUNDUP((2.6*8.3)+(2.32*8.3)+((2.22*8.3)*4),0)</f>
        <v>115</v>
      </c>
      <c r="DG280" s="382"/>
      <c r="DH280" s="382"/>
      <c r="DI280" s="382"/>
      <c r="DJ280" s="382"/>
      <c r="DK280" s="382"/>
      <c r="DL280" s="382">
        <f>DF280</f>
        <v>115</v>
      </c>
      <c r="DM280" s="382">
        <f>ROUNDUP((44*2)+(36*2),0)</f>
        <v>160</v>
      </c>
      <c r="DN280" s="382"/>
      <c r="DO280" s="383"/>
    </row>
    <row r="281" spans="1:122">
      <c r="A281" s="403"/>
      <c r="B281" s="405" t="s">
        <v>480</v>
      </c>
      <c r="C281" s="357"/>
      <c r="D281" s="357"/>
      <c r="E281" s="357"/>
      <c r="F281" s="357"/>
      <c r="G281" s="357"/>
      <c r="H281" s="357"/>
      <c r="I281" s="357"/>
      <c r="J281" s="357"/>
      <c r="K281" s="357"/>
      <c r="L281" s="357"/>
      <c r="M281" s="357"/>
      <c r="N281" s="357"/>
      <c r="O281" s="357"/>
      <c r="P281" s="362"/>
      <c r="Q281" s="362"/>
      <c r="R281" s="362"/>
      <c r="S281" s="362"/>
      <c r="T281" s="360"/>
      <c r="U281" s="361"/>
      <c r="V281" s="361"/>
      <c r="W281" s="361"/>
      <c r="X281" s="357"/>
      <c r="Y281" s="357"/>
      <c r="Z281" s="357"/>
      <c r="AA281" s="357"/>
      <c r="AB281" s="357"/>
      <c r="AC281" s="357"/>
      <c r="AD281" s="357"/>
      <c r="AE281" s="357"/>
      <c r="AF281" s="357"/>
      <c r="AG281" s="357"/>
      <c r="AH281" s="357"/>
      <c r="AI281" s="357"/>
      <c r="AJ281" s="357"/>
      <c r="AK281" s="357"/>
      <c r="AL281" s="357"/>
      <c r="AM281" s="357"/>
      <c r="AN281" s="357"/>
      <c r="AO281" s="357"/>
      <c r="AP281" s="357"/>
      <c r="AQ281" s="357"/>
      <c r="AR281" s="357"/>
      <c r="AS281" s="362"/>
      <c r="AT281" s="360"/>
      <c r="AU281" s="363"/>
      <c r="AV281" s="364"/>
      <c r="AW281" s="364"/>
      <c r="AX281" s="395"/>
      <c r="AY281" s="365"/>
      <c r="AZ281" s="361"/>
      <c r="BA281" s="357"/>
      <c r="BB281" s="362"/>
      <c r="BC281" s="360"/>
      <c r="BD281" s="380"/>
      <c r="BE281" s="381"/>
      <c r="BF281" s="381"/>
      <c r="BG281" s="381"/>
      <c r="BH281" s="381"/>
      <c r="BI281" s="381"/>
      <c r="BJ281" s="381"/>
      <c r="BK281" s="381"/>
      <c r="BL281" s="381"/>
      <c r="BM281" s="381"/>
      <c r="BN281" s="381"/>
      <c r="BO281" s="381"/>
      <c r="BP281" s="381"/>
      <c r="BQ281" s="381"/>
      <c r="BR281" s="381"/>
      <c r="BS281" s="381"/>
      <c r="BT281" s="381"/>
      <c r="BU281" s="381"/>
      <c r="BV281" s="381"/>
      <c r="BW281" s="381"/>
      <c r="BX281" s="381"/>
      <c r="BY281" s="381"/>
      <c r="BZ281" s="381"/>
      <c r="CA281" s="381"/>
      <c r="CB281" s="381"/>
      <c r="CC281" s="381"/>
      <c r="CD281" s="381"/>
      <c r="CE281" s="381"/>
      <c r="CF281" s="381"/>
      <c r="CG281" s="381"/>
      <c r="CH281" s="381"/>
      <c r="CI281" s="382"/>
      <c r="CJ281" s="382"/>
      <c r="CK281" s="382"/>
      <c r="CL281" s="382"/>
      <c r="CM281" s="382"/>
      <c r="CN281" s="382"/>
      <c r="CO281" s="382"/>
      <c r="CP281" s="382"/>
      <c r="CQ281" s="382"/>
      <c r="CR281" s="382"/>
      <c r="CS281" s="382"/>
      <c r="CT281" s="382"/>
      <c r="CU281" s="382"/>
      <c r="CV281" s="382"/>
      <c r="CW281" s="382"/>
      <c r="CX281" s="382"/>
      <c r="CY281" s="382"/>
      <c r="CZ281" s="382"/>
      <c r="DA281" s="382"/>
      <c r="DB281" s="382"/>
      <c r="DC281" s="382"/>
      <c r="DD281" s="382"/>
      <c r="DE281" s="382"/>
      <c r="DF281" s="382"/>
      <c r="DG281" s="400"/>
      <c r="DH281" s="382"/>
      <c r="DI281" s="382"/>
      <c r="DJ281" s="382"/>
      <c r="DK281" s="382"/>
      <c r="DL281" s="382"/>
      <c r="DM281" s="382"/>
      <c r="DN281" s="382"/>
      <c r="DO281" s="383"/>
    </row>
    <row r="282" spans="1:122">
      <c r="A282" s="403"/>
      <c r="B282" s="405" t="s">
        <v>475</v>
      </c>
      <c r="C282" s="357"/>
      <c r="D282" s="357"/>
      <c r="E282" s="357"/>
      <c r="F282" s="357"/>
      <c r="G282" s="357"/>
      <c r="H282" s="357"/>
      <c r="I282" s="357"/>
      <c r="J282" s="357"/>
      <c r="K282" s="357"/>
      <c r="L282" s="357"/>
      <c r="M282" s="357"/>
      <c r="N282" s="357"/>
      <c r="O282" s="357"/>
      <c r="P282" s="362"/>
      <c r="Q282" s="362"/>
      <c r="R282" s="362"/>
      <c r="S282" s="362"/>
      <c r="T282" s="360"/>
      <c r="U282" s="361"/>
      <c r="V282" s="361"/>
      <c r="W282" s="361"/>
      <c r="X282" s="357"/>
      <c r="Y282" s="357"/>
      <c r="Z282" s="357"/>
      <c r="AA282" s="357"/>
      <c r="AB282" s="357"/>
      <c r="AC282" s="357"/>
      <c r="AD282" s="357"/>
      <c r="AE282" s="357"/>
      <c r="AF282" s="357"/>
      <c r="AG282" s="357"/>
      <c r="AH282" s="357"/>
      <c r="AI282" s="357"/>
      <c r="AJ282" s="357"/>
      <c r="AK282" s="357"/>
      <c r="AL282" s="357"/>
      <c r="AM282" s="357"/>
      <c r="AN282" s="357"/>
      <c r="AO282" s="357"/>
      <c r="AP282" s="357"/>
      <c r="AQ282" s="357"/>
      <c r="AR282" s="357"/>
      <c r="AS282" s="362"/>
      <c r="AT282" s="360"/>
      <c r="AU282" s="363"/>
      <c r="AV282" s="364"/>
      <c r="AW282" s="364"/>
      <c r="AX282" s="395"/>
      <c r="AY282" s="365"/>
      <c r="AZ282" s="361"/>
      <c r="BA282" s="357"/>
      <c r="BB282" s="362"/>
      <c r="BC282" s="360"/>
      <c r="BD282" s="380"/>
      <c r="BE282" s="381"/>
      <c r="BF282" s="381"/>
      <c r="BG282" s="381"/>
      <c r="BH282" s="381"/>
      <c r="BI282" s="381"/>
      <c r="BJ282" s="381"/>
      <c r="BK282" s="381"/>
      <c r="BL282" s="381"/>
      <c r="BM282" s="381"/>
      <c r="BN282" s="381"/>
      <c r="BO282" s="381"/>
      <c r="BP282" s="381"/>
      <c r="BQ282" s="381"/>
      <c r="BR282" s="381"/>
      <c r="BS282" s="381"/>
      <c r="BT282" s="381"/>
      <c r="BU282" s="381"/>
      <c r="BV282" s="381"/>
      <c r="BW282" s="381"/>
      <c r="BX282" s="381"/>
      <c r="BY282" s="381"/>
      <c r="BZ282" s="381"/>
      <c r="CA282" s="381"/>
      <c r="CB282" s="381"/>
      <c r="CC282" s="381"/>
      <c r="CD282" s="381"/>
      <c r="CE282" s="381"/>
      <c r="CF282" s="381"/>
      <c r="CG282" s="381"/>
      <c r="CH282" s="381"/>
      <c r="CI282" s="382"/>
      <c r="CJ282" s="382"/>
      <c r="CK282" s="382"/>
      <c r="CL282" s="382"/>
      <c r="CM282" s="382"/>
      <c r="CN282" s="382"/>
      <c r="CO282" s="382"/>
      <c r="CP282" s="382"/>
      <c r="CQ282" s="382"/>
      <c r="CR282" s="382"/>
      <c r="CS282" s="382"/>
      <c r="CT282" s="382"/>
      <c r="CU282" s="382"/>
      <c r="CV282" s="382"/>
      <c r="CW282" s="382"/>
      <c r="CX282" s="382"/>
      <c r="CY282" s="382"/>
      <c r="CZ282" s="382"/>
      <c r="DA282" s="382"/>
      <c r="DB282" s="382"/>
      <c r="DC282" s="382"/>
      <c r="DD282" s="382"/>
      <c r="DE282" s="382"/>
      <c r="DF282" s="382"/>
      <c r="DG282" s="382"/>
      <c r="DH282" s="400">
        <f>ROUNDUP(44*2,0)</f>
        <v>88</v>
      </c>
      <c r="DI282" s="382"/>
      <c r="DJ282" s="382"/>
      <c r="DK282" s="382"/>
      <c r="DL282" s="382"/>
      <c r="DM282" s="382"/>
      <c r="DN282" s="382"/>
      <c r="DO282" s="383"/>
    </row>
    <row r="283" spans="1:122">
      <c r="A283" s="403"/>
      <c r="B283" s="404" t="s">
        <v>382</v>
      </c>
      <c r="C283" s="357"/>
      <c r="D283" s="357"/>
      <c r="E283" s="357"/>
      <c r="F283" s="357"/>
      <c r="G283" s="357"/>
      <c r="H283" s="357"/>
      <c r="I283" s="357"/>
      <c r="J283" s="357"/>
      <c r="K283" s="357"/>
      <c r="L283" s="357"/>
      <c r="M283" s="357"/>
      <c r="N283" s="357"/>
      <c r="O283" s="357"/>
      <c r="P283" s="362"/>
      <c r="Q283" s="362"/>
      <c r="R283" s="362"/>
      <c r="S283" s="362"/>
      <c r="T283" s="360"/>
      <c r="U283" s="361"/>
      <c r="V283" s="361"/>
      <c r="W283" s="361"/>
      <c r="X283" s="357"/>
      <c r="Y283" s="357"/>
      <c r="Z283" s="357"/>
      <c r="AA283" s="357"/>
      <c r="AB283" s="357"/>
      <c r="AC283" s="357"/>
      <c r="AD283" s="357"/>
      <c r="AE283" s="357"/>
      <c r="AF283" s="357"/>
      <c r="AG283" s="357"/>
      <c r="AH283" s="357"/>
      <c r="AI283" s="357"/>
      <c r="AJ283" s="357"/>
      <c r="AK283" s="357"/>
      <c r="AL283" s="357"/>
      <c r="AM283" s="357"/>
      <c r="AN283" s="357"/>
      <c r="AO283" s="357"/>
      <c r="AP283" s="357"/>
      <c r="AQ283" s="357"/>
      <c r="AR283" s="357"/>
      <c r="AS283" s="362"/>
      <c r="AT283" s="360"/>
      <c r="AU283" s="363"/>
      <c r="AV283" s="364"/>
      <c r="AW283" s="364"/>
      <c r="AX283" s="395"/>
      <c r="AY283" s="365"/>
      <c r="AZ283" s="361"/>
      <c r="BA283" s="357"/>
      <c r="BB283" s="362"/>
      <c r="BC283" s="360"/>
      <c r="BD283" s="380"/>
      <c r="BE283" s="381"/>
      <c r="BF283" s="381"/>
      <c r="BG283" s="381"/>
      <c r="BH283" s="381"/>
      <c r="BI283" s="381"/>
      <c r="BJ283" s="381"/>
      <c r="BK283" s="381"/>
      <c r="BL283" s="381"/>
      <c r="BM283" s="381"/>
      <c r="BN283" s="381"/>
      <c r="BO283" s="381"/>
      <c r="BP283" s="381"/>
      <c r="BQ283" s="381"/>
      <c r="BR283" s="381"/>
      <c r="BS283" s="381"/>
      <c r="BT283" s="381"/>
      <c r="BU283" s="381"/>
      <c r="BV283" s="381"/>
      <c r="BW283" s="381"/>
      <c r="BX283" s="381"/>
      <c r="BY283" s="381"/>
      <c r="BZ283" s="381"/>
      <c r="CA283" s="381"/>
      <c r="CB283" s="381"/>
      <c r="CC283" s="381"/>
      <c r="CD283" s="381"/>
      <c r="CE283" s="381"/>
      <c r="CF283" s="381"/>
      <c r="CG283" s="381"/>
      <c r="CH283" s="381"/>
      <c r="CI283" s="382"/>
      <c r="CJ283" s="382"/>
      <c r="CK283" s="382"/>
      <c r="CL283" s="382"/>
      <c r="CM283" s="382"/>
      <c r="CN283" s="382"/>
      <c r="CO283" s="382"/>
      <c r="CP283" s="382"/>
      <c r="CQ283" s="382"/>
      <c r="CR283" s="382"/>
      <c r="CS283" s="382"/>
      <c r="CT283" s="382"/>
      <c r="CU283" s="382"/>
      <c r="CV283" s="382"/>
      <c r="CW283" s="382"/>
      <c r="CX283" s="382"/>
      <c r="CY283" s="382"/>
      <c r="CZ283" s="382"/>
      <c r="DA283" s="382"/>
      <c r="DB283" s="382"/>
      <c r="DC283" s="382"/>
      <c r="DD283" s="382"/>
      <c r="DE283" s="382"/>
      <c r="DF283" s="382"/>
      <c r="DG283" s="382"/>
      <c r="DH283" s="382"/>
      <c r="DI283" s="382"/>
      <c r="DJ283" s="382"/>
      <c r="DK283" s="382"/>
      <c r="DL283" s="382"/>
      <c r="DM283" s="382"/>
      <c r="DN283" s="400">
        <f>ROUNDUP((3*8.3)*7,0)</f>
        <v>175</v>
      </c>
      <c r="DO283" s="383"/>
    </row>
    <row r="284" spans="1:122">
      <c r="A284" s="406"/>
      <c r="B284" s="405" t="s">
        <v>649</v>
      </c>
      <c r="C284" s="408"/>
      <c r="D284" s="409"/>
      <c r="E284" s="409"/>
      <c r="F284" s="409"/>
      <c r="G284" s="409"/>
      <c r="H284" s="409"/>
      <c r="I284" s="409"/>
      <c r="J284" s="409"/>
      <c r="K284" s="409"/>
      <c r="L284" s="409"/>
      <c r="M284" s="409"/>
      <c r="N284" s="409"/>
      <c r="O284" s="409"/>
      <c r="P284" s="410"/>
      <c r="Q284" s="410"/>
      <c r="R284" s="410"/>
      <c r="S284" s="410"/>
      <c r="T284" s="360"/>
      <c r="U284" s="405"/>
      <c r="V284" s="405"/>
      <c r="W284" s="405"/>
      <c r="X284" s="408"/>
      <c r="Y284" s="408"/>
      <c r="Z284" s="408"/>
      <c r="AA284" s="408"/>
      <c r="AB284" s="408"/>
      <c r="AC284" s="408"/>
      <c r="AD284" s="408"/>
      <c r="AE284" s="408"/>
      <c r="AF284" s="408"/>
      <c r="AG284" s="408"/>
      <c r="AH284" s="408"/>
      <c r="AI284" s="408"/>
      <c r="AJ284" s="408"/>
      <c r="AK284" s="408"/>
      <c r="AL284" s="408"/>
      <c r="AM284" s="408"/>
      <c r="AN284" s="408"/>
      <c r="AO284" s="408"/>
      <c r="AP284" s="408"/>
      <c r="AQ284" s="408"/>
      <c r="AR284" s="408"/>
      <c r="AS284" s="412"/>
      <c r="AT284" s="413"/>
      <c r="AU284" s="405"/>
      <c r="AV284" s="408"/>
      <c r="AW284" s="416"/>
      <c r="AX284" s="412"/>
      <c r="AY284" s="413"/>
      <c r="AZ284" s="405"/>
      <c r="BA284" s="408"/>
      <c r="BB284" s="1183"/>
      <c r="BC284" s="413"/>
      <c r="BD284" s="414"/>
      <c r="BE284" s="415"/>
      <c r="BF284" s="415"/>
      <c r="BG284" s="415"/>
      <c r="BH284" s="415"/>
      <c r="BI284" s="415"/>
      <c r="BJ284" s="655"/>
      <c r="BK284" s="415"/>
      <c r="BL284" s="415"/>
      <c r="BM284" s="415"/>
      <c r="BN284" s="415"/>
      <c r="BO284" s="415"/>
      <c r="BP284" s="415"/>
      <c r="BQ284" s="415"/>
      <c r="BR284" s="415"/>
      <c r="BS284" s="415"/>
      <c r="BT284" s="415"/>
      <c r="BU284" s="655"/>
      <c r="BV284" s="415"/>
      <c r="BW284" s="415"/>
      <c r="BX284" s="415"/>
      <c r="BY284" s="655"/>
      <c r="BZ284" s="655"/>
      <c r="CA284" s="655"/>
      <c r="CB284" s="415"/>
      <c r="CC284" s="655"/>
      <c r="CD284" s="415"/>
      <c r="CE284" s="415"/>
      <c r="CF284" s="415"/>
      <c r="CG284" s="415"/>
      <c r="CH284" s="415"/>
      <c r="CI284" s="656"/>
      <c r="CJ284" s="416"/>
      <c r="CK284" s="656"/>
      <c r="CL284" s="416"/>
      <c r="CM284" s="656"/>
      <c r="CN284" s="416"/>
      <c r="CO284" s="416"/>
      <c r="CP284" s="416"/>
      <c r="CQ284" s="656"/>
      <c r="CR284" s="656"/>
      <c r="CS284" s="416"/>
      <c r="CT284" s="416"/>
      <c r="CU284" s="416"/>
      <c r="CV284" s="416"/>
      <c r="CW284" s="416"/>
      <c r="CX284" s="656"/>
      <c r="CY284" s="656"/>
      <c r="CZ284" s="416"/>
      <c r="DA284" s="416"/>
      <c r="DB284" s="416"/>
      <c r="DC284" s="416"/>
      <c r="DD284" s="416"/>
      <c r="DE284" s="416"/>
      <c r="DF284" s="416"/>
      <c r="DG284" s="416"/>
      <c r="DH284" s="416"/>
      <c r="DI284" s="416"/>
      <c r="DJ284" s="416"/>
      <c r="DK284" s="416"/>
      <c r="DL284" s="416"/>
      <c r="DM284" s="416"/>
      <c r="DN284" s="416"/>
      <c r="DO284" s="401">
        <f>ROUNDUP((2*((36.6*2)+(10.1*2))),0)</f>
        <v>187</v>
      </c>
    </row>
    <row r="285" spans="1:122">
      <c r="A285" s="406"/>
      <c r="B285" s="405" t="s">
        <v>1462</v>
      </c>
      <c r="C285" s="408"/>
      <c r="D285" s="409"/>
      <c r="E285" s="409"/>
      <c r="F285" s="409"/>
      <c r="G285" s="409"/>
      <c r="H285" s="409"/>
      <c r="I285" s="409"/>
      <c r="J285" s="409"/>
      <c r="K285" s="409"/>
      <c r="L285" s="409"/>
      <c r="M285" s="409"/>
      <c r="N285" s="409"/>
      <c r="O285" s="409"/>
      <c r="P285" s="410"/>
      <c r="Q285" s="410"/>
      <c r="R285" s="410"/>
      <c r="S285" s="410"/>
      <c r="T285" s="360">
        <f>SUM(C285:O285)</f>
        <v>0</v>
      </c>
      <c r="U285" s="405"/>
      <c r="V285" s="405"/>
      <c r="W285" s="405"/>
      <c r="X285" s="408"/>
      <c r="Y285" s="408"/>
      <c r="Z285" s="408"/>
      <c r="AA285" s="408"/>
      <c r="AB285" s="408"/>
      <c r="AC285" s="408"/>
      <c r="AD285" s="408"/>
      <c r="AE285" s="408"/>
      <c r="AF285" s="408"/>
      <c r="AG285" s="408"/>
      <c r="AH285" s="408"/>
      <c r="AI285" s="408"/>
      <c r="AJ285" s="408"/>
      <c r="AK285" s="408"/>
      <c r="AL285" s="408"/>
      <c r="AM285" s="408"/>
      <c r="AN285" s="408"/>
      <c r="AO285" s="408"/>
      <c r="AP285" s="408"/>
      <c r="AQ285" s="408"/>
      <c r="AR285" s="408"/>
      <c r="AS285" s="412"/>
      <c r="AT285" s="413"/>
      <c r="AU285" s="405"/>
      <c r="AV285" s="408"/>
      <c r="AW285" s="408"/>
      <c r="AX285" s="412"/>
      <c r="AY285" s="413"/>
      <c r="AZ285" s="405"/>
      <c r="BA285" s="408"/>
      <c r="BB285" s="1183"/>
      <c r="BC285" s="413"/>
      <c r="BD285" s="414"/>
      <c r="BE285" s="415"/>
      <c r="BF285" s="415"/>
      <c r="BG285" s="415"/>
      <c r="BH285" s="415"/>
      <c r="BI285" s="415"/>
      <c r="BJ285" s="655"/>
      <c r="BK285" s="415"/>
      <c r="BL285" s="415"/>
      <c r="BM285" s="415"/>
      <c r="BN285" s="415"/>
      <c r="BO285" s="415"/>
      <c r="BP285" s="415"/>
      <c r="BQ285" s="415"/>
      <c r="BR285" s="415"/>
      <c r="BS285" s="415"/>
      <c r="BT285" s="415"/>
      <c r="BU285" s="655"/>
      <c r="BV285" s="415"/>
      <c r="BW285" s="415"/>
      <c r="BX285" s="415"/>
      <c r="BY285" s="655"/>
      <c r="BZ285" s="655"/>
      <c r="CA285" s="655"/>
      <c r="CB285" s="415"/>
      <c r="CC285" s="655"/>
      <c r="CD285" s="415"/>
      <c r="CE285" s="415"/>
      <c r="CF285" s="415"/>
      <c r="CG285" s="415"/>
      <c r="CH285" s="415"/>
      <c r="CI285" s="656"/>
      <c r="CJ285" s="416"/>
      <c r="CK285" s="656"/>
      <c r="CL285" s="416"/>
      <c r="CM285" s="656"/>
      <c r="CN285" s="416"/>
      <c r="CO285" s="416"/>
      <c r="CP285" s="416"/>
      <c r="CQ285" s="656"/>
      <c r="CR285" s="656"/>
      <c r="CS285" s="416"/>
      <c r="CT285" s="416"/>
      <c r="CU285" s="416"/>
      <c r="CV285" s="416"/>
      <c r="CW285" s="416"/>
      <c r="CX285" s="656"/>
      <c r="CY285" s="656"/>
      <c r="CZ285" s="416"/>
      <c r="DA285" s="416"/>
      <c r="DB285" s="416"/>
      <c r="DC285" s="416"/>
      <c r="DD285" s="416"/>
      <c r="DE285" s="416"/>
      <c r="DF285" s="416"/>
      <c r="DG285" s="416"/>
      <c r="DH285" s="416"/>
      <c r="DI285" s="416"/>
      <c r="DJ285" s="416"/>
      <c r="DK285" s="416"/>
      <c r="DL285" s="416"/>
      <c r="DM285" s="416"/>
      <c r="DN285" s="416"/>
      <c r="DO285" s="417">
        <f>ROUNDUP((19*46)+(24*46),0)</f>
        <v>1978</v>
      </c>
    </row>
    <row r="286" spans="1:122" ht="21.75">
      <c r="A286" s="406"/>
      <c r="B286" s="405" t="s">
        <v>486</v>
      </c>
      <c r="C286" s="408"/>
      <c r="D286" s="409"/>
      <c r="E286" s="409"/>
      <c r="F286" s="409"/>
      <c r="G286" s="409"/>
      <c r="H286" s="409"/>
      <c r="I286" s="409"/>
      <c r="J286" s="409"/>
      <c r="K286" s="409"/>
      <c r="L286" s="409"/>
      <c r="M286" s="409"/>
      <c r="N286" s="409"/>
      <c r="O286" s="409"/>
      <c r="P286" s="410"/>
      <c r="Q286" s="410"/>
      <c r="R286" s="410"/>
      <c r="S286" s="410"/>
      <c r="T286" s="360">
        <f>SUM(C286:O286)</f>
        <v>0</v>
      </c>
      <c r="U286" s="405"/>
      <c r="V286" s="405"/>
      <c r="W286" s="405"/>
      <c r="X286" s="408"/>
      <c r="Y286" s="408"/>
      <c r="Z286" s="408"/>
      <c r="AA286" s="408"/>
      <c r="AB286" s="408"/>
      <c r="AC286" s="408"/>
      <c r="AD286" s="408"/>
      <c r="AE286" s="408"/>
      <c r="AF286" s="408"/>
      <c r="AG286" s="408"/>
      <c r="AH286" s="408"/>
      <c r="AI286" s="408"/>
      <c r="AJ286" s="408"/>
      <c r="AK286" s="408"/>
      <c r="AL286" s="408"/>
      <c r="AM286" s="408"/>
      <c r="AN286" s="408"/>
      <c r="AO286" s="408"/>
      <c r="AP286" s="408"/>
      <c r="AQ286" s="408"/>
      <c r="AR286" s="408"/>
      <c r="AS286" s="412"/>
      <c r="AT286" s="413"/>
      <c r="AU286" s="405"/>
      <c r="AV286" s="408"/>
      <c r="AW286" s="408"/>
      <c r="AX286" s="412"/>
      <c r="AY286" s="413"/>
      <c r="AZ286" s="405"/>
      <c r="BA286" s="408"/>
      <c r="BB286" s="1183"/>
      <c r="BC286" s="413"/>
      <c r="BD286" s="414"/>
      <c r="BE286" s="415"/>
      <c r="BF286" s="415"/>
      <c r="BG286" s="415"/>
      <c r="BH286" s="415"/>
      <c r="BI286" s="415"/>
      <c r="BJ286" s="655"/>
      <c r="BK286" s="415"/>
      <c r="BL286" s="415"/>
      <c r="BM286" s="415"/>
      <c r="BN286" s="415"/>
      <c r="BO286" s="415"/>
      <c r="BP286" s="415"/>
      <c r="BQ286" s="415"/>
      <c r="BR286" s="415"/>
      <c r="BS286" s="415"/>
      <c r="BT286" s="415"/>
      <c r="BU286" s="655"/>
      <c r="BV286" s="415"/>
      <c r="BW286" s="415"/>
      <c r="BX286" s="415"/>
      <c r="BY286" s="655"/>
      <c r="BZ286" s="655"/>
      <c r="CA286" s="655"/>
      <c r="CB286" s="415"/>
      <c r="CC286" s="655"/>
      <c r="CD286" s="415"/>
      <c r="CE286" s="415"/>
      <c r="CF286" s="415"/>
      <c r="CG286" s="415"/>
      <c r="CH286" s="415"/>
      <c r="CI286" s="656"/>
      <c r="CJ286" s="416"/>
      <c r="CK286" s="656"/>
      <c r="CL286" s="416"/>
      <c r="CM286" s="656"/>
      <c r="CN286" s="416"/>
      <c r="CO286" s="416"/>
      <c r="CP286" s="416"/>
      <c r="CQ286" s="656"/>
      <c r="CR286" s="656"/>
      <c r="CS286" s="416"/>
      <c r="CT286" s="416"/>
      <c r="CU286" s="416"/>
      <c r="CV286" s="416"/>
      <c r="CW286" s="416"/>
      <c r="CX286" s="656"/>
      <c r="CY286" s="656"/>
      <c r="CZ286" s="416"/>
      <c r="DA286" s="416"/>
      <c r="DB286" s="416"/>
      <c r="DC286" s="416"/>
      <c r="DD286" s="416"/>
      <c r="DE286" s="416"/>
      <c r="DF286" s="416"/>
      <c r="DG286" s="416"/>
      <c r="DH286" s="416"/>
      <c r="DI286" s="416"/>
      <c r="DJ286" s="416"/>
      <c r="DK286" s="416"/>
      <c r="DL286" s="416"/>
      <c r="DM286" s="416"/>
      <c r="DN286" s="416"/>
      <c r="DO286" s="417"/>
      <c r="DQ286" s="788">
        <f>ROUNDUP(((((0.5*9)*2)+((7.7*2)*2)+((0.5*33)*2)+((34.6*2)*2))*1000)+((((7.7*8)*2)+((34.6*8)*2))*250),0)</f>
        <v>380400</v>
      </c>
      <c r="DR286" s="788">
        <f>ROUNDUP(0.5*((34.6*2)+(7.7*2)),0)</f>
        <v>43</v>
      </c>
    </row>
    <row r="287" spans="1:122">
      <c r="A287" s="406"/>
      <c r="B287" s="405"/>
      <c r="C287" s="408"/>
      <c r="D287" s="409"/>
      <c r="E287" s="409"/>
      <c r="F287" s="409"/>
      <c r="G287" s="409"/>
      <c r="H287" s="409"/>
      <c r="I287" s="409"/>
      <c r="J287" s="409"/>
      <c r="K287" s="409"/>
      <c r="L287" s="409"/>
      <c r="M287" s="409"/>
      <c r="N287" s="409"/>
      <c r="O287" s="409"/>
      <c r="P287" s="410"/>
      <c r="Q287" s="410"/>
      <c r="R287" s="410"/>
      <c r="S287" s="410"/>
      <c r="T287" s="411"/>
      <c r="U287" s="405"/>
      <c r="V287" s="405"/>
      <c r="W287" s="405"/>
      <c r="X287" s="408"/>
      <c r="Y287" s="408"/>
      <c r="Z287" s="408"/>
      <c r="AA287" s="408"/>
      <c r="AB287" s="408"/>
      <c r="AC287" s="408"/>
      <c r="AD287" s="408"/>
      <c r="AE287" s="408"/>
      <c r="AF287" s="408"/>
      <c r="AG287" s="408"/>
      <c r="AH287" s="408"/>
      <c r="AI287" s="408"/>
      <c r="AJ287" s="408"/>
      <c r="AK287" s="408"/>
      <c r="AL287" s="408"/>
      <c r="AM287" s="408"/>
      <c r="AN287" s="408"/>
      <c r="AO287" s="408"/>
      <c r="AP287" s="408"/>
      <c r="AQ287" s="408"/>
      <c r="AR287" s="408"/>
      <c r="AS287" s="412"/>
      <c r="AT287" s="413"/>
      <c r="AU287" s="405"/>
      <c r="AV287" s="408"/>
      <c r="AW287" s="408"/>
      <c r="AX287" s="412"/>
      <c r="AY287" s="413"/>
      <c r="AZ287" s="405"/>
      <c r="BA287" s="408"/>
      <c r="BB287" s="1183"/>
      <c r="BC287" s="413"/>
      <c r="BD287" s="414"/>
      <c r="BE287" s="415"/>
      <c r="BF287" s="415"/>
      <c r="BG287" s="415"/>
      <c r="BH287" s="415"/>
      <c r="BI287" s="415"/>
      <c r="BJ287" s="655"/>
      <c r="BK287" s="415"/>
      <c r="BL287" s="415"/>
      <c r="BM287" s="415"/>
      <c r="BN287" s="415"/>
      <c r="BO287" s="415"/>
      <c r="BP287" s="415"/>
      <c r="BQ287" s="415"/>
      <c r="BR287" s="415"/>
      <c r="BS287" s="415"/>
      <c r="BT287" s="415"/>
      <c r="BU287" s="655"/>
      <c r="BV287" s="415"/>
      <c r="BW287" s="415"/>
      <c r="BX287" s="415"/>
      <c r="BY287" s="655"/>
      <c r="BZ287" s="655"/>
      <c r="CA287" s="655"/>
      <c r="CB287" s="415"/>
      <c r="CC287" s="655"/>
      <c r="CD287" s="415"/>
      <c r="CE287" s="415"/>
      <c r="CF287" s="415"/>
      <c r="CG287" s="415"/>
      <c r="CH287" s="415"/>
      <c r="CI287" s="656"/>
      <c r="CJ287" s="416"/>
      <c r="CK287" s="656"/>
      <c r="CL287" s="416"/>
      <c r="CM287" s="656"/>
      <c r="CN287" s="416"/>
      <c r="CO287" s="416"/>
      <c r="CP287" s="416"/>
      <c r="CQ287" s="656"/>
      <c r="CR287" s="656"/>
      <c r="CS287" s="416"/>
      <c r="CT287" s="416"/>
      <c r="CU287" s="416"/>
      <c r="CV287" s="416"/>
      <c r="CW287" s="416"/>
      <c r="CX287" s="656"/>
      <c r="CY287" s="656"/>
      <c r="CZ287" s="416"/>
      <c r="DA287" s="416"/>
      <c r="DB287" s="416"/>
      <c r="DC287" s="416"/>
      <c r="DD287" s="416"/>
      <c r="DE287" s="416"/>
      <c r="DF287" s="416"/>
      <c r="DG287" s="416"/>
      <c r="DH287" s="416"/>
      <c r="DI287" s="416"/>
      <c r="DJ287" s="416"/>
      <c r="DK287" s="416"/>
      <c r="DL287" s="416"/>
      <c r="DM287" s="416"/>
      <c r="DN287" s="416"/>
      <c r="DO287" s="417"/>
    </row>
    <row r="288" spans="1:122">
      <c r="A288" s="406"/>
      <c r="B288" s="405"/>
      <c r="C288" s="408"/>
      <c r="D288" s="409"/>
      <c r="E288" s="409"/>
      <c r="F288" s="409"/>
      <c r="G288" s="409"/>
      <c r="H288" s="409"/>
      <c r="I288" s="409"/>
      <c r="J288" s="409"/>
      <c r="K288" s="409"/>
      <c r="L288" s="409"/>
      <c r="M288" s="409"/>
      <c r="N288" s="409"/>
      <c r="O288" s="409"/>
      <c r="P288" s="410"/>
      <c r="Q288" s="410"/>
      <c r="R288" s="410"/>
      <c r="S288" s="410"/>
      <c r="T288" s="411"/>
      <c r="U288" s="405"/>
      <c r="V288" s="405"/>
      <c r="W288" s="405"/>
      <c r="X288" s="408"/>
      <c r="Y288" s="408"/>
      <c r="Z288" s="408"/>
      <c r="AA288" s="408"/>
      <c r="AB288" s="408"/>
      <c r="AC288" s="408"/>
      <c r="AD288" s="408"/>
      <c r="AE288" s="408"/>
      <c r="AF288" s="408"/>
      <c r="AG288" s="408"/>
      <c r="AH288" s="408"/>
      <c r="AI288" s="408"/>
      <c r="AJ288" s="408"/>
      <c r="AK288" s="408"/>
      <c r="AL288" s="408"/>
      <c r="AM288" s="408"/>
      <c r="AN288" s="408"/>
      <c r="AO288" s="408"/>
      <c r="AP288" s="408"/>
      <c r="AQ288" s="408"/>
      <c r="AR288" s="408"/>
      <c r="AS288" s="412"/>
      <c r="AT288" s="413"/>
      <c r="AU288" s="405"/>
      <c r="AV288" s="408"/>
      <c r="AW288" s="408"/>
      <c r="AX288" s="412"/>
      <c r="AY288" s="413"/>
      <c r="AZ288" s="405"/>
      <c r="BA288" s="408"/>
      <c r="BB288" s="1183"/>
      <c r="BC288" s="413"/>
      <c r="BD288" s="414"/>
      <c r="BE288" s="415"/>
      <c r="BF288" s="415"/>
      <c r="BG288" s="415"/>
      <c r="BH288" s="415"/>
      <c r="BI288" s="415"/>
      <c r="BJ288" s="655"/>
      <c r="BK288" s="415"/>
      <c r="BL288" s="415"/>
      <c r="BM288" s="415"/>
      <c r="BN288" s="415"/>
      <c r="BO288" s="415"/>
      <c r="BP288" s="415"/>
      <c r="BQ288" s="415"/>
      <c r="BR288" s="415"/>
      <c r="BS288" s="415"/>
      <c r="BT288" s="415"/>
      <c r="BU288" s="655"/>
      <c r="BV288" s="415"/>
      <c r="BW288" s="415"/>
      <c r="BX288" s="415"/>
      <c r="BY288" s="655"/>
      <c r="BZ288" s="655"/>
      <c r="CA288" s="655"/>
      <c r="CB288" s="415"/>
      <c r="CC288" s="655"/>
      <c r="CD288" s="415"/>
      <c r="CE288" s="415"/>
      <c r="CF288" s="415"/>
      <c r="CG288" s="415"/>
      <c r="CH288" s="415"/>
      <c r="CI288" s="656"/>
      <c r="CJ288" s="416"/>
      <c r="CK288" s="656"/>
      <c r="CL288" s="416"/>
      <c r="CM288" s="656"/>
      <c r="CN288" s="416"/>
      <c r="CO288" s="416"/>
      <c r="CP288" s="416"/>
      <c r="CQ288" s="656"/>
      <c r="CR288" s="656"/>
      <c r="CS288" s="416"/>
      <c r="CT288" s="416"/>
      <c r="CU288" s="416"/>
      <c r="CV288" s="416"/>
      <c r="CW288" s="416"/>
      <c r="CX288" s="656"/>
      <c r="CY288" s="656"/>
      <c r="CZ288" s="416"/>
      <c r="DA288" s="416"/>
      <c r="DB288" s="416"/>
      <c r="DC288" s="416"/>
      <c r="DD288" s="416"/>
      <c r="DE288" s="416"/>
      <c r="DF288" s="416"/>
      <c r="DG288" s="416"/>
      <c r="DH288" s="416"/>
      <c r="DI288" s="416"/>
      <c r="DJ288" s="416"/>
      <c r="DK288" s="416"/>
      <c r="DL288" s="416"/>
      <c r="DM288" s="416"/>
      <c r="DN288" s="416"/>
      <c r="DO288" s="417"/>
    </row>
    <row r="289" spans="1:128" ht="18.75">
      <c r="A289" s="406"/>
      <c r="B289" s="385" t="s">
        <v>182</v>
      </c>
      <c r="C289" s="386">
        <f t="shared" ref="C289:AK289" si="71">SUM(C277:C288)</f>
        <v>0</v>
      </c>
      <c r="D289" s="386">
        <f t="shared" si="71"/>
        <v>0</v>
      </c>
      <c r="E289" s="386">
        <f t="shared" si="71"/>
        <v>0</v>
      </c>
      <c r="F289" s="386">
        <f>SUM(F277:F288)</f>
        <v>0</v>
      </c>
      <c r="G289" s="386">
        <f t="shared" si="71"/>
        <v>0</v>
      </c>
      <c r="H289" s="386">
        <f t="shared" si="71"/>
        <v>1512</v>
      </c>
      <c r="I289" s="386">
        <f t="shared" si="71"/>
        <v>0</v>
      </c>
      <c r="J289" s="386">
        <f t="shared" si="71"/>
        <v>0</v>
      </c>
      <c r="K289" s="386">
        <f t="shared" si="71"/>
        <v>0</v>
      </c>
      <c r="L289" s="386">
        <f t="shared" si="71"/>
        <v>0</v>
      </c>
      <c r="M289" s="386">
        <f t="shared" si="71"/>
        <v>0</v>
      </c>
      <c r="N289" s="386">
        <f t="shared" si="71"/>
        <v>0</v>
      </c>
      <c r="O289" s="386">
        <f t="shared" si="71"/>
        <v>0</v>
      </c>
      <c r="P289" s="386">
        <f t="shared" si="71"/>
        <v>0</v>
      </c>
      <c r="Q289" s="386">
        <f t="shared" si="71"/>
        <v>0</v>
      </c>
      <c r="R289" s="386">
        <f t="shared" si="71"/>
        <v>0</v>
      </c>
      <c r="S289" s="386">
        <f t="shared" si="71"/>
        <v>0</v>
      </c>
      <c r="T289" s="386">
        <f t="shared" si="71"/>
        <v>0</v>
      </c>
      <c r="U289" s="386">
        <f t="shared" si="71"/>
        <v>0</v>
      </c>
      <c r="V289" s="386">
        <f t="shared" si="71"/>
        <v>0</v>
      </c>
      <c r="W289" s="386">
        <f t="shared" si="71"/>
        <v>0</v>
      </c>
      <c r="X289" s="386">
        <f t="shared" si="71"/>
        <v>0</v>
      </c>
      <c r="Y289" s="386">
        <f t="shared" si="71"/>
        <v>0</v>
      </c>
      <c r="Z289" s="386">
        <f t="shared" si="71"/>
        <v>0</v>
      </c>
      <c r="AA289" s="386">
        <f t="shared" si="71"/>
        <v>0</v>
      </c>
      <c r="AB289" s="386">
        <f t="shared" si="71"/>
        <v>0</v>
      </c>
      <c r="AC289" s="386">
        <f t="shared" si="71"/>
        <v>0</v>
      </c>
      <c r="AD289" s="386">
        <f t="shared" si="71"/>
        <v>0</v>
      </c>
      <c r="AE289" s="386">
        <f t="shared" si="71"/>
        <v>32</v>
      </c>
      <c r="AF289" s="386">
        <f t="shared" si="71"/>
        <v>0</v>
      </c>
      <c r="AG289" s="386">
        <f t="shared" si="71"/>
        <v>0</v>
      </c>
      <c r="AH289" s="386">
        <f t="shared" si="71"/>
        <v>0</v>
      </c>
      <c r="AI289" s="386">
        <f t="shared" si="71"/>
        <v>0</v>
      </c>
      <c r="AJ289" s="386">
        <f t="shared" si="71"/>
        <v>0</v>
      </c>
      <c r="AK289" s="386">
        <f t="shared" si="71"/>
        <v>0</v>
      </c>
      <c r="AL289" s="386">
        <f t="shared" ref="AL289:CR289" si="72">SUM(AL277:AL288)</f>
        <v>0</v>
      </c>
      <c r="AM289" s="386">
        <f t="shared" si="72"/>
        <v>0</v>
      </c>
      <c r="AN289" s="386">
        <f t="shared" si="72"/>
        <v>0</v>
      </c>
      <c r="AO289" s="386">
        <f t="shared" si="72"/>
        <v>0</v>
      </c>
      <c r="AP289" s="386">
        <f t="shared" si="72"/>
        <v>0</v>
      </c>
      <c r="AQ289" s="386">
        <f t="shared" si="72"/>
        <v>0</v>
      </c>
      <c r="AR289" s="386">
        <f t="shared" si="72"/>
        <v>0</v>
      </c>
      <c r="AS289" s="386">
        <f t="shared" si="72"/>
        <v>0</v>
      </c>
      <c r="AT289" s="386">
        <f t="shared" si="72"/>
        <v>0</v>
      </c>
      <c r="AU289" s="386">
        <f t="shared" si="72"/>
        <v>0</v>
      </c>
      <c r="AV289" s="386">
        <f t="shared" si="72"/>
        <v>0</v>
      </c>
      <c r="AW289" s="386">
        <f t="shared" si="72"/>
        <v>0</v>
      </c>
      <c r="AX289" s="386">
        <f t="shared" si="72"/>
        <v>0</v>
      </c>
      <c r="AY289" s="386">
        <f t="shared" si="72"/>
        <v>0</v>
      </c>
      <c r="AZ289" s="386">
        <f t="shared" si="72"/>
        <v>0</v>
      </c>
      <c r="BA289" s="386">
        <f t="shared" si="72"/>
        <v>0</v>
      </c>
      <c r="BB289" s="386">
        <f t="shared" si="72"/>
        <v>0</v>
      </c>
      <c r="BC289" s="386">
        <f t="shared" si="72"/>
        <v>0</v>
      </c>
      <c r="BD289" s="386">
        <f t="shared" si="72"/>
        <v>0</v>
      </c>
      <c r="BE289" s="386">
        <f t="shared" si="72"/>
        <v>0</v>
      </c>
      <c r="BF289" s="386">
        <f t="shared" si="72"/>
        <v>0</v>
      </c>
      <c r="BG289" s="386">
        <f t="shared" si="72"/>
        <v>0</v>
      </c>
      <c r="BH289" s="386">
        <f t="shared" si="72"/>
        <v>0</v>
      </c>
      <c r="BI289" s="386">
        <f t="shared" si="72"/>
        <v>0</v>
      </c>
      <c r="BJ289" s="386">
        <f t="shared" si="72"/>
        <v>0</v>
      </c>
      <c r="BK289" s="386">
        <f t="shared" si="72"/>
        <v>0</v>
      </c>
      <c r="BL289" s="386">
        <f t="shared" si="72"/>
        <v>0</v>
      </c>
      <c r="BM289" s="386">
        <f t="shared" si="72"/>
        <v>0</v>
      </c>
      <c r="BN289" s="386">
        <f t="shared" si="72"/>
        <v>0</v>
      </c>
      <c r="BO289" s="386">
        <f t="shared" si="72"/>
        <v>0</v>
      </c>
      <c r="BP289" s="386">
        <f t="shared" si="72"/>
        <v>0</v>
      </c>
      <c r="BQ289" s="386">
        <f t="shared" si="72"/>
        <v>0</v>
      </c>
      <c r="BR289" s="386">
        <f t="shared" si="72"/>
        <v>0</v>
      </c>
      <c r="BS289" s="386">
        <f t="shared" si="72"/>
        <v>0</v>
      </c>
      <c r="BT289" s="386">
        <f t="shared" si="72"/>
        <v>0</v>
      </c>
      <c r="BU289" s="386">
        <f t="shared" si="72"/>
        <v>0</v>
      </c>
      <c r="BV289" s="386">
        <f t="shared" si="72"/>
        <v>0</v>
      </c>
      <c r="BW289" s="386">
        <f t="shared" si="72"/>
        <v>0</v>
      </c>
      <c r="BX289" s="386">
        <f t="shared" si="72"/>
        <v>0</v>
      </c>
      <c r="BY289" s="386">
        <f t="shared" si="72"/>
        <v>0</v>
      </c>
      <c r="BZ289" s="386">
        <f t="shared" si="72"/>
        <v>0</v>
      </c>
      <c r="CA289" s="386">
        <f t="shared" si="72"/>
        <v>0</v>
      </c>
      <c r="CB289" s="386">
        <f t="shared" si="72"/>
        <v>0</v>
      </c>
      <c r="CC289" s="386">
        <f t="shared" si="72"/>
        <v>0</v>
      </c>
      <c r="CD289" s="386">
        <f t="shared" si="72"/>
        <v>0</v>
      </c>
      <c r="CE289" s="386">
        <f t="shared" si="72"/>
        <v>0</v>
      </c>
      <c r="CF289" s="386">
        <f t="shared" si="72"/>
        <v>0</v>
      </c>
      <c r="CG289" s="386">
        <f t="shared" si="72"/>
        <v>0</v>
      </c>
      <c r="CH289" s="386">
        <f t="shared" si="72"/>
        <v>0</v>
      </c>
      <c r="CI289" s="386">
        <f t="shared" si="72"/>
        <v>0</v>
      </c>
      <c r="CJ289" s="386">
        <f t="shared" si="72"/>
        <v>0</v>
      </c>
      <c r="CK289" s="386">
        <f t="shared" si="72"/>
        <v>0</v>
      </c>
      <c r="CL289" s="386">
        <f t="shared" si="72"/>
        <v>0</v>
      </c>
      <c r="CM289" s="386">
        <f t="shared" si="72"/>
        <v>0</v>
      </c>
      <c r="CN289" s="386">
        <f t="shared" si="72"/>
        <v>0</v>
      </c>
      <c r="CO289" s="386">
        <f t="shared" si="72"/>
        <v>0</v>
      </c>
      <c r="CP289" s="386">
        <f t="shared" si="72"/>
        <v>0</v>
      </c>
      <c r="CQ289" s="386">
        <f t="shared" si="72"/>
        <v>0</v>
      </c>
      <c r="CR289" s="386">
        <f t="shared" si="72"/>
        <v>0</v>
      </c>
      <c r="CS289" s="386">
        <f t="shared" ref="CS289:DO289" si="73">SUM(CS277:CS288)</f>
        <v>0</v>
      </c>
      <c r="CT289" s="386">
        <f t="shared" si="73"/>
        <v>0</v>
      </c>
      <c r="CU289" s="386">
        <f t="shared" si="73"/>
        <v>0</v>
      </c>
      <c r="CV289" s="386">
        <f t="shared" si="73"/>
        <v>0</v>
      </c>
      <c r="CW289" s="386">
        <f t="shared" si="73"/>
        <v>0</v>
      </c>
      <c r="CX289" s="386">
        <f t="shared" si="73"/>
        <v>0</v>
      </c>
      <c r="CY289" s="386">
        <f t="shared" si="73"/>
        <v>0</v>
      </c>
      <c r="CZ289" s="386">
        <f t="shared" si="73"/>
        <v>0</v>
      </c>
      <c r="DA289" s="386">
        <f t="shared" si="73"/>
        <v>0</v>
      </c>
      <c r="DB289" s="386">
        <f t="shared" si="73"/>
        <v>0</v>
      </c>
      <c r="DC289" s="386">
        <f t="shared" si="73"/>
        <v>0</v>
      </c>
      <c r="DD289" s="386">
        <f t="shared" si="73"/>
        <v>0</v>
      </c>
      <c r="DE289" s="386">
        <f t="shared" si="73"/>
        <v>0</v>
      </c>
      <c r="DF289" s="386">
        <f t="shared" si="73"/>
        <v>115</v>
      </c>
      <c r="DG289" s="386">
        <f t="shared" si="73"/>
        <v>0</v>
      </c>
      <c r="DH289" s="386">
        <f t="shared" si="73"/>
        <v>88</v>
      </c>
      <c r="DI289" s="386">
        <f t="shared" si="73"/>
        <v>0</v>
      </c>
      <c r="DJ289" s="386">
        <f t="shared" si="73"/>
        <v>0</v>
      </c>
      <c r="DK289" s="386">
        <f t="shared" si="73"/>
        <v>0</v>
      </c>
      <c r="DL289" s="386">
        <f t="shared" si="73"/>
        <v>115</v>
      </c>
      <c r="DM289" s="386">
        <f t="shared" si="73"/>
        <v>160</v>
      </c>
      <c r="DN289" s="386">
        <f t="shared" si="73"/>
        <v>175</v>
      </c>
      <c r="DO289" s="386">
        <f t="shared" si="73"/>
        <v>2165</v>
      </c>
    </row>
    <row r="290" spans="1:128">
      <c r="A290" s="406"/>
      <c r="B290" s="405"/>
      <c r="C290" s="408"/>
      <c r="D290" s="409"/>
      <c r="E290" s="409"/>
      <c r="F290" s="409"/>
      <c r="G290" s="409"/>
      <c r="H290" s="409"/>
      <c r="I290" s="409"/>
      <c r="J290" s="409"/>
      <c r="K290" s="409"/>
      <c r="L290" s="409"/>
      <c r="M290" s="409"/>
      <c r="N290" s="409"/>
      <c r="O290" s="409"/>
      <c r="P290" s="410"/>
      <c r="Q290" s="410"/>
      <c r="R290" s="410"/>
      <c r="S290" s="410"/>
      <c r="T290" s="411"/>
      <c r="U290" s="405"/>
      <c r="V290" s="405"/>
      <c r="W290" s="405"/>
      <c r="X290" s="408"/>
      <c r="Y290" s="408"/>
      <c r="Z290" s="408"/>
      <c r="AA290" s="408"/>
      <c r="AB290" s="408"/>
      <c r="AC290" s="408"/>
      <c r="AD290" s="408"/>
      <c r="AE290" s="408"/>
      <c r="AF290" s="408"/>
      <c r="AG290" s="408"/>
      <c r="AH290" s="408"/>
      <c r="AI290" s="408"/>
      <c r="AJ290" s="408"/>
      <c r="AK290" s="408"/>
      <c r="AL290" s="408"/>
      <c r="AM290" s="408"/>
      <c r="AN290" s="408"/>
      <c r="AO290" s="408"/>
      <c r="AP290" s="408"/>
      <c r="AQ290" s="408"/>
      <c r="AR290" s="408"/>
      <c r="AS290" s="412"/>
      <c r="AT290" s="413"/>
      <c r="AU290" s="405"/>
      <c r="AV290" s="408"/>
      <c r="AW290" s="408"/>
      <c r="AX290" s="412"/>
      <c r="AY290" s="413"/>
      <c r="AZ290" s="405"/>
      <c r="BA290" s="408"/>
      <c r="BB290" s="1183"/>
      <c r="BC290" s="413"/>
      <c r="BD290" s="414"/>
      <c r="BE290" s="415"/>
      <c r="BF290" s="415"/>
      <c r="BG290" s="415"/>
      <c r="BH290" s="415"/>
      <c r="BI290" s="415"/>
      <c r="BJ290" s="655"/>
      <c r="BK290" s="415"/>
      <c r="BL290" s="415"/>
      <c r="BM290" s="415"/>
      <c r="BN290" s="415"/>
      <c r="BO290" s="415"/>
      <c r="BP290" s="415"/>
      <c r="BQ290" s="415"/>
      <c r="BR290" s="415"/>
      <c r="BS290" s="415"/>
      <c r="BT290" s="415"/>
      <c r="BU290" s="655"/>
      <c r="BV290" s="415"/>
      <c r="BW290" s="415"/>
      <c r="BX290" s="415"/>
      <c r="BY290" s="655"/>
      <c r="BZ290" s="655"/>
      <c r="CA290" s="655"/>
      <c r="CB290" s="415"/>
      <c r="CC290" s="655"/>
      <c r="CD290" s="415"/>
      <c r="CE290" s="415"/>
      <c r="CF290" s="415"/>
      <c r="CG290" s="415"/>
      <c r="CH290" s="415"/>
      <c r="CI290" s="656"/>
      <c r="CJ290" s="416"/>
      <c r="CK290" s="656"/>
      <c r="CL290" s="416"/>
      <c r="CM290" s="656"/>
      <c r="CN290" s="416"/>
      <c r="CO290" s="416"/>
      <c r="CP290" s="416"/>
      <c r="CQ290" s="656"/>
      <c r="CR290" s="656"/>
      <c r="CS290" s="416"/>
      <c r="CT290" s="416"/>
      <c r="CU290" s="416"/>
      <c r="CV290" s="416"/>
      <c r="CW290" s="416"/>
      <c r="CX290" s="656"/>
      <c r="CY290" s="656"/>
      <c r="CZ290" s="416"/>
      <c r="DA290" s="416"/>
      <c r="DB290" s="416"/>
      <c r="DC290" s="416"/>
      <c r="DD290" s="416"/>
      <c r="DE290" s="416"/>
      <c r="DF290" s="416"/>
      <c r="DG290" s="416"/>
      <c r="DH290" s="416"/>
      <c r="DI290" s="416"/>
      <c r="DJ290" s="416"/>
      <c r="DK290" s="416"/>
      <c r="DL290" s="416"/>
      <c r="DM290" s="416"/>
      <c r="DN290" s="416"/>
      <c r="DO290" s="417"/>
    </row>
    <row r="291" spans="1:128">
      <c r="A291" s="316"/>
      <c r="B291" s="419"/>
      <c r="C291" s="420"/>
      <c r="D291" s="421"/>
      <c r="E291" s="421"/>
      <c r="F291" s="421"/>
      <c r="G291" s="421"/>
      <c r="H291" s="421"/>
      <c r="I291" s="421"/>
      <c r="J291" s="421"/>
      <c r="K291" s="421"/>
      <c r="L291" s="421"/>
      <c r="M291" s="421"/>
      <c r="N291" s="421"/>
      <c r="O291" s="421"/>
      <c r="P291" s="422"/>
      <c r="Q291" s="422"/>
      <c r="R291" s="422"/>
      <c r="S291" s="422"/>
      <c r="T291" s="423"/>
      <c r="U291" s="419"/>
      <c r="V291" s="419"/>
      <c r="W291" s="419"/>
      <c r="X291" s="420"/>
      <c r="Y291" s="420"/>
      <c r="Z291" s="420"/>
      <c r="AA291" s="420"/>
      <c r="AB291" s="420"/>
      <c r="AC291" s="420"/>
      <c r="AD291" s="420"/>
      <c r="AE291" s="420"/>
      <c r="AF291" s="420"/>
      <c r="AG291" s="420"/>
      <c r="AH291" s="420"/>
      <c r="AI291" s="420"/>
      <c r="AJ291" s="420"/>
      <c r="AK291" s="420"/>
      <c r="AL291" s="420"/>
      <c r="AM291" s="420"/>
      <c r="AN291" s="420"/>
      <c r="AO291" s="420"/>
      <c r="AP291" s="420"/>
      <c r="AQ291" s="420"/>
      <c r="AR291" s="420"/>
      <c r="AS291" s="424"/>
      <c r="AT291" s="425"/>
      <c r="AU291" s="419"/>
      <c r="AV291" s="420"/>
      <c r="AW291" s="420"/>
      <c r="AX291" s="424"/>
      <c r="AY291" s="425"/>
      <c r="AZ291" s="419"/>
      <c r="BA291" s="420"/>
      <c r="BB291" s="424"/>
      <c r="BC291" s="425"/>
      <c r="BD291" s="426"/>
      <c r="BE291" s="427"/>
      <c r="BF291" s="427"/>
      <c r="BG291" s="427"/>
      <c r="BH291" s="427"/>
      <c r="BI291" s="427"/>
      <c r="BJ291" s="427"/>
      <c r="BK291" s="427"/>
      <c r="BL291" s="427"/>
      <c r="BM291" s="427"/>
      <c r="BN291" s="427"/>
      <c r="BO291" s="427"/>
      <c r="BP291" s="427"/>
      <c r="BQ291" s="427"/>
      <c r="BR291" s="427"/>
      <c r="BS291" s="427"/>
      <c r="BT291" s="427"/>
      <c r="BU291" s="427"/>
      <c r="BV291" s="427"/>
      <c r="BW291" s="427"/>
      <c r="BX291" s="427"/>
      <c r="BY291" s="427"/>
      <c r="BZ291" s="427"/>
      <c r="CA291" s="427"/>
      <c r="CB291" s="427"/>
      <c r="CC291" s="427"/>
      <c r="CD291" s="427"/>
      <c r="CE291" s="427"/>
      <c r="CF291" s="427"/>
      <c r="CG291" s="427"/>
      <c r="CH291" s="427"/>
      <c r="CI291" s="428"/>
      <c r="CJ291" s="428"/>
      <c r="CK291" s="428"/>
      <c r="CL291" s="428"/>
      <c r="CM291" s="428"/>
      <c r="CN291" s="428"/>
      <c r="CO291" s="428"/>
      <c r="CP291" s="428"/>
      <c r="CQ291" s="428"/>
      <c r="CR291" s="428"/>
      <c r="CS291" s="428"/>
      <c r="CT291" s="428"/>
      <c r="CU291" s="428"/>
      <c r="CV291" s="428"/>
      <c r="CW291" s="428"/>
      <c r="CX291" s="428"/>
      <c r="CY291" s="428"/>
      <c r="CZ291" s="428"/>
      <c r="DA291" s="428"/>
      <c r="DB291" s="428"/>
      <c r="DC291" s="428"/>
      <c r="DD291" s="428"/>
      <c r="DE291" s="428"/>
      <c r="DF291" s="428"/>
      <c r="DG291" s="428"/>
      <c r="DH291" s="428"/>
      <c r="DI291" s="428"/>
      <c r="DJ291" s="428"/>
      <c r="DK291" s="428"/>
      <c r="DL291" s="428"/>
      <c r="DM291" s="428"/>
      <c r="DN291" s="428"/>
      <c r="DO291" s="429"/>
    </row>
    <row r="292" spans="1:128" ht="19.5" thickBot="1">
      <c r="A292" s="430"/>
      <c r="B292" s="431" t="s">
        <v>181</v>
      </c>
      <c r="C292" s="432">
        <f t="shared" ref="C292:AI292" si="74">SUM(C255+C275+C289)</f>
        <v>1464</v>
      </c>
      <c r="D292" s="432">
        <f t="shared" si="74"/>
        <v>0</v>
      </c>
      <c r="E292" s="432">
        <f t="shared" si="74"/>
        <v>0</v>
      </c>
      <c r="F292" s="432">
        <f t="shared" si="74"/>
        <v>839</v>
      </c>
      <c r="G292" s="432">
        <f t="shared" si="74"/>
        <v>0</v>
      </c>
      <c r="H292" s="432">
        <f t="shared" si="74"/>
        <v>1738</v>
      </c>
      <c r="I292" s="432">
        <f t="shared" si="74"/>
        <v>0</v>
      </c>
      <c r="J292" s="432">
        <f t="shared" si="74"/>
        <v>0</v>
      </c>
      <c r="K292" s="432">
        <f t="shared" si="74"/>
        <v>0</v>
      </c>
      <c r="L292" s="432">
        <f t="shared" si="74"/>
        <v>0</v>
      </c>
      <c r="M292" s="432">
        <f t="shared" si="74"/>
        <v>0</v>
      </c>
      <c r="N292" s="432">
        <f t="shared" si="74"/>
        <v>0</v>
      </c>
      <c r="O292" s="432">
        <f t="shared" si="74"/>
        <v>0</v>
      </c>
      <c r="P292" s="432">
        <f t="shared" si="74"/>
        <v>0</v>
      </c>
      <c r="Q292" s="432">
        <f t="shared" si="74"/>
        <v>0</v>
      </c>
      <c r="R292" s="432">
        <f t="shared" si="74"/>
        <v>0</v>
      </c>
      <c r="S292" s="432">
        <f t="shared" si="74"/>
        <v>0</v>
      </c>
      <c r="T292" s="432">
        <f t="shared" si="74"/>
        <v>0</v>
      </c>
      <c r="U292" s="432">
        <f t="shared" si="74"/>
        <v>1165</v>
      </c>
      <c r="V292" s="432">
        <f t="shared" si="74"/>
        <v>437</v>
      </c>
      <c r="W292" s="432">
        <f t="shared" si="74"/>
        <v>0</v>
      </c>
      <c r="X292" s="432">
        <f t="shared" si="74"/>
        <v>0</v>
      </c>
      <c r="Y292" s="432">
        <f t="shared" si="74"/>
        <v>0</v>
      </c>
      <c r="Z292" s="432">
        <f t="shared" si="74"/>
        <v>0</v>
      </c>
      <c r="AA292" s="432">
        <f t="shared" si="74"/>
        <v>0</v>
      </c>
      <c r="AB292" s="432">
        <f t="shared" si="74"/>
        <v>399</v>
      </c>
      <c r="AC292" s="432">
        <f t="shared" si="74"/>
        <v>1081</v>
      </c>
      <c r="AD292" s="432">
        <f t="shared" si="74"/>
        <v>1952</v>
      </c>
      <c r="AE292" s="432">
        <f t="shared" si="74"/>
        <v>513</v>
      </c>
      <c r="AF292" s="432">
        <f t="shared" si="74"/>
        <v>0</v>
      </c>
      <c r="AG292" s="432">
        <f t="shared" si="74"/>
        <v>0</v>
      </c>
      <c r="AH292" s="432">
        <f t="shared" si="74"/>
        <v>0</v>
      </c>
      <c r="AI292" s="432">
        <f t="shared" si="74"/>
        <v>0</v>
      </c>
      <c r="AJ292" s="432">
        <f t="shared" ref="AJ292:BP292" si="75">SUM(AJ255+AJ275+AJ289)</f>
        <v>0</v>
      </c>
      <c r="AK292" s="432">
        <f t="shared" si="75"/>
        <v>0</v>
      </c>
      <c r="AL292" s="432">
        <f t="shared" si="75"/>
        <v>0</v>
      </c>
      <c r="AM292" s="432">
        <f t="shared" si="75"/>
        <v>0</v>
      </c>
      <c r="AN292" s="432">
        <f t="shared" si="75"/>
        <v>0</v>
      </c>
      <c r="AO292" s="432">
        <f t="shared" si="75"/>
        <v>0</v>
      </c>
      <c r="AP292" s="432">
        <f t="shared" si="75"/>
        <v>0</v>
      </c>
      <c r="AQ292" s="432">
        <f t="shared" si="75"/>
        <v>174</v>
      </c>
      <c r="AR292" s="432">
        <f t="shared" si="75"/>
        <v>56</v>
      </c>
      <c r="AS292" s="432">
        <f t="shared" si="75"/>
        <v>0</v>
      </c>
      <c r="AT292" s="432">
        <f t="shared" si="75"/>
        <v>358</v>
      </c>
      <c r="AU292" s="432">
        <f t="shared" si="75"/>
        <v>146</v>
      </c>
      <c r="AV292" s="432">
        <f t="shared" si="75"/>
        <v>0</v>
      </c>
      <c r="AW292" s="432">
        <f t="shared" si="75"/>
        <v>1774</v>
      </c>
      <c r="AX292" s="432">
        <f t="shared" si="75"/>
        <v>0</v>
      </c>
      <c r="AY292" s="432">
        <f t="shared" si="75"/>
        <v>0</v>
      </c>
      <c r="AZ292" s="432">
        <f t="shared" si="75"/>
        <v>1968</v>
      </c>
      <c r="BA292" s="432">
        <f t="shared" si="75"/>
        <v>1147</v>
      </c>
      <c r="BB292" s="432">
        <f t="shared" si="75"/>
        <v>0</v>
      </c>
      <c r="BC292" s="432">
        <f t="shared" si="75"/>
        <v>1920</v>
      </c>
      <c r="BD292" s="432">
        <f t="shared" si="75"/>
        <v>0</v>
      </c>
      <c r="BE292" s="432">
        <f t="shared" si="75"/>
        <v>0</v>
      </c>
      <c r="BF292" s="432">
        <f t="shared" si="75"/>
        <v>2</v>
      </c>
      <c r="BG292" s="432">
        <f t="shared" si="75"/>
        <v>2</v>
      </c>
      <c r="BH292" s="432">
        <f t="shared" si="75"/>
        <v>2</v>
      </c>
      <c r="BI292" s="432">
        <f t="shared" si="75"/>
        <v>1</v>
      </c>
      <c r="BJ292" s="432">
        <f t="shared" si="75"/>
        <v>0</v>
      </c>
      <c r="BK292" s="432">
        <f t="shared" si="75"/>
        <v>1</v>
      </c>
      <c r="BL292" s="432">
        <f t="shared" si="75"/>
        <v>1</v>
      </c>
      <c r="BM292" s="432">
        <f t="shared" si="75"/>
        <v>0</v>
      </c>
      <c r="BN292" s="432">
        <f t="shared" si="75"/>
        <v>0</v>
      </c>
      <c r="BO292" s="432">
        <f t="shared" si="75"/>
        <v>0</v>
      </c>
      <c r="BP292" s="432">
        <f t="shared" si="75"/>
        <v>0</v>
      </c>
      <c r="BQ292" s="432">
        <f t="shared" ref="BQ292:CV292" si="76">SUM(BQ255+BQ275+BQ289)</f>
        <v>0</v>
      </c>
      <c r="BR292" s="432">
        <f t="shared" si="76"/>
        <v>0</v>
      </c>
      <c r="BS292" s="432">
        <f t="shared" si="76"/>
        <v>0</v>
      </c>
      <c r="BT292" s="432">
        <f t="shared" si="76"/>
        <v>0</v>
      </c>
      <c r="BU292" s="432">
        <f t="shared" si="76"/>
        <v>0</v>
      </c>
      <c r="BV292" s="432">
        <f t="shared" si="76"/>
        <v>0</v>
      </c>
      <c r="BW292" s="432">
        <f t="shared" si="76"/>
        <v>0</v>
      </c>
      <c r="BX292" s="432">
        <f t="shared" si="76"/>
        <v>0</v>
      </c>
      <c r="BY292" s="432">
        <f t="shared" si="76"/>
        <v>0</v>
      </c>
      <c r="BZ292" s="432">
        <f t="shared" si="76"/>
        <v>0</v>
      </c>
      <c r="CA292" s="432">
        <f t="shared" si="76"/>
        <v>0</v>
      </c>
      <c r="CB292" s="432">
        <f t="shared" si="76"/>
        <v>0</v>
      </c>
      <c r="CC292" s="432">
        <f t="shared" si="76"/>
        <v>0</v>
      </c>
      <c r="CD292" s="432">
        <f t="shared" si="76"/>
        <v>0</v>
      </c>
      <c r="CE292" s="432">
        <f t="shared" si="76"/>
        <v>6</v>
      </c>
      <c r="CF292" s="432">
        <f t="shared" si="76"/>
        <v>2</v>
      </c>
      <c r="CG292" s="432">
        <f t="shared" si="76"/>
        <v>0</v>
      </c>
      <c r="CH292" s="432">
        <f t="shared" si="76"/>
        <v>4</v>
      </c>
      <c r="CI292" s="432">
        <f t="shared" si="76"/>
        <v>2</v>
      </c>
      <c r="CJ292" s="432">
        <f t="shared" si="76"/>
        <v>1</v>
      </c>
      <c r="CK292" s="432">
        <f t="shared" si="76"/>
        <v>0</v>
      </c>
      <c r="CL292" s="432">
        <f t="shared" si="76"/>
        <v>0</v>
      </c>
      <c r="CM292" s="432">
        <f t="shared" si="76"/>
        <v>0</v>
      </c>
      <c r="CN292" s="432">
        <f t="shared" si="76"/>
        <v>0</v>
      </c>
      <c r="CO292" s="432">
        <f t="shared" si="76"/>
        <v>0</v>
      </c>
      <c r="CP292" s="432">
        <f t="shared" si="76"/>
        <v>0</v>
      </c>
      <c r="CQ292" s="432">
        <f t="shared" si="76"/>
        <v>0</v>
      </c>
      <c r="CR292" s="432">
        <f t="shared" si="76"/>
        <v>0</v>
      </c>
      <c r="CS292" s="432">
        <f t="shared" si="76"/>
        <v>0</v>
      </c>
      <c r="CT292" s="432">
        <f t="shared" si="76"/>
        <v>0</v>
      </c>
      <c r="CU292" s="432">
        <f t="shared" si="76"/>
        <v>0</v>
      </c>
      <c r="CV292" s="432">
        <f t="shared" si="76"/>
        <v>0</v>
      </c>
      <c r="CW292" s="432">
        <f t="shared" ref="CW292:DO292" si="77">SUM(CW255+CW275+CW289)</f>
        <v>0</v>
      </c>
      <c r="CX292" s="432">
        <f t="shared" si="77"/>
        <v>0</v>
      </c>
      <c r="CY292" s="432">
        <f t="shared" si="77"/>
        <v>0</v>
      </c>
      <c r="CZ292" s="432">
        <f t="shared" si="77"/>
        <v>0</v>
      </c>
      <c r="DA292" s="432">
        <f t="shared" si="77"/>
        <v>0</v>
      </c>
      <c r="DB292" s="432">
        <f t="shared" si="77"/>
        <v>0</v>
      </c>
      <c r="DC292" s="432">
        <f t="shared" si="77"/>
        <v>0</v>
      </c>
      <c r="DD292" s="432">
        <f t="shared" si="77"/>
        <v>0</v>
      </c>
      <c r="DE292" s="432">
        <f t="shared" si="77"/>
        <v>0</v>
      </c>
      <c r="DF292" s="432">
        <f t="shared" si="77"/>
        <v>115</v>
      </c>
      <c r="DG292" s="432">
        <f t="shared" si="77"/>
        <v>0</v>
      </c>
      <c r="DH292" s="432">
        <f t="shared" si="77"/>
        <v>88</v>
      </c>
      <c r="DI292" s="432">
        <f t="shared" si="77"/>
        <v>0</v>
      </c>
      <c r="DJ292" s="432">
        <f t="shared" si="77"/>
        <v>0</v>
      </c>
      <c r="DK292" s="432">
        <f t="shared" si="77"/>
        <v>0</v>
      </c>
      <c r="DL292" s="432">
        <f t="shared" si="77"/>
        <v>115</v>
      </c>
      <c r="DM292" s="432">
        <f t="shared" si="77"/>
        <v>160</v>
      </c>
      <c r="DN292" s="432">
        <f t="shared" si="77"/>
        <v>175</v>
      </c>
      <c r="DO292" s="432">
        <f t="shared" si="77"/>
        <v>2165</v>
      </c>
    </row>
    <row r="293" spans="1:128" ht="17.25" thickTop="1"/>
    <row r="295" spans="1:128">
      <c r="B295" s="309" t="s">
        <v>1053</v>
      </c>
    </row>
    <row r="299" spans="1:128">
      <c r="BD299" s="327" t="s">
        <v>215</v>
      </c>
      <c r="BE299" s="327" t="s">
        <v>214</v>
      </c>
      <c r="BF299" s="327" t="s">
        <v>213</v>
      </c>
      <c r="BG299" s="327" t="s">
        <v>1505</v>
      </c>
      <c r="BH299" s="327" t="s">
        <v>1506</v>
      </c>
      <c r="BI299" s="327" t="s">
        <v>212</v>
      </c>
      <c r="BJ299" s="327" t="s">
        <v>352</v>
      </c>
      <c r="BK299" s="327" t="s">
        <v>353</v>
      </c>
      <c r="BL299" s="327" t="s">
        <v>354</v>
      </c>
      <c r="BM299" s="327" t="s">
        <v>355</v>
      </c>
      <c r="BN299" s="327" t="s">
        <v>1507</v>
      </c>
      <c r="BO299" s="327" t="s">
        <v>356</v>
      </c>
      <c r="BP299" s="327" t="s">
        <v>1328</v>
      </c>
      <c r="BQ299" s="327" t="s">
        <v>357</v>
      </c>
      <c r="BR299" s="327" t="s">
        <v>358</v>
      </c>
      <c r="BS299" s="327" t="s">
        <v>359</v>
      </c>
      <c r="BT299" s="327" t="s">
        <v>360</v>
      </c>
      <c r="BU299" s="327" t="s">
        <v>361</v>
      </c>
      <c r="BV299" s="327" t="s">
        <v>377</v>
      </c>
      <c r="BW299" s="327" t="s">
        <v>378</v>
      </c>
      <c r="BX299" s="327" t="s">
        <v>379</v>
      </c>
      <c r="BY299" s="327" t="s">
        <v>380</v>
      </c>
      <c r="BZ299" s="327" t="s">
        <v>1272</v>
      </c>
      <c r="CA299" s="327" t="s">
        <v>1273</v>
      </c>
      <c r="CB299" s="327" t="s">
        <v>1508</v>
      </c>
      <c r="CC299" s="327" t="s">
        <v>1509</v>
      </c>
      <c r="CD299" s="327" t="s">
        <v>1510</v>
      </c>
      <c r="CE299" s="315" t="s">
        <v>211</v>
      </c>
      <c r="CF299" s="315" t="s">
        <v>210</v>
      </c>
      <c r="CG299" s="315" t="s">
        <v>1511</v>
      </c>
      <c r="CH299" s="315" t="s">
        <v>209</v>
      </c>
      <c r="CI299" s="315" t="s">
        <v>208</v>
      </c>
      <c r="CJ299" s="315" t="s">
        <v>207</v>
      </c>
      <c r="CK299" s="315" t="s">
        <v>206</v>
      </c>
      <c r="CL299" s="315" t="s">
        <v>1280</v>
      </c>
      <c r="CM299" s="315" t="s">
        <v>1512</v>
      </c>
      <c r="CN299" s="315" t="s">
        <v>205</v>
      </c>
      <c r="CO299" s="315" t="s">
        <v>1281</v>
      </c>
      <c r="CP299" s="315" t="s">
        <v>1513</v>
      </c>
      <c r="CQ299" s="315" t="s">
        <v>1514</v>
      </c>
      <c r="CR299" s="315" t="s">
        <v>204</v>
      </c>
      <c r="CS299" s="315" t="s">
        <v>203</v>
      </c>
      <c r="CT299" s="315" t="s">
        <v>1515</v>
      </c>
      <c r="CU299" s="315" t="s">
        <v>202</v>
      </c>
      <c r="CV299" s="315" t="s">
        <v>201</v>
      </c>
      <c r="CW299" s="315" t="s">
        <v>200</v>
      </c>
      <c r="CX299" s="315" t="s">
        <v>199</v>
      </c>
      <c r="CY299" s="315" t="s">
        <v>198</v>
      </c>
      <c r="CZ299" s="315" t="s">
        <v>197</v>
      </c>
      <c r="DA299" s="315" t="s">
        <v>1274</v>
      </c>
      <c r="DB299" s="315" t="s">
        <v>1275</v>
      </c>
      <c r="DC299" s="315" t="s">
        <v>1516</v>
      </c>
      <c r="DD299" s="315" t="s">
        <v>1517</v>
      </c>
      <c r="DE299" s="315" t="s">
        <v>1518</v>
      </c>
      <c r="DF299" s="321"/>
      <c r="DG299" s="321"/>
    </row>
    <row r="300" spans="1:128">
      <c r="BD300" s="323">
        <f>7.4*2.85</f>
        <v>21.090000000000003</v>
      </c>
      <c r="BE300" s="323">
        <f>5.4*2.85</f>
        <v>15.390000000000002</v>
      </c>
      <c r="BF300" s="323">
        <v>12.49</v>
      </c>
      <c r="BG300" s="323">
        <f>1.9*2.85</f>
        <v>5.415</v>
      </c>
      <c r="BH300" s="323">
        <f>1.9*2.85</f>
        <v>5.415</v>
      </c>
      <c r="BI300" s="323">
        <v>9.09</v>
      </c>
      <c r="BJ300" s="323">
        <v>15.69</v>
      </c>
      <c r="BK300" s="323">
        <f>2*2.85</f>
        <v>5.7</v>
      </c>
      <c r="BL300" s="323">
        <v>12.99</v>
      </c>
      <c r="BM300" s="313">
        <f>2*2.5</f>
        <v>5</v>
      </c>
      <c r="BN300" s="313">
        <f>2*2.05</f>
        <v>4.0999999999999996</v>
      </c>
      <c r="BO300" s="313">
        <f>2.1*2.85</f>
        <v>5.9850000000000003</v>
      </c>
      <c r="BP300" s="313">
        <f>2.1*2.5</f>
        <v>5.25</v>
      </c>
      <c r="BQ300" s="313">
        <v>8.75</v>
      </c>
      <c r="BR300" s="313">
        <f>1.1*2.5</f>
        <v>2.75</v>
      </c>
      <c r="BS300" s="313">
        <f>1.1*2.5</f>
        <v>2.75</v>
      </c>
      <c r="BT300" s="313">
        <f>1.1*2.05</f>
        <v>2.2549999999999999</v>
      </c>
      <c r="BU300" s="313">
        <f>1.1*2.05</f>
        <v>2.2549999999999999</v>
      </c>
      <c r="BV300" s="313">
        <f>5.4*2.5</f>
        <v>13.5</v>
      </c>
      <c r="BW300" s="313">
        <v>9.01</v>
      </c>
      <c r="BX300" s="313">
        <v>9.67</v>
      </c>
      <c r="BY300" s="313">
        <v>4.8899999999999997</v>
      </c>
      <c r="BZ300" s="313">
        <f>23.1*2.5</f>
        <v>57.75</v>
      </c>
      <c r="CA300" s="313">
        <f>1.5*1.05</f>
        <v>1.5750000000000002</v>
      </c>
      <c r="CB300" s="313">
        <f>6.7*2.5</f>
        <v>16.75</v>
      </c>
      <c r="CC300" s="313">
        <v>4.59</v>
      </c>
      <c r="CD300" s="313">
        <f>5.4*2.5</f>
        <v>13.5</v>
      </c>
      <c r="CE300" s="323">
        <f>5.1*2.4</f>
        <v>12.239999999999998</v>
      </c>
      <c r="CF300" s="323">
        <f>4.26*1.65</f>
        <v>7.028999999999999</v>
      </c>
      <c r="CG300" s="323">
        <f>5.05*1.65</f>
        <v>8.3324999999999996</v>
      </c>
      <c r="CH300" s="313">
        <f>5.1*2.45</f>
        <v>12.494999999999999</v>
      </c>
      <c r="CI300" s="313">
        <f>5.1*1.65</f>
        <v>8.4149999999999991</v>
      </c>
      <c r="CJ300" s="323">
        <f>5.1*3.75</f>
        <v>19.125</v>
      </c>
      <c r="CK300" s="323">
        <f>1.79*3.75</f>
        <v>6.7125000000000004</v>
      </c>
      <c r="CL300" s="323">
        <f>1.79*1.65</f>
        <v>2.9535</v>
      </c>
      <c r="CM300" s="323">
        <f>1.79*1.05</f>
        <v>1.8795000000000002</v>
      </c>
      <c r="CN300" s="313">
        <f>2.3*0.65</f>
        <v>1.4949999999999999</v>
      </c>
      <c r="CO300" s="323">
        <f>1.18*0.65</f>
        <v>0.76700000000000002</v>
      </c>
      <c r="CP300" s="323">
        <f>2.3*0.85</f>
        <v>1.9549999999999998</v>
      </c>
      <c r="CQ300" s="323">
        <f>1.18*0.85</f>
        <v>1.0029999999999999</v>
      </c>
      <c r="CR300" s="323">
        <f>1.8*2.45</f>
        <v>4.41</v>
      </c>
      <c r="CS300" s="313">
        <f>2.58*0.6</f>
        <v>1.548</v>
      </c>
      <c r="CT300" s="313">
        <f>4.26*0.6</f>
        <v>2.5559999999999996</v>
      </c>
      <c r="CU300" s="323">
        <f>1.8*1.65</f>
        <v>2.9699999999999998</v>
      </c>
      <c r="CV300" s="323">
        <f>2.5*1.65</f>
        <v>4.125</v>
      </c>
      <c r="CW300" s="323">
        <f>1.5*1.65</f>
        <v>2.4749999999999996</v>
      </c>
      <c r="CX300" s="323">
        <f>6.73*2.45</f>
        <v>16.488500000000002</v>
      </c>
      <c r="CY300" s="323">
        <f>5.4*0.65</f>
        <v>3.5100000000000002</v>
      </c>
      <c r="CZ300" s="323">
        <f>7.5*2.85</f>
        <v>21.375</v>
      </c>
      <c r="DA300" s="323">
        <f>2.2*0.5</f>
        <v>1.1000000000000001</v>
      </c>
      <c r="DB300" s="323">
        <f>6.35*2.5</f>
        <v>15.875</v>
      </c>
      <c r="DC300" s="323">
        <f>12*2.5</f>
        <v>30</v>
      </c>
      <c r="DD300" s="323">
        <f>5.4*2.5</f>
        <v>13.5</v>
      </c>
      <c r="DE300" s="323">
        <f>7.4*2.1</f>
        <v>15.540000000000001</v>
      </c>
      <c r="DF300" s="323"/>
      <c r="DG300" s="323"/>
    </row>
    <row r="301" spans="1:128">
      <c r="BD301" s="325">
        <v>7.4</v>
      </c>
      <c r="BE301" s="325">
        <v>5.4</v>
      </c>
      <c r="BF301" s="325">
        <v>5.4</v>
      </c>
      <c r="BG301" s="325">
        <v>1.9</v>
      </c>
      <c r="BH301" s="325">
        <v>1.9</v>
      </c>
      <c r="BI301" s="325">
        <v>3.7</v>
      </c>
      <c r="BJ301" s="325">
        <v>7</v>
      </c>
      <c r="BK301" s="325">
        <v>2</v>
      </c>
      <c r="BL301" s="325">
        <v>5.65</v>
      </c>
      <c r="BM301" s="325">
        <f>2</f>
        <v>2</v>
      </c>
      <c r="BN301" s="325">
        <f>2</f>
        <v>2</v>
      </c>
      <c r="BO301" s="325">
        <v>2.1</v>
      </c>
      <c r="BP301" s="325">
        <v>2.1</v>
      </c>
      <c r="BQ301" s="325">
        <v>4.55</v>
      </c>
      <c r="BR301" s="325">
        <v>1.1000000000000001</v>
      </c>
      <c r="BS301" s="325">
        <v>1.1000000000000001</v>
      </c>
      <c r="BT301" s="325">
        <v>1.1000000000000001</v>
      </c>
      <c r="BU301" s="325">
        <v>1.1000000000000001</v>
      </c>
      <c r="BV301" s="325">
        <v>5.4</v>
      </c>
      <c r="BW301" s="325">
        <v>4.9000000000000004</v>
      </c>
      <c r="BX301" s="325">
        <v>5.3</v>
      </c>
      <c r="BY301" s="325">
        <v>6.7</v>
      </c>
      <c r="BZ301" s="325">
        <v>23.1</v>
      </c>
      <c r="CA301" s="325">
        <f>1.5*2</f>
        <v>3</v>
      </c>
      <c r="CB301" s="325">
        <v>6.7</v>
      </c>
      <c r="CC301" s="325">
        <v>4.8</v>
      </c>
      <c r="CD301" s="325">
        <v>5.4</v>
      </c>
      <c r="CE301" s="339">
        <f>5.1*2</f>
        <v>10.199999999999999</v>
      </c>
      <c r="CF301" s="339">
        <f>4.26*2</f>
        <v>8.52</v>
      </c>
      <c r="CG301" s="339">
        <f>5.05*2</f>
        <v>10.1</v>
      </c>
      <c r="CH301" s="325">
        <f>5.1*2</f>
        <v>10.199999999999999</v>
      </c>
      <c r="CI301" s="325">
        <f>5.1*2</f>
        <v>10.199999999999999</v>
      </c>
      <c r="CJ301" s="339">
        <f>5.1*2</f>
        <v>10.199999999999999</v>
      </c>
      <c r="CK301" s="339">
        <f>1.79*2</f>
        <v>3.58</v>
      </c>
      <c r="CL301" s="339">
        <f>1.79*2</f>
        <v>3.58</v>
      </c>
      <c r="CM301" s="339">
        <f>1.79*2</f>
        <v>3.58</v>
      </c>
      <c r="CN301" s="325">
        <f>2.3*2</f>
        <v>4.5999999999999996</v>
      </c>
      <c r="CO301" s="339">
        <f>1.18*2</f>
        <v>2.36</v>
      </c>
      <c r="CP301" s="339">
        <f>2.3*2</f>
        <v>4.5999999999999996</v>
      </c>
      <c r="CQ301" s="339">
        <f>1.18*2</f>
        <v>2.36</v>
      </c>
      <c r="CR301" s="339">
        <f>1.8*2</f>
        <v>3.6</v>
      </c>
      <c r="CS301" s="325">
        <f>2.58*2</f>
        <v>5.16</v>
      </c>
      <c r="CT301" s="325">
        <f>4.26*2</f>
        <v>8.52</v>
      </c>
      <c r="CU301" s="339">
        <f>1.8*2</f>
        <v>3.6</v>
      </c>
      <c r="CV301" s="339">
        <f>2.5*2</f>
        <v>5</v>
      </c>
      <c r="CW301" s="339">
        <f>1.5*2</f>
        <v>3</v>
      </c>
      <c r="CX301" s="325">
        <f>6.73*2</f>
        <v>13.46</v>
      </c>
      <c r="CY301" s="325">
        <f>5.4*2</f>
        <v>10.8</v>
      </c>
      <c r="CZ301" s="325">
        <f>7.5*2</f>
        <v>15</v>
      </c>
      <c r="DA301" s="325">
        <f>2.2*2</f>
        <v>4.4000000000000004</v>
      </c>
      <c r="DB301" s="325">
        <f>6.35*2</f>
        <v>12.7</v>
      </c>
      <c r="DC301" s="325">
        <f>12*2</f>
        <v>24</v>
      </c>
      <c r="DD301" s="325">
        <f>5.4*2</f>
        <v>10.8</v>
      </c>
      <c r="DE301" s="325">
        <f>7.4*2</f>
        <v>14.8</v>
      </c>
      <c r="DF301" s="325"/>
      <c r="DG301" s="325"/>
    </row>
    <row r="302" spans="1:128">
      <c r="BD302" s="325">
        <f>2.85*2</f>
        <v>5.7</v>
      </c>
      <c r="BE302" s="325">
        <f>2.85*2</f>
        <v>5.7</v>
      </c>
      <c r="BF302" s="325">
        <f>2+3.4+0.85+2.85</f>
        <v>9.1</v>
      </c>
      <c r="BG302" s="325">
        <f>2.85*2</f>
        <v>5.7</v>
      </c>
      <c r="BH302" s="325">
        <f>2.85*2</f>
        <v>5.7</v>
      </c>
      <c r="BI302" s="325">
        <f>2+1.7+2.85+0.85</f>
        <v>7.4</v>
      </c>
      <c r="BJ302" s="325">
        <f>(2+2.5+0.85)*2</f>
        <v>10.7</v>
      </c>
      <c r="BK302" s="325">
        <f>2.85*2</f>
        <v>5.7</v>
      </c>
      <c r="BL302" s="325">
        <f>2+3.65+0.85+2.85</f>
        <v>9.35</v>
      </c>
      <c r="BM302" s="325">
        <f>2.5*2</f>
        <v>5</v>
      </c>
      <c r="BN302" s="325">
        <f>2.05*2</f>
        <v>4.0999999999999996</v>
      </c>
      <c r="BO302" s="325">
        <f>2.85*2</f>
        <v>5.7</v>
      </c>
      <c r="BP302" s="325">
        <f>2.5*2</f>
        <v>5</v>
      </c>
      <c r="BQ302" s="325">
        <f>2.4+0.85+1.55+2.55</f>
        <v>7.35</v>
      </c>
      <c r="BR302" s="325">
        <f>2.5*2</f>
        <v>5</v>
      </c>
      <c r="BS302" s="325">
        <f>2.5*2</f>
        <v>5</v>
      </c>
      <c r="BT302" s="325">
        <f>2.05*2</f>
        <v>4.0999999999999996</v>
      </c>
      <c r="BU302" s="325">
        <f>2.05*2</f>
        <v>4.0999999999999996</v>
      </c>
      <c r="BV302" s="325">
        <f>2.5*2</f>
        <v>5</v>
      </c>
      <c r="BW302" s="325">
        <f>2.5+1.65+3.8+0.85</f>
        <v>8.8000000000000007</v>
      </c>
      <c r="BX302" s="325">
        <f>2.5+1.65+4.2+0.85</f>
        <v>9.2000000000000011</v>
      </c>
      <c r="BY302" s="325">
        <f>2.5+0.5+4.3+2</f>
        <v>9.3000000000000007</v>
      </c>
      <c r="BZ302" s="325">
        <f>2.5*2</f>
        <v>5</v>
      </c>
      <c r="CA302" s="325">
        <f>1.05*2</f>
        <v>2.1</v>
      </c>
      <c r="CB302" s="325">
        <f>2.5*2</f>
        <v>5</v>
      </c>
      <c r="CC302" s="325">
        <f>0.5+3.7+2+2.5</f>
        <v>8.6999999999999993</v>
      </c>
      <c r="CD302" s="325">
        <f>2.5*2</f>
        <v>5</v>
      </c>
      <c r="CE302" s="339">
        <f>2.4*2</f>
        <v>4.8</v>
      </c>
      <c r="CF302" s="339">
        <f>1.65*2</f>
        <v>3.3</v>
      </c>
      <c r="CG302" s="339">
        <f>1.65*2</f>
        <v>3.3</v>
      </c>
      <c r="CH302" s="339">
        <f>2.45*2</f>
        <v>4.9000000000000004</v>
      </c>
      <c r="CI302" s="339">
        <f>1.65*2</f>
        <v>3.3</v>
      </c>
      <c r="CJ302" s="339">
        <f>3.75*2</f>
        <v>7.5</v>
      </c>
      <c r="CK302" s="339">
        <f>3.75*2</f>
        <v>7.5</v>
      </c>
      <c r="CL302" s="339">
        <f>1.65*2</f>
        <v>3.3</v>
      </c>
      <c r="CM302" s="339">
        <f>1.05*2</f>
        <v>2.1</v>
      </c>
      <c r="CN302" s="325">
        <f>0.65*2</f>
        <v>1.3</v>
      </c>
      <c r="CO302" s="339">
        <f>0.65*2</f>
        <v>1.3</v>
      </c>
      <c r="CP302" s="339">
        <f>0.85*2</f>
        <v>1.7</v>
      </c>
      <c r="CQ302" s="339">
        <f>0.85*2</f>
        <v>1.7</v>
      </c>
      <c r="CR302" s="339">
        <f>2.45*2</f>
        <v>4.9000000000000004</v>
      </c>
      <c r="CS302" s="325">
        <f>0.6*2</f>
        <v>1.2</v>
      </c>
      <c r="CT302" s="325">
        <f>0.6*2</f>
        <v>1.2</v>
      </c>
      <c r="CU302" s="339">
        <f>1.65*2</f>
        <v>3.3</v>
      </c>
      <c r="CV302" s="339">
        <f>1.65*2</f>
        <v>3.3</v>
      </c>
      <c r="CW302" s="339">
        <f>1.65*2</f>
        <v>3.3</v>
      </c>
      <c r="CX302" s="339">
        <f>2.45*2</f>
        <v>4.9000000000000004</v>
      </c>
      <c r="CY302" s="325">
        <f>0.65*2</f>
        <v>1.3</v>
      </c>
      <c r="CZ302" s="325">
        <f>2.85*2</f>
        <v>5.7</v>
      </c>
      <c r="DA302" s="325">
        <f>0.5*2</f>
        <v>1</v>
      </c>
      <c r="DB302" s="325">
        <f>2.5*2</f>
        <v>5</v>
      </c>
      <c r="DC302" s="325">
        <f>2.5*2</f>
        <v>5</v>
      </c>
      <c r="DD302" s="325">
        <f>2.5*2</f>
        <v>5</v>
      </c>
      <c r="DE302" s="325">
        <f>2.1*2</f>
        <v>4.2</v>
      </c>
      <c r="DF302" s="325"/>
      <c r="DG302" s="325"/>
    </row>
    <row r="303" spans="1:128">
      <c r="BD303" s="329" t="s">
        <v>186</v>
      </c>
      <c r="BE303" s="329" t="s">
        <v>186</v>
      </c>
      <c r="BF303" s="329" t="s">
        <v>186</v>
      </c>
      <c r="BG303" s="329" t="s">
        <v>186</v>
      </c>
      <c r="BH303" s="329" t="s">
        <v>186</v>
      </c>
      <c r="BI303" s="329" t="s">
        <v>186</v>
      </c>
      <c r="BJ303" s="329" t="s">
        <v>186</v>
      </c>
      <c r="BK303" s="329" t="s">
        <v>186</v>
      </c>
      <c r="BL303" s="329" t="s">
        <v>186</v>
      </c>
      <c r="BM303" s="329" t="s">
        <v>186</v>
      </c>
      <c r="BN303" s="329" t="s">
        <v>186</v>
      </c>
      <c r="BO303" s="329" t="s">
        <v>186</v>
      </c>
      <c r="BP303" s="329" t="s">
        <v>186</v>
      </c>
      <c r="BQ303" s="329" t="s">
        <v>186</v>
      </c>
      <c r="BR303" s="329" t="s">
        <v>186</v>
      </c>
      <c r="BS303" s="329" t="s">
        <v>186</v>
      </c>
      <c r="BT303" s="329" t="s">
        <v>186</v>
      </c>
      <c r="BU303" s="329" t="s">
        <v>186</v>
      </c>
      <c r="BV303" s="329" t="s">
        <v>186</v>
      </c>
      <c r="BW303" s="329" t="s">
        <v>186</v>
      </c>
      <c r="BX303" s="329" t="s">
        <v>186</v>
      </c>
      <c r="BY303" s="329" t="s">
        <v>186</v>
      </c>
      <c r="BZ303" s="329" t="s">
        <v>186</v>
      </c>
      <c r="CA303" s="329" t="s">
        <v>186</v>
      </c>
      <c r="CB303" s="329" t="s">
        <v>186</v>
      </c>
      <c r="CC303" s="329" t="s">
        <v>186</v>
      </c>
      <c r="CD303" s="329" t="s">
        <v>186</v>
      </c>
      <c r="CE303" s="329" t="s">
        <v>186</v>
      </c>
      <c r="CF303" s="329" t="s">
        <v>186</v>
      </c>
      <c r="CG303" s="329" t="s">
        <v>186</v>
      </c>
      <c r="CH303" s="329" t="s">
        <v>186</v>
      </c>
      <c r="CI303" s="329" t="s">
        <v>186</v>
      </c>
      <c r="CJ303" s="329" t="s">
        <v>186</v>
      </c>
      <c r="CK303" s="329" t="s">
        <v>186</v>
      </c>
      <c r="CL303" s="329" t="s">
        <v>186</v>
      </c>
      <c r="CM303" s="329" t="s">
        <v>186</v>
      </c>
      <c r="CN303" s="329" t="s">
        <v>186</v>
      </c>
      <c r="CO303" s="329" t="s">
        <v>186</v>
      </c>
      <c r="CP303" s="329" t="s">
        <v>186</v>
      </c>
      <c r="CQ303" s="329" t="s">
        <v>186</v>
      </c>
      <c r="CR303" s="329" t="s">
        <v>186</v>
      </c>
      <c r="CS303" s="329" t="s">
        <v>186</v>
      </c>
      <c r="CT303" s="329" t="s">
        <v>186</v>
      </c>
      <c r="CU303" s="329" t="s">
        <v>186</v>
      </c>
      <c r="CV303" s="329" t="s">
        <v>186</v>
      </c>
      <c r="CW303" s="329" t="s">
        <v>186</v>
      </c>
      <c r="CX303" s="329" t="s">
        <v>186</v>
      </c>
      <c r="CY303" s="329" t="s">
        <v>186</v>
      </c>
      <c r="CZ303" s="329" t="s">
        <v>186</v>
      </c>
      <c r="DA303" s="329" t="s">
        <v>186</v>
      </c>
      <c r="DB303" s="329" t="s">
        <v>186</v>
      </c>
      <c r="DC303" s="329" t="s">
        <v>186</v>
      </c>
      <c r="DD303" s="329" t="s">
        <v>186</v>
      </c>
      <c r="DE303" s="329" t="s">
        <v>186</v>
      </c>
      <c r="DF303" s="329"/>
      <c r="DG303" s="329"/>
    </row>
    <row r="304" spans="1:128" s="65" customFormat="1" ht="20.25">
      <c r="A304" s="343"/>
      <c r="B304" s="344"/>
      <c r="C304" s="345"/>
      <c r="D304" s="346"/>
      <c r="E304" s="346"/>
      <c r="F304" s="346"/>
      <c r="G304" s="346"/>
      <c r="H304" s="346"/>
      <c r="I304" s="346"/>
      <c r="J304" s="346"/>
      <c r="K304" s="346"/>
      <c r="L304" s="346"/>
      <c r="M304" s="346"/>
      <c r="N304" s="346"/>
      <c r="O304" s="346"/>
      <c r="P304" s="347"/>
      <c r="Q304" s="347"/>
      <c r="R304" s="347"/>
      <c r="S304" s="347"/>
      <c r="T304" s="348"/>
      <c r="U304" s="349"/>
      <c r="V304" s="349"/>
      <c r="W304" s="349"/>
      <c r="X304" s="345"/>
      <c r="Y304" s="345"/>
      <c r="Z304" s="345"/>
      <c r="AA304" s="345"/>
      <c r="AB304" s="345"/>
      <c r="AC304" s="345"/>
      <c r="AD304" s="345"/>
      <c r="AE304" s="345"/>
      <c r="AF304" s="345"/>
      <c r="AG304" s="345"/>
      <c r="AH304" s="345"/>
      <c r="AI304" s="345"/>
      <c r="AJ304" s="345"/>
      <c r="AK304" s="345"/>
      <c r="AL304" s="345"/>
      <c r="AM304" s="345"/>
      <c r="AN304" s="345"/>
      <c r="AO304" s="345"/>
      <c r="AP304" s="345"/>
      <c r="AQ304" s="345"/>
      <c r="AR304" s="345"/>
      <c r="AS304" s="350"/>
      <c r="AT304" s="351"/>
      <c r="AU304" s="349"/>
      <c r="AV304" s="345"/>
      <c r="AW304" s="345"/>
      <c r="AX304" s="345"/>
      <c r="AY304" s="351"/>
      <c r="AZ304" s="349"/>
      <c r="BA304" s="345"/>
      <c r="BB304" s="350"/>
      <c r="BC304" s="351"/>
      <c r="BD304" s="327" t="s">
        <v>215</v>
      </c>
      <c r="BE304" s="327" t="s">
        <v>214</v>
      </c>
      <c r="BF304" s="327" t="s">
        <v>213</v>
      </c>
      <c r="BG304" s="327" t="s">
        <v>1505</v>
      </c>
      <c r="BH304" s="327" t="s">
        <v>1506</v>
      </c>
      <c r="BI304" s="327" t="s">
        <v>212</v>
      </c>
      <c r="BJ304" s="327" t="s">
        <v>352</v>
      </c>
      <c r="BK304" s="327" t="s">
        <v>353</v>
      </c>
      <c r="BL304" s="327" t="s">
        <v>354</v>
      </c>
      <c r="BM304" s="327" t="s">
        <v>355</v>
      </c>
      <c r="BN304" s="327" t="s">
        <v>1507</v>
      </c>
      <c r="BO304" s="327" t="s">
        <v>356</v>
      </c>
      <c r="BP304" s="327" t="s">
        <v>1328</v>
      </c>
      <c r="BQ304" s="327" t="s">
        <v>357</v>
      </c>
      <c r="BR304" s="327" t="s">
        <v>358</v>
      </c>
      <c r="BS304" s="327" t="s">
        <v>359</v>
      </c>
      <c r="BT304" s="327" t="s">
        <v>360</v>
      </c>
      <c r="BU304" s="327" t="s">
        <v>361</v>
      </c>
      <c r="BV304" s="327" t="s">
        <v>377</v>
      </c>
      <c r="BW304" s="327" t="s">
        <v>378</v>
      </c>
      <c r="BX304" s="327" t="s">
        <v>379</v>
      </c>
      <c r="BY304" s="327" t="s">
        <v>380</v>
      </c>
      <c r="BZ304" s="327" t="s">
        <v>1272</v>
      </c>
      <c r="CA304" s="327" t="s">
        <v>1273</v>
      </c>
      <c r="CB304" s="327" t="s">
        <v>1508</v>
      </c>
      <c r="CC304" s="327" t="s">
        <v>1509</v>
      </c>
      <c r="CD304" s="327" t="s">
        <v>1510</v>
      </c>
      <c r="CE304" s="315" t="s">
        <v>211</v>
      </c>
      <c r="CF304" s="315" t="s">
        <v>210</v>
      </c>
      <c r="CG304" s="315" t="s">
        <v>1511</v>
      </c>
      <c r="CH304" s="315" t="s">
        <v>209</v>
      </c>
      <c r="CI304" s="315" t="s">
        <v>208</v>
      </c>
      <c r="CJ304" s="315" t="s">
        <v>207</v>
      </c>
      <c r="CK304" s="315" t="s">
        <v>206</v>
      </c>
      <c r="CL304" s="315" t="s">
        <v>1280</v>
      </c>
      <c r="CM304" s="315" t="s">
        <v>1512</v>
      </c>
      <c r="CN304" s="315" t="s">
        <v>205</v>
      </c>
      <c r="CO304" s="315" t="s">
        <v>1281</v>
      </c>
      <c r="CP304" s="315" t="s">
        <v>1513</v>
      </c>
      <c r="CQ304" s="315" t="s">
        <v>1514</v>
      </c>
      <c r="CR304" s="315" t="s">
        <v>204</v>
      </c>
      <c r="CS304" s="315" t="s">
        <v>203</v>
      </c>
      <c r="CT304" s="315" t="s">
        <v>1515</v>
      </c>
      <c r="CU304" s="315" t="s">
        <v>202</v>
      </c>
      <c r="CV304" s="315" t="s">
        <v>201</v>
      </c>
      <c r="CW304" s="315" t="s">
        <v>200</v>
      </c>
      <c r="CX304" s="315" t="s">
        <v>199</v>
      </c>
      <c r="CY304" s="315" t="s">
        <v>198</v>
      </c>
      <c r="CZ304" s="315" t="s">
        <v>197</v>
      </c>
      <c r="DA304" s="315" t="s">
        <v>1274</v>
      </c>
      <c r="DB304" s="315" t="s">
        <v>1275</v>
      </c>
      <c r="DC304" s="315" t="s">
        <v>1516</v>
      </c>
      <c r="DD304" s="315" t="s">
        <v>1517</v>
      </c>
      <c r="DE304" s="315" t="s">
        <v>1518</v>
      </c>
      <c r="DF304" s="354"/>
      <c r="DG304" s="354"/>
      <c r="DH304" s="354"/>
      <c r="DI304" s="354"/>
      <c r="DJ304" s="354"/>
      <c r="DK304" s="354"/>
      <c r="DL304" s="354"/>
      <c r="DM304" s="354"/>
      <c r="DN304" s="354"/>
      <c r="DO304" s="348"/>
      <c r="DP304" s="311"/>
      <c r="DQ304" s="311"/>
      <c r="DR304" s="311"/>
      <c r="DS304" s="311"/>
      <c r="DT304" s="311"/>
      <c r="DU304" s="311"/>
      <c r="DV304" s="311"/>
      <c r="DW304" s="311"/>
      <c r="DX304" s="311"/>
    </row>
    <row r="305" spans="1:128">
      <c r="A305" s="355"/>
      <c r="B305" s="356" t="s">
        <v>185</v>
      </c>
      <c r="C305" s="357"/>
      <c r="D305" s="358"/>
      <c r="E305" s="358"/>
      <c r="F305" s="358"/>
      <c r="G305" s="358"/>
      <c r="H305" s="358"/>
      <c r="I305" s="358"/>
      <c r="J305" s="358"/>
      <c r="K305" s="358"/>
      <c r="L305" s="358"/>
      <c r="M305" s="358"/>
      <c r="N305" s="358"/>
      <c r="O305" s="358"/>
      <c r="P305" s="359"/>
      <c r="Q305" s="359"/>
      <c r="R305" s="359"/>
      <c r="S305" s="359"/>
      <c r="T305" s="360"/>
      <c r="U305" s="361"/>
      <c r="V305" s="361"/>
      <c r="W305" s="361"/>
      <c r="X305" s="357"/>
      <c r="Y305" s="357"/>
      <c r="Z305" s="357"/>
      <c r="AA305" s="357"/>
      <c r="AB305" s="357"/>
      <c r="AC305" s="357"/>
      <c r="AD305" s="357"/>
      <c r="AE305" s="357"/>
      <c r="AF305" s="357"/>
      <c r="AG305" s="357"/>
      <c r="AH305" s="357"/>
      <c r="AI305" s="357"/>
      <c r="AJ305" s="357"/>
      <c r="AK305" s="357"/>
      <c r="AL305" s="357"/>
      <c r="AM305" s="357"/>
      <c r="AN305" s="357"/>
      <c r="AO305" s="357"/>
      <c r="AP305" s="357"/>
      <c r="AQ305" s="357"/>
      <c r="AR305" s="357"/>
      <c r="AS305" s="362"/>
      <c r="AT305" s="360"/>
      <c r="AU305" s="363"/>
      <c r="AV305" s="364"/>
      <c r="AW305" s="364"/>
      <c r="AX305" s="364"/>
      <c r="AY305" s="365"/>
      <c r="AZ305" s="363"/>
      <c r="BA305" s="364"/>
      <c r="BB305" s="395"/>
      <c r="BC305" s="365"/>
      <c r="BD305" s="366"/>
      <c r="BE305" s="358"/>
      <c r="BF305" s="358"/>
      <c r="BG305" s="358"/>
      <c r="BH305" s="358"/>
      <c r="BI305" s="358"/>
      <c r="BJ305" s="358"/>
      <c r="BK305" s="358"/>
      <c r="BL305" s="358"/>
      <c r="BM305" s="358"/>
      <c r="BN305" s="358"/>
      <c r="BO305" s="358"/>
      <c r="BP305" s="358"/>
      <c r="BQ305" s="358"/>
      <c r="BR305" s="358"/>
      <c r="BS305" s="358"/>
      <c r="BT305" s="358"/>
      <c r="BU305" s="358"/>
      <c r="BV305" s="358"/>
      <c r="BW305" s="358"/>
      <c r="BX305" s="358"/>
      <c r="BY305" s="358"/>
      <c r="BZ305" s="358"/>
      <c r="CA305" s="358"/>
      <c r="CB305" s="358"/>
      <c r="CC305" s="358"/>
      <c r="CD305" s="358"/>
      <c r="CE305" s="358"/>
      <c r="CF305" s="358"/>
      <c r="CG305" s="358"/>
      <c r="CH305" s="358"/>
      <c r="CI305" s="359"/>
      <c r="CJ305" s="359"/>
      <c r="CK305" s="359"/>
      <c r="CL305" s="359"/>
      <c r="CM305" s="359"/>
      <c r="CN305" s="359"/>
      <c r="CO305" s="359"/>
      <c r="CP305" s="359"/>
      <c r="CQ305" s="359"/>
      <c r="CR305" s="359"/>
      <c r="CS305" s="359"/>
      <c r="CT305" s="359"/>
      <c r="CU305" s="359"/>
      <c r="CV305" s="359"/>
      <c r="CW305" s="359"/>
      <c r="CX305" s="359"/>
      <c r="CY305" s="359"/>
      <c r="CZ305" s="359"/>
      <c r="DA305" s="359"/>
      <c r="DB305" s="359"/>
      <c r="DC305" s="359"/>
      <c r="DD305" s="359"/>
      <c r="DE305" s="359"/>
      <c r="DF305" s="359"/>
      <c r="DG305" s="359"/>
      <c r="DH305" s="359"/>
      <c r="DI305" s="359"/>
      <c r="DJ305" s="359"/>
      <c r="DK305" s="359"/>
      <c r="DL305" s="359"/>
      <c r="DM305" s="359"/>
      <c r="DN305" s="359"/>
      <c r="DO305" s="367"/>
      <c r="DP305" s="338" t="s">
        <v>1285</v>
      </c>
      <c r="DQ305" s="338" t="s">
        <v>1286</v>
      </c>
      <c r="DR305" s="338" t="s">
        <v>1287</v>
      </c>
      <c r="DS305" s="338" t="s">
        <v>1332</v>
      </c>
    </row>
    <row r="306" spans="1:128">
      <c r="A306" s="824"/>
      <c r="B306" s="825"/>
      <c r="C306" s="357"/>
      <c r="D306" s="358"/>
      <c r="E306" s="358"/>
      <c r="F306" s="358"/>
      <c r="G306" s="358"/>
      <c r="H306" s="358"/>
      <c r="I306" s="358"/>
      <c r="J306" s="358"/>
      <c r="K306" s="358"/>
      <c r="L306" s="358"/>
      <c r="M306" s="358"/>
      <c r="N306" s="358"/>
      <c r="O306" s="358"/>
      <c r="P306" s="359"/>
      <c r="Q306" s="359"/>
      <c r="R306" s="359"/>
      <c r="S306" s="359"/>
      <c r="T306" s="360"/>
      <c r="U306" s="659"/>
      <c r="V306" s="659"/>
      <c r="W306" s="659"/>
      <c r="X306" s="357"/>
      <c r="Y306" s="357"/>
      <c r="Z306" s="357"/>
      <c r="AA306" s="357"/>
      <c r="AB306" s="357"/>
      <c r="AC306" s="357"/>
      <c r="AD306" s="357"/>
      <c r="AE306" s="357"/>
      <c r="AF306" s="357"/>
      <c r="AG306" s="357"/>
      <c r="AH306" s="357"/>
      <c r="AI306" s="357"/>
      <c r="AJ306" s="357"/>
      <c r="AK306" s="357"/>
      <c r="AL306" s="357"/>
      <c r="AM306" s="357"/>
      <c r="AN306" s="357"/>
      <c r="AO306" s="357"/>
      <c r="AP306" s="357"/>
      <c r="AQ306" s="357"/>
      <c r="AR306" s="357"/>
      <c r="AS306" s="362"/>
      <c r="AT306" s="360"/>
      <c r="AU306" s="779"/>
      <c r="AV306" s="364"/>
      <c r="AW306" s="364"/>
      <c r="AX306" s="364"/>
      <c r="AY306" s="365"/>
      <c r="AZ306" s="779"/>
      <c r="BA306" s="364"/>
      <c r="BB306" s="395"/>
      <c r="BC306" s="365"/>
      <c r="BD306" s="783"/>
      <c r="BE306" s="358"/>
      <c r="BF306" s="358"/>
      <c r="BG306" s="358"/>
      <c r="BH306" s="358"/>
      <c r="BI306" s="358"/>
      <c r="BJ306" s="358"/>
      <c r="BK306" s="358"/>
      <c r="BL306" s="358"/>
      <c r="BM306" s="358"/>
      <c r="BN306" s="358"/>
      <c r="BO306" s="358"/>
      <c r="BP306" s="358"/>
      <c r="BQ306" s="358"/>
      <c r="BR306" s="358"/>
      <c r="BS306" s="358"/>
      <c r="BT306" s="358"/>
      <c r="BU306" s="358"/>
      <c r="BV306" s="358"/>
      <c r="BW306" s="358"/>
      <c r="BX306" s="358"/>
      <c r="BY306" s="358"/>
      <c r="BZ306" s="358"/>
      <c r="CA306" s="358"/>
      <c r="CB306" s="358"/>
      <c r="CC306" s="358"/>
      <c r="CD306" s="358"/>
      <c r="CE306" s="358"/>
      <c r="CF306" s="358"/>
      <c r="CG306" s="358"/>
      <c r="CH306" s="358"/>
      <c r="CI306" s="359"/>
      <c r="CJ306" s="359"/>
      <c r="CK306" s="359"/>
      <c r="CL306" s="359"/>
      <c r="CM306" s="359"/>
      <c r="CN306" s="359"/>
      <c r="CO306" s="359"/>
      <c r="CP306" s="359"/>
      <c r="CQ306" s="359"/>
      <c r="CR306" s="359"/>
      <c r="CS306" s="359"/>
      <c r="CT306" s="359"/>
      <c r="CU306" s="359"/>
      <c r="CV306" s="359"/>
      <c r="CW306" s="359"/>
      <c r="CX306" s="359"/>
      <c r="CY306" s="359"/>
      <c r="CZ306" s="359"/>
      <c r="DA306" s="359"/>
      <c r="DB306" s="359"/>
      <c r="DC306" s="359"/>
      <c r="DD306" s="359"/>
      <c r="DE306" s="359"/>
      <c r="DF306" s="359"/>
      <c r="DG306" s="359"/>
      <c r="DH306" s="359"/>
      <c r="DI306" s="359"/>
      <c r="DJ306" s="359"/>
      <c r="DK306" s="359"/>
      <c r="DL306" s="359"/>
      <c r="DM306" s="359"/>
      <c r="DN306" s="359"/>
      <c r="DO306" s="367"/>
      <c r="DP306" s="338"/>
      <c r="DQ306" s="338"/>
      <c r="DR306" s="338"/>
      <c r="DS306" s="338"/>
    </row>
    <row r="307" spans="1:128" ht="18">
      <c r="A307" s="355"/>
      <c r="B307" s="823" t="s">
        <v>1333</v>
      </c>
      <c r="C307" s="357"/>
      <c r="D307" s="358"/>
      <c r="E307" s="358"/>
      <c r="F307" s="358"/>
      <c r="G307" s="358"/>
      <c r="H307" s="358">
        <v>47</v>
      </c>
      <c r="I307" s="358"/>
      <c r="J307" s="358"/>
      <c r="K307" s="358"/>
      <c r="L307" s="358"/>
      <c r="M307" s="358"/>
      <c r="N307" s="358"/>
      <c r="O307" s="358"/>
      <c r="P307" s="359"/>
      <c r="Q307" s="359"/>
      <c r="R307" s="359"/>
      <c r="S307" s="359"/>
      <c r="T307" s="360"/>
      <c r="U307" s="361"/>
      <c r="V307" s="361"/>
      <c r="W307" s="361"/>
      <c r="X307" s="357"/>
      <c r="Y307" s="357"/>
      <c r="Z307" s="357"/>
      <c r="AA307" s="357"/>
      <c r="AB307" s="357"/>
      <c r="AC307" s="357"/>
      <c r="AD307" s="357"/>
      <c r="AE307" s="357"/>
      <c r="AF307" s="357"/>
      <c r="AG307" s="357"/>
      <c r="AH307" s="357"/>
      <c r="AI307" s="357"/>
      <c r="AJ307" s="357"/>
      <c r="AK307" s="357"/>
      <c r="AL307" s="357"/>
      <c r="AM307" s="357"/>
      <c r="AN307" s="357"/>
      <c r="AO307" s="357"/>
      <c r="AP307" s="357"/>
      <c r="AQ307" s="357"/>
      <c r="AR307" s="357"/>
      <c r="AS307" s="362"/>
      <c r="AT307" s="360"/>
      <c r="AU307" s="363"/>
      <c r="AV307" s="364"/>
      <c r="AW307" s="364"/>
      <c r="AX307" s="364"/>
      <c r="AY307" s="365"/>
      <c r="AZ307" s="363">
        <f>AD307+AE307</f>
        <v>0</v>
      </c>
      <c r="BA307" s="364">
        <f>AC307</f>
        <v>0</v>
      </c>
      <c r="BB307" s="395"/>
      <c r="BC307" s="365">
        <f t="shared" ref="BC307:BC338" si="78">SUM(AU307:AW307)</f>
        <v>0</v>
      </c>
      <c r="BD307" s="366"/>
      <c r="BE307" s="358"/>
      <c r="BF307" s="358"/>
      <c r="BG307" s="358"/>
      <c r="BH307" s="358"/>
      <c r="BI307" s="358"/>
      <c r="BJ307" s="358"/>
      <c r="BK307" s="358"/>
      <c r="BL307" s="358"/>
      <c r="BM307" s="358"/>
      <c r="BN307" s="358"/>
      <c r="BO307" s="358"/>
      <c r="BP307" s="358"/>
      <c r="BQ307" s="358"/>
      <c r="BR307" s="358"/>
      <c r="BS307" s="358"/>
      <c r="BT307" s="358"/>
      <c r="BU307" s="358"/>
      <c r="BV307" s="358"/>
      <c r="BW307" s="358"/>
      <c r="BX307" s="358"/>
      <c r="BY307" s="358"/>
      <c r="BZ307" s="358"/>
      <c r="CA307" s="358"/>
      <c r="CB307" s="358"/>
      <c r="CC307" s="358"/>
      <c r="CD307" s="358"/>
      <c r="CE307" s="358"/>
      <c r="CF307" s="358"/>
      <c r="CG307" s="358"/>
      <c r="CH307" s="358"/>
      <c r="CI307" s="359"/>
      <c r="CJ307" s="359"/>
      <c r="CK307" s="359"/>
      <c r="CL307" s="359"/>
      <c r="CM307" s="359"/>
      <c r="CN307" s="359"/>
      <c r="CO307" s="359"/>
      <c r="CP307" s="359"/>
      <c r="CQ307" s="359"/>
      <c r="CR307" s="359"/>
      <c r="CS307" s="359"/>
      <c r="CT307" s="359"/>
      <c r="CU307" s="359"/>
      <c r="CV307" s="359"/>
      <c r="CW307" s="359"/>
      <c r="CX307" s="359"/>
      <c r="CY307" s="359"/>
      <c r="CZ307" s="359"/>
      <c r="DA307" s="359"/>
      <c r="DB307" s="359"/>
      <c r="DC307" s="359"/>
      <c r="DD307" s="359"/>
      <c r="DE307" s="359"/>
      <c r="DF307" s="359"/>
      <c r="DG307" s="359"/>
      <c r="DH307" s="359"/>
      <c r="DI307" s="359"/>
      <c r="DJ307" s="359"/>
      <c r="DK307" s="359"/>
      <c r="DL307" s="359"/>
      <c r="DM307" s="359"/>
      <c r="DN307" s="359"/>
      <c r="DO307" s="367"/>
      <c r="DP307" s="310">
        <f>BD370</f>
        <v>1</v>
      </c>
      <c r="DQ307" s="310">
        <f>BD412</f>
        <v>0</v>
      </c>
      <c r="DR307" s="310">
        <f>BD460</f>
        <v>0</v>
      </c>
      <c r="DS307" s="310">
        <f>BD484</f>
        <v>0</v>
      </c>
      <c r="DU307" s="310">
        <f>SUM(DP307:DT307)</f>
        <v>1</v>
      </c>
      <c r="DV307" s="309" t="s">
        <v>2045</v>
      </c>
      <c r="DX307" s="708">
        <f>ROUNDUP(BD300*4500,0)</f>
        <v>94905</v>
      </c>
    </row>
    <row r="308" spans="1:128" ht="18">
      <c r="A308" s="355"/>
      <c r="B308" s="823" t="s">
        <v>1539</v>
      </c>
      <c r="C308" s="357">
        <f>ROUNDUP((2.45*11.6)+20,0)</f>
        <v>49</v>
      </c>
      <c r="D308" s="358"/>
      <c r="E308" s="358"/>
      <c r="F308" s="358">
        <v>59</v>
      </c>
      <c r="G308" s="358"/>
      <c r="H308" s="358"/>
      <c r="I308" s="358"/>
      <c r="J308" s="369"/>
      <c r="K308" s="358"/>
      <c r="L308" s="358"/>
      <c r="M308" s="358"/>
      <c r="N308" s="358"/>
      <c r="O308" s="358"/>
      <c r="P308" s="359"/>
      <c r="Q308" s="359"/>
      <c r="R308" s="359"/>
      <c r="S308" s="359"/>
      <c r="T308" s="360"/>
      <c r="U308" s="361">
        <f>ROUNDUP(19*5.8,0)</f>
        <v>111</v>
      </c>
      <c r="V308" s="361"/>
      <c r="W308" s="361"/>
      <c r="X308" s="357"/>
      <c r="Y308" s="357"/>
      <c r="Z308" s="357"/>
      <c r="AA308" s="357"/>
      <c r="AB308" s="357"/>
      <c r="AC308" s="357"/>
      <c r="AD308" s="357"/>
      <c r="AE308" s="357"/>
      <c r="AF308" s="357"/>
      <c r="AG308" s="357"/>
      <c r="AH308" s="357"/>
      <c r="AI308" s="357"/>
      <c r="AJ308" s="357"/>
      <c r="AK308" s="357"/>
      <c r="AL308" s="357"/>
      <c r="AM308" s="357"/>
      <c r="AN308" s="357"/>
      <c r="AO308" s="357"/>
      <c r="AP308" s="357"/>
      <c r="AQ308" s="357">
        <f>ROUNDUP(2*5.8,0)</f>
        <v>12</v>
      </c>
      <c r="AR308" s="357"/>
      <c r="AS308" s="362"/>
      <c r="AT308" s="360"/>
      <c r="AU308" s="363"/>
      <c r="AV308" s="364"/>
      <c r="AW308" s="370">
        <f>C308+F308</f>
        <v>108</v>
      </c>
      <c r="AX308" s="364"/>
      <c r="AY308" s="365"/>
      <c r="AZ308" s="363">
        <f t="shared" ref="AZ308:AZ367" si="79">AD308+AE308</f>
        <v>0</v>
      </c>
      <c r="BA308" s="364">
        <f t="shared" ref="BA308:BA368" si="80">AC308</f>
        <v>0</v>
      </c>
      <c r="BB308" s="395"/>
      <c r="BC308" s="365">
        <f t="shared" si="78"/>
        <v>108</v>
      </c>
      <c r="BD308" s="371">
        <v>1</v>
      </c>
      <c r="BE308" s="358">
        <v>1</v>
      </c>
      <c r="BF308" s="358"/>
      <c r="BG308" s="358"/>
      <c r="BH308" s="358"/>
      <c r="BI308" s="358"/>
      <c r="BJ308" s="358"/>
      <c r="BK308" s="358">
        <v>1</v>
      </c>
      <c r="BL308" s="381"/>
      <c r="BM308" s="358"/>
      <c r="BN308" s="358"/>
      <c r="BO308" s="358"/>
      <c r="BP308" s="358"/>
      <c r="BQ308" s="358"/>
      <c r="BR308" s="358"/>
      <c r="BS308" s="358"/>
      <c r="BT308" s="358"/>
      <c r="BU308" s="358"/>
      <c r="BV308" s="358"/>
      <c r="BW308" s="358"/>
      <c r="BX308" s="358"/>
      <c r="BY308" s="358"/>
      <c r="BZ308" s="358"/>
      <c r="CA308" s="358"/>
      <c r="CB308" s="358"/>
      <c r="CC308" s="358"/>
      <c r="CD308" s="358"/>
      <c r="CE308" s="358"/>
      <c r="CF308" s="358"/>
      <c r="CG308" s="358"/>
      <c r="CH308" s="358"/>
      <c r="CI308" s="359"/>
      <c r="CJ308" s="359"/>
      <c r="CK308" s="359"/>
      <c r="CL308" s="359"/>
      <c r="CM308" s="359"/>
      <c r="CN308" s="359"/>
      <c r="CO308" s="359"/>
      <c r="CP308" s="359"/>
      <c r="CQ308" s="359"/>
      <c r="CR308" s="359"/>
      <c r="CS308" s="359"/>
      <c r="CT308" s="359"/>
      <c r="CU308" s="359"/>
      <c r="CV308" s="359"/>
      <c r="CW308" s="359"/>
      <c r="CX308" s="359"/>
      <c r="CY308" s="359"/>
      <c r="CZ308" s="359"/>
      <c r="DA308" s="359"/>
      <c r="DB308" s="359"/>
      <c r="DC308" s="359"/>
      <c r="DD308" s="359"/>
      <c r="DE308" s="359"/>
      <c r="DF308" s="359"/>
      <c r="DG308" s="359"/>
      <c r="DH308" s="359"/>
      <c r="DI308" s="359"/>
      <c r="DJ308" s="359"/>
      <c r="DK308" s="359"/>
      <c r="DL308" s="359"/>
      <c r="DM308" s="359"/>
      <c r="DN308" s="359"/>
      <c r="DO308" s="367"/>
      <c r="DP308" s="310">
        <f>BE370</f>
        <v>1</v>
      </c>
      <c r="DQ308" s="310">
        <f>BE412</f>
        <v>0</v>
      </c>
      <c r="DR308" s="310">
        <f>BE460</f>
        <v>0</v>
      </c>
      <c r="DS308" s="310">
        <f>BE484</f>
        <v>0</v>
      </c>
      <c r="DU308" s="310">
        <f t="shared" ref="DU308:DU377" si="81">SUM(DP308:DT308)</f>
        <v>1</v>
      </c>
      <c r="DV308" s="309" t="s">
        <v>2046</v>
      </c>
      <c r="DX308" s="708">
        <f>ROUNDUP(BE300*4500,0)</f>
        <v>69255</v>
      </c>
    </row>
    <row r="309" spans="1:128" s="63" customFormat="1" ht="18">
      <c r="A309" s="373"/>
      <c r="B309" s="819" t="s">
        <v>1540</v>
      </c>
      <c r="C309" s="459">
        <v>750</v>
      </c>
      <c r="D309" s="460"/>
      <c r="E309" s="461"/>
      <c r="F309" s="461"/>
      <c r="G309" s="357"/>
      <c r="H309" s="375"/>
      <c r="I309" s="357"/>
      <c r="J309" s="357"/>
      <c r="K309" s="375"/>
      <c r="L309" s="357"/>
      <c r="M309" s="357"/>
      <c r="N309" s="357"/>
      <c r="O309" s="357"/>
      <c r="P309" s="362"/>
      <c r="Q309" s="362"/>
      <c r="R309" s="362"/>
      <c r="S309" s="362"/>
      <c r="T309" s="360"/>
      <c r="U309" s="361">
        <f>ROUNDUP((((5.6*2)+3.4+7.6+13+2.73)*5.4)-(BD300+(BE300*2)+BK300+CZ300),0)</f>
        <v>126</v>
      </c>
      <c r="V309" s="361"/>
      <c r="W309" s="361"/>
      <c r="X309" s="357"/>
      <c r="Y309" s="357"/>
      <c r="Z309" s="357"/>
      <c r="AA309" s="357"/>
      <c r="AB309" s="357"/>
      <c r="AC309" s="357"/>
      <c r="AD309" s="357">
        <f>ROUND((252*4.7)-(BD300+(BE300*2)+BG300+(BK300*3)+(BL300*4)+BO300+(BR300*4)+BS300+BT300+(CY300*10)+CZ300),0)</f>
        <v>980</v>
      </c>
      <c r="AE309" s="357">
        <f>ROUND((2.4*4.7)*20,0)</f>
        <v>226</v>
      </c>
      <c r="AF309" s="357"/>
      <c r="AG309" s="357"/>
      <c r="AH309" s="357"/>
      <c r="AI309" s="357"/>
      <c r="AJ309" s="357"/>
      <c r="AK309" s="357"/>
      <c r="AL309" s="357"/>
      <c r="AM309" s="357"/>
      <c r="AN309" s="357"/>
      <c r="AO309" s="357"/>
      <c r="AP309" s="357"/>
      <c r="AQ309" s="357">
        <f>ROUNDUP((9*5.4)+BD302+(BE302*2)+BK302+CZ302,0)</f>
        <v>78</v>
      </c>
      <c r="AR309" s="357"/>
      <c r="AS309" s="362"/>
      <c r="AT309" s="360">
        <f>ROUNDUP(BD301+(BE301*2)+BK301+CZ301,0)</f>
        <v>36</v>
      </c>
      <c r="AU309" s="361"/>
      <c r="AV309" s="357"/>
      <c r="AW309" s="375">
        <f>C309</f>
        <v>750</v>
      </c>
      <c r="AX309" s="357"/>
      <c r="AY309" s="360"/>
      <c r="AZ309" s="363">
        <f>AD309+AE309</f>
        <v>1206</v>
      </c>
      <c r="BA309" s="364">
        <f t="shared" si="80"/>
        <v>0</v>
      </c>
      <c r="BB309" s="395"/>
      <c r="BC309" s="365">
        <f t="shared" si="78"/>
        <v>750</v>
      </c>
      <c r="BD309" s="361"/>
      <c r="BE309" s="357"/>
      <c r="BF309" s="357"/>
      <c r="BG309" s="357"/>
      <c r="BH309" s="357"/>
      <c r="BI309" s="357"/>
      <c r="BJ309" s="357"/>
      <c r="BK309" s="357"/>
      <c r="BL309" s="357"/>
      <c r="BM309" s="357"/>
      <c r="BN309" s="357"/>
      <c r="BO309" s="357"/>
      <c r="BP309" s="357"/>
      <c r="BQ309" s="357"/>
      <c r="BR309" s="357"/>
      <c r="BS309" s="357"/>
      <c r="BT309" s="357"/>
      <c r="BU309" s="357"/>
      <c r="BV309" s="357"/>
      <c r="BW309" s="357"/>
      <c r="BX309" s="357"/>
      <c r="BY309" s="357"/>
      <c r="BZ309" s="357"/>
      <c r="CA309" s="357"/>
      <c r="CB309" s="357"/>
      <c r="CC309" s="357"/>
      <c r="CD309" s="357"/>
      <c r="CE309" s="357"/>
      <c r="CF309" s="357"/>
      <c r="CG309" s="357"/>
      <c r="CH309" s="357"/>
      <c r="CI309" s="362"/>
      <c r="CJ309" s="362"/>
      <c r="CK309" s="362"/>
      <c r="CL309" s="362"/>
      <c r="CM309" s="362"/>
      <c r="CN309" s="362"/>
      <c r="CO309" s="362"/>
      <c r="CP309" s="362"/>
      <c r="CQ309" s="362"/>
      <c r="CR309" s="362"/>
      <c r="CS309" s="362"/>
      <c r="CT309" s="362"/>
      <c r="CU309" s="362"/>
      <c r="CV309" s="362"/>
      <c r="CW309" s="362"/>
      <c r="CX309" s="362"/>
      <c r="CY309" s="362"/>
      <c r="CZ309" s="362">
        <v>1</v>
      </c>
      <c r="DA309" s="362"/>
      <c r="DB309" s="362"/>
      <c r="DC309" s="362"/>
      <c r="DD309" s="362"/>
      <c r="DE309" s="362"/>
      <c r="DF309" s="362"/>
      <c r="DG309" s="362"/>
      <c r="DH309" s="362"/>
      <c r="DI309" s="362"/>
      <c r="DJ309" s="362"/>
      <c r="DK309" s="362"/>
      <c r="DL309" s="362"/>
      <c r="DM309" s="362"/>
      <c r="DN309" s="362"/>
      <c r="DO309" s="360"/>
      <c r="DP309" s="310">
        <f>BF370</f>
        <v>21</v>
      </c>
      <c r="DQ309" s="310">
        <f>BF412</f>
        <v>0</v>
      </c>
      <c r="DR309" s="310">
        <f>BF460</f>
        <v>0</v>
      </c>
      <c r="DS309" s="310">
        <f>BF484</f>
        <v>0</v>
      </c>
      <c r="DT309" s="310"/>
      <c r="DU309" s="310">
        <f t="shared" si="81"/>
        <v>21</v>
      </c>
      <c r="DV309" s="309" t="s">
        <v>2047</v>
      </c>
      <c r="DW309" s="310"/>
      <c r="DX309" s="708">
        <f>ROUNDUP(BF300*4500,0)</f>
        <v>56205</v>
      </c>
    </row>
    <row r="310" spans="1:128" s="63" customFormat="1" ht="18">
      <c r="A310" s="376"/>
      <c r="B310" s="819" t="s">
        <v>1541</v>
      </c>
      <c r="C310" s="459"/>
      <c r="D310" s="460">
        <v>123</v>
      </c>
      <c r="E310" s="461"/>
      <c r="F310" s="461"/>
      <c r="G310" s="357"/>
      <c r="H310" s="375"/>
      <c r="I310" s="357"/>
      <c r="J310" s="357"/>
      <c r="K310" s="375"/>
      <c r="L310" s="357"/>
      <c r="M310" s="357"/>
      <c r="N310" s="357"/>
      <c r="O310" s="357"/>
      <c r="P310" s="362"/>
      <c r="Q310" s="362"/>
      <c r="R310" s="362"/>
      <c r="S310" s="362"/>
      <c r="T310" s="360"/>
      <c r="U310" s="361">
        <f>ROUND((51.9*4.7)-((BK300*2)+(CJ300*2)),0)</f>
        <v>194</v>
      </c>
      <c r="V310" s="361"/>
      <c r="W310" s="361"/>
      <c r="X310" s="357"/>
      <c r="Y310" s="357"/>
      <c r="Z310" s="357"/>
      <c r="AA310" s="357"/>
      <c r="AB310" s="357"/>
      <c r="AC310" s="357"/>
      <c r="AD310" s="357">
        <f>ROUND((52*4.7)-((BK300*2)+(CJ300*2)),0)</f>
        <v>195</v>
      </c>
      <c r="AE310" s="357"/>
      <c r="AF310" s="357"/>
      <c r="AG310" s="357"/>
      <c r="AH310" s="357"/>
      <c r="AI310" s="357"/>
      <c r="AJ310" s="357"/>
      <c r="AK310" s="357"/>
      <c r="AL310" s="357"/>
      <c r="AM310" s="357"/>
      <c r="AN310" s="357"/>
      <c r="AO310" s="357"/>
      <c r="AP310" s="357"/>
      <c r="AQ310" s="357">
        <f>ROUND((BK302*2)+(CJ302*2),0)</f>
        <v>26</v>
      </c>
      <c r="AR310" s="357"/>
      <c r="AS310" s="362"/>
      <c r="AT310" s="360">
        <f>ROUND((BK301*2)+(CJ301*2),0)</f>
        <v>24</v>
      </c>
      <c r="AU310" s="361">
        <f>D310</f>
        <v>123</v>
      </c>
      <c r="AV310" s="357"/>
      <c r="AW310" s="375"/>
      <c r="AX310" s="357"/>
      <c r="AY310" s="360"/>
      <c r="AZ310" s="363">
        <f t="shared" si="79"/>
        <v>195</v>
      </c>
      <c r="BA310" s="364">
        <f t="shared" si="80"/>
        <v>0</v>
      </c>
      <c r="BB310" s="395"/>
      <c r="BC310" s="365">
        <f t="shared" si="78"/>
        <v>123</v>
      </c>
      <c r="BD310" s="361"/>
      <c r="BE310" s="357"/>
      <c r="BF310" s="357"/>
      <c r="BG310" s="357"/>
      <c r="BH310" s="357"/>
      <c r="BI310" s="357"/>
      <c r="BJ310" s="357"/>
      <c r="BK310" s="357">
        <v>2</v>
      </c>
      <c r="BL310" s="357"/>
      <c r="BM310" s="357"/>
      <c r="BN310" s="357"/>
      <c r="BO310" s="375"/>
      <c r="BP310" s="357"/>
      <c r="BQ310" s="357"/>
      <c r="BR310" s="357"/>
      <c r="BS310" s="357"/>
      <c r="BT310" s="357"/>
      <c r="BU310" s="357"/>
      <c r="BV310" s="357"/>
      <c r="BW310" s="357"/>
      <c r="BX310" s="357"/>
      <c r="BY310" s="357"/>
      <c r="BZ310" s="357"/>
      <c r="CA310" s="357"/>
      <c r="CB310" s="357"/>
      <c r="CC310" s="357"/>
      <c r="CD310" s="357"/>
      <c r="CE310" s="357"/>
      <c r="CF310" s="357"/>
      <c r="CG310" s="357"/>
      <c r="CH310" s="357"/>
      <c r="CI310" s="362"/>
      <c r="CJ310" s="362">
        <v>2</v>
      </c>
      <c r="CK310" s="362"/>
      <c r="CL310" s="362"/>
      <c r="CM310" s="362"/>
      <c r="CN310" s="362"/>
      <c r="CO310" s="362"/>
      <c r="CP310" s="362"/>
      <c r="CQ310" s="362"/>
      <c r="CR310" s="362"/>
      <c r="CS310" s="362"/>
      <c r="CT310" s="362"/>
      <c r="CU310" s="362"/>
      <c r="CV310" s="362"/>
      <c r="CW310" s="362"/>
      <c r="CX310" s="362"/>
      <c r="CY310" s="362"/>
      <c r="CZ310" s="362"/>
      <c r="DA310" s="362"/>
      <c r="DB310" s="362"/>
      <c r="DC310" s="362"/>
      <c r="DD310" s="362"/>
      <c r="DE310" s="362"/>
      <c r="DF310" s="362"/>
      <c r="DG310" s="362"/>
      <c r="DH310" s="362"/>
      <c r="DI310" s="362"/>
      <c r="DJ310" s="362"/>
      <c r="DK310" s="362"/>
      <c r="DL310" s="362"/>
      <c r="DM310" s="362"/>
      <c r="DN310" s="362"/>
      <c r="DO310" s="360"/>
      <c r="DP310" s="310">
        <f>BG370</f>
        <v>3</v>
      </c>
      <c r="DQ310" s="310">
        <f>BG412</f>
        <v>0</v>
      </c>
      <c r="DR310" s="310">
        <f>BG460</f>
        <v>0</v>
      </c>
      <c r="DS310" s="310">
        <f>BG484</f>
        <v>0</v>
      </c>
      <c r="DT310" s="310"/>
      <c r="DU310" s="310">
        <f t="shared" si="81"/>
        <v>3</v>
      </c>
      <c r="DV310" s="309" t="s">
        <v>2048</v>
      </c>
      <c r="DW310" s="310"/>
      <c r="DX310" s="708">
        <f>ROUNDUP(BG300*4500,0)</f>
        <v>24368</v>
      </c>
    </row>
    <row r="311" spans="1:128" s="63" customFormat="1" ht="18">
      <c r="A311" s="373"/>
      <c r="B311" s="819" t="s">
        <v>1559</v>
      </c>
      <c r="C311" s="462"/>
      <c r="D311" s="460"/>
      <c r="E311" s="462">
        <v>40</v>
      </c>
      <c r="F311" s="461"/>
      <c r="G311" s="357"/>
      <c r="H311" s="357"/>
      <c r="I311" s="357"/>
      <c r="J311" s="357"/>
      <c r="K311" s="357"/>
      <c r="L311" s="357"/>
      <c r="M311" s="357"/>
      <c r="N311" s="357"/>
      <c r="O311" s="357"/>
      <c r="P311" s="362"/>
      <c r="Q311" s="362"/>
      <c r="R311" s="362"/>
      <c r="S311" s="362"/>
      <c r="T311" s="360">
        <f>SUM(C311:O311)</f>
        <v>40</v>
      </c>
      <c r="U311" s="361">
        <f>ROUND((34.77*4.7)-(BR300+CN300),0)</f>
        <v>159</v>
      </c>
      <c r="V311" s="361"/>
      <c r="W311" s="361"/>
      <c r="X311" s="357"/>
      <c r="Y311" s="357"/>
      <c r="Z311" s="357"/>
      <c r="AA311" s="357"/>
      <c r="AB311" s="357"/>
      <c r="AC311" s="357"/>
      <c r="AD311" s="357">
        <f>ROUND((34*4.7)-(BR300+CN300),0)</f>
        <v>156</v>
      </c>
      <c r="AE311" s="357"/>
      <c r="AF311" s="357"/>
      <c r="AG311" s="357">
        <f>AD311</f>
        <v>156</v>
      </c>
      <c r="AH311" s="357"/>
      <c r="AI311" s="357"/>
      <c r="AJ311" s="357"/>
      <c r="AK311" s="357"/>
      <c r="AL311" s="357"/>
      <c r="AM311" s="357"/>
      <c r="AN311" s="357"/>
      <c r="AO311" s="357"/>
      <c r="AP311" s="357"/>
      <c r="AQ311" s="357">
        <f>ROUND((16*4.7)+BR302+CN302,0)</f>
        <v>82</v>
      </c>
      <c r="AR311" s="357"/>
      <c r="AS311" s="362"/>
      <c r="AT311" s="360">
        <f>ROUND(BR301+CN301,0)</f>
        <v>6</v>
      </c>
      <c r="AU311" s="374"/>
      <c r="AV311" s="357">
        <f>E311</f>
        <v>40</v>
      </c>
      <c r="AW311" s="357"/>
      <c r="AX311" s="357"/>
      <c r="AY311" s="360"/>
      <c r="AZ311" s="363"/>
      <c r="BA311" s="364"/>
      <c r="BB311" s="395"/>
      <c r="BC311" s="365">
        <f t="shared" si="78"/>
        <v>40</v>
      </c>
      <c r="BD311" s="361"/>
      <c r="BE311" s="357"/>
      <c r="BF311" s="357"/>
      <c r="BG311" s="357"/>
      <c r="BH311" s="357"/>
      <c r="BI311" s="375"/>
      <c r="BJ311" s="375"/>
      <c r="BK311" s="375"/>
      <c r="BL311" s="357"/>
      <c r="BM311" s="357"/>
      <c r="BN311" s="357"/>
      <c r="BO311" s="357"/>
      <c r="BP311" s="357"/>
      <c r="BQ311" s="357"/>
      <c r="BR311" s="357">
        <v>1</v>
      </c>
      <c r="BS311" s="357"/>
      <c r="BT311" s="375"/>
      <c r="BU311" s="375"/>
      <c r="BV311" s="357"/>
      <c r="BW311" s="357"/>
      <c r="BX311" s="357"/>
      <c r="BY311" s="357"/>
      <c r="BZ311" s="357"/>
      <c r="CA311" s="357"/>
      <c r="CB311" s="357"/>
      <c r="CC311" s="357"/>
      <c r="CD311" s="357"/>
      <c r="CE311" s="357"/>
      <c r="CF311" s="357"/>
      <c r="CG311" s="357"/>
      <c r="CH311" s="357"/>
      <c r="CI311" s="362"/>
      <c r="CJ311" s="362"/>
      <c r="CK311" s="362"/>
      <c r="CL311" s="362"/>
      <c r="CM311" s="362"/>
      <c r="CN311" s="362">
        <v>1</v>
      </c>
      <c r="CO311" s="362"/>
      <c r="CP311" s="362"/>
      <c r="CQ311" s="362"/>
      <c r="CR311" s="362"/>
      <c r="CS311" s="362"/>
      <c r="CT311" s="362"/>
      <c r="CU311" s="362"/>
      <c r="CV311" s="362"/>
      <c r="CW311" s="362"/>
      <c r="CX311" s="362"/>
      <c r="CY311" s="362"/>
      <c r="CZ311" s="362"/>
      <c r="DA311" s="362"/>
      <c r="DB311" s="362"/>
      <c r="DC311" s="362"/>
      <c r="DD311" s="362"/>
      <c r="DE311" s="362"/>
      <c r="DF311" s="362"/>
      <c r="DG311" s="362"/>
      <c r="DH311" s="362"/>
      <c r="DI311" s="362"/>
      <c r="DJ311" s="362"/>
      <c r="DK311" s="362"/>
      <c r="DL311" s="362"/>
      <c r="DM311" s="362"/>
      <c r="DN311" s="362"/>
      <c r="DO311" s="360"/>
      <c r="DP311" s="310">
        <f>BH370</f>
        <v>0</v>
      </c>
      <c r="DQ311" s="310">
        <f>BH412</f>
        <v>2</v>
      </c>
      <c r="DR311" s="310">
        <f>BH460</f>
        <v>2</v>
      </c>
      <c r="DS311" s="310">
        <f>BH484</f>
        <v>0</v>
      </c>
      <c r="DT311" s="310"/>
      <c r="DU311" s="310">
        <f t="shared" si="81"/>
        <v>4</v>
      </c>
      <c r="DV311" s="309" t="s">
        <v>2049</v>
      </c>
      <c r="DW311" s="310"/>
      <c r="DX311" s="708">
        <f>ROUNDUP(BH300*4500,0)</f>
        <v>24368</v>
      </c>
    </row>
    <row r="312" spans="1:128" s="63" customFormat="1" ht="18">
      <c r="A312" s="373"/>
      <c r="B312" s="819" t="s">
        <v>1558</v>
      </c>
      <c r="C312" s="462"/>
      <c r="D312" s="460"/>
      <c r="E312" s="462">
        <v>18</v>
      </c>
      <c r="F312" s="461"/>
      <c r="G312" s="357"/>
      <c r="H312" s="357"/>
      <c r="I312" s="357"/>
      <c r="J312" s="357"/>
      <c r="K312" s="357"/>
      <c r="L312" s="357"/>
      <c r="M312" s="357"/>
      <c r="N312" s="357"/>
      <c r="O312" s="357"/>
      <c r="P312" s="362"/>
      <c r="Q312" s="362"/>
      <c r="R312" s="362"/>
      <c r="S312" s="362"/>
      <c r="T312" s="360">
        <f>SUM(C312:O312)</f>
        <v>18</v>
      </c>
      <c r="U312" s="361">
        <f>ROUND((17.2*4.7)-(BR300+CN300),0)</f>
        <v>77</v>
      </c>
      <c r="V312" s="361"/>
      <c r="W312" s="361"/>
      <c r="X312" s="357"/>
      <c r="Y312" s="357"/>
      <c r="Z312" s="357"/>
      <c r="AA312" s="357"/>
      <c r="AB312" s="357"/>
      <c r="AC312" s="357"/>
      <c r="AD312" s="357">
        <f>ROUND((18*4.7)-(BR300+CN300),0)</f>
        <v>80</v>
      </c>
      <c r="AE312" s="357"/>
      <c r="AF312" s="357"/>
      <c r="AG312" s="357">
        <f>AD312</f>
        <v>80</v>
      </c>
      <c r="AH312" s="357"/>
      <c r="AI312" s="357"/>
      <c r="AJ312" s="357"/>
      <c r="AK312" s="357"/>
      <c r="AL312" s="357"/>
      <c r="AM312" s="357"/>
      <c r="AN312" s="357"/>
      <c r="AO312" s="357"/>
      <c r="AP312" s="357"/>
      <c r="AQ312" s="357">
        <f>ROUND((3*4.7)+BR302+CN302,0)</f>
        <v>20</v>
      </c>
      <c r="AR312" s="357"/>
      <c r="AS312" s="362"/>
      <c r="AT312" s="360">
        <f>ROUND(BR301+CN301,0)</f>
        <v>6</v>
      </c>
      <c r="AU312" s="374"/>
      <c r="AV312" s="357">
        <f>E312</f>
        <v>18</v>
      </c>
      <c r="AW312" s="357"/>
      <c r="AX312" s="357"/>
      <c r="AY312" s="360"/>
      <c r="AZ312" s="363"/>
      <c r="BA312" s="364"/>
      <c r="BB312" s="395"/>
      <c r="BC312" s="365">
        <f t="shared" si="78"/>
        <v>18</v>
      </c>
      <c r="BD312" s="361"/>
      <c r="BE312" s="375"/>
      <c r="BF312" s="375"/>
      <c r="BG312" s="375"/>
      <c r="BH312" s="357"/>
      <c r="BI312" s="357"/>
      <c r="BJ312" s="357"/>
      <c r="BK312" s="357"/>
      <c r="BL312" s="357"/>
      <c r="BM312" s="357"/>
      <c r="BN312" s="357"/>
      <c r="BO312" s="357"/>
      <c r="BP312" s="357"/>
      <c r="BQ312" s="357"/>
      <c r="BR312" s="357">
        <v>1</v>
      </c>
      <c r="BS312" s="357"/>
      <c r="BT312" s="357"/>
      <c r="BU312" s="357"/>
      <c r="BV312" s="357"/>
      <c r="BW312" s="357"/>
      <c r="BX312" s="357"/>
      <c r="BY312" s="357"/>
      <c r="BZ312" s="357"/>
      <c r="CA312" s="357"/>
      <c r="CB312" s="375"/>
      <c r="CC312" s="375"/>
      <c r="CD312" s="375"/>
      <c r="CE312" s="357"/>
      <c r="CF312" s="357"/>
      <c r="CG312" s="357"/>
      <c r="CH312" s="357"/>
      <c r="CI312" s="362"/>
      <c r="CJ312" s="362"/>
      <c r="CK312" s="362"/>
      <c r="CL312" s="362"/>
      <c r="CM312" s="362"/>
      <c r="CN312" s="362">
        <v>1</v>
      </c>
      <c r="CO312" s="362"/>
      <c r="CP312" s="362"/>
      <c r="CQ312" s="362"/>
      <c r="CR312" s="362"/>
      <c r="CS312" s="362"/>
      <c r="CT312" s="362"/>
      <c r="CU312" s="362"/>
      <c r="CV312" s="362"/>
      <c r="CW312" s="362"/>
      <c r="CX312" s="362"/>
      <c r="CY312" s="362"/>
      <c r="CZ312" s="362"/>
      <c r="DA312" s="362"/>
      <c r="DB312" s="362"/>
      <c r="DC312" s="362"/>
      <c r="DD312" s="362"/>
      <c r="DE312" s="362"/>
      <c r="DF312" s="362"/>
      <c r="DG312" s="362"/>
      <c r="DH312" s="362"/>
      <c r="DI312" s="362"/>
      <c r="DJ312" s="362"/>
      <c r="DK312" s="362"/>
      <c r="DL312" s="362"/>
      <c r="DM312" s="362"/>
      <c r="DN312" s="362"/>
      <c r="DO312" s="360"/>
      <c r="DP312" s="310">
        <f>BI370</f>
        <v>2</v>
      </c>
      <c r="DQ312" s="310">
        <f>BI412</f>
        <v>0</v>
      </c>
      <c r="DR312" s="310">
        <f>BI460</f>
        <v>0</v>
      </c>
      <c r="DS312" s="310">
        <f>BI484</f>
        <v>0</v>
      </c>
      <c r="DT312" s="310"/>
      <c r="DU312" s="310">
        <f t="shared" si="81"/>
        <v>2</v>
      </c>
      <c r="DV312" s="309" t="s">
        <v>2050</v>
      </c>
      <c r="DW312" s="310"/>
      <c r="DX312" s="708">
        <f>ROUNDUP(BI300*4500,0)</f>
        <v>40905</v>
      </c>
    </row>
    <row r="313" spans="1:128" s="63" customFormat="1" ht="18">
      <c r="A313" s="373"/>
      <c r="B313" s="819" t="s">
        <v>1557</v>
      </c>
      <c r="C313" s="459"/>
      <c r="D313" s="459"/>
      <c r="E313" s="460">
        <v>6</v>
      </c>
      <c r="F313" s="461"/>
      <c r="G313" s="357"/>
      <c r="H313" s="357"/>
      <c r="I313" s="357"/>
      <c r="J313" s="357"/>
      <c r="K313" s="357"/>
      <c r="L313" s="357"/>
      <c r="M313" s="357"/>
      <c r="N313" s="357"/>
      <c r="O313" s="357"/>
      <c r="P313" s="362"/>
      <c r="Q313" s="362"/>
      <c r="R313" s="362"/>
      <c r="S313" s="362"/>
      <c r="T313" s="360">
        <f>SUM(C313:O313)</f>
        <v>6</v>
      </c>
      <c r="U313" s="361">
        <f>ROUND((5.4*4.7)-(BS300+CO300),0)</f>
        <v>22</v>
      </c>
      <c r="V313" s="361"/>
      <c r="W313" s="361"/>
      <c r="X313" s="357"/>
      <c r="Y313" s="357"/>
      <c r="Z313" s="357"/>
      <c r="AA313" s="357"/>
      <c r="AB313" s="357"/>
      <c r="AC313" s="357"/>
      <c r="AD313" s="357">
        <f>ROUND((10*4.7)-(BS300+CO300),0)</f>
        <v>43</v>
      </c>
      <c r="AE313" s="357"/>
      <c r="AF313" s="357"/>
      <c r="AG313" s="357">
        <f>AD313</f>
        <v>43</v>
      </c>
      <c r="AH313" s="357"/>
      <c r="AI313" s="357"/>
      <c r="AJ313" s="357"/>
      <c r="AK313" s="357"/>
      <c r="AL313" s="357"/>
      <c r="AM313" s="357"/>
      <c r="AN313" s="357"/>
      <c r="AO313" s="357"/>
      <c r="AP313" s="357"/>
      <c r="AQ313" s="357">
        <f>ROUND(BS302+CO302,0)</f>
        <v>6</v>
      </c>
      <c r="AR313" s="357"/>
      <c r="AS313" s="362"/>
      <c r="AT313" s="360">
        <f>ROUND(BS301+CO301,0)</f>
        <v>3</v>
      </c>
      <c r="AU313" s="374"/>
      <c r="AV313" s="357">
        <f>E313</f>
        <v>6</v>
      </c>
      <c r="AW313" s="357"/>
      <c r="AX313" s="357"/>
      <c r="AY313" s="360"/>
      <c r="AZ313" s="363"/>
      <c r="BA313" s="364"/>
      <c r="BB313" s="395"/>
      <c r="BC313" s="365">
        <f t="shared" si="78"/>
        <v>6</v>
      </c>
      <c r="BD313" s="361"/>
      <c r="BE313" s="357"/>
      <c r="BF313" s="375"/>
      <c r="BG313" s="357"/>
      <c r="BH313" s="357"/>
      <c r="BI313" s="357"/>
      <c r="BJ313" s="357"/>
      <c r="BK313" s="357"/>
      <c r="BL313" s="357"/>
      <c r="BM313" s="357"/>
      <c r="BN313" s="357"/>
      <c r="BO313" s="357"/>
      <c r="BP313" s="357"/>
      <c r="BQ313" s="357"/>
      <c r="BR313" s="357"/>
      <c r="BS313" s="357">
        <v>1</v>
      </c>
      <c r="BT313" s="357"/>
      <c r="BU313" s="357"/>
      <c r="BV313" s="357"/>
      <c r="BW313" s="357"/>
      <c r="BX313" s="357"/>
      <c r="BY313" s="357"/>
      <c r="BZ313" s="357"/>
      <c r="CA313" s="357"/>
      <c r="CB313" s="375"/>
      <c r="CC313" s="375"/>
      <c r="CD313" s="375"/>
      <c r="CE313" s="357"/>
      <c r="CF313" s="357"/>
      <c r="CG313" s="357"/>
      <c r="CH313" s="357"/>
      <c r="CI313" s="362"/>
      <c r="CJ313" s="362"/>
      <c r="CK313" s="362"/>
      <c r="CL313" s="362"/>
      <c r="CM313" s="362"/>
      <c r="CN313" s="362"/>
      <c r="CO313" s="362">
        <v>1</v>
      </c>
      <c r="CP313" s="362"/>
      <c r="CQ313" s="362"/>
      <c r="CR313" s="362"/>
      <c r="CS313" s="362"/>
      <c r="CT313" s="362"/>
      <c r="CU313" s="362"/>
      <c r="CV313" s="362"/>
      <c r="CW313" s="362"/>
      <c r="CX313" s="362"/>
      <c r="CY313" s="362"/>
      <c r="CZ313" s="362"/>
      <c r="DA313" s="362"/>
      <c r="DB313" s="362"/>
      <c r="DC313" s="362"/>
      <c r="DD313" s="362"/>
      <c r="DE313" s="362"/>
      <c r="DF313" s="362"/>
      <c r="DG313" s="362"/>
      <c r="DH313" s="362"/>
      <c r="DI313" s="362"/>
      <c r="DJ313" s="362"/>
      <c r="DK313" s="362"/>
      <c r="DL313" s="362"/>
      <c r="DM313" s="362"/>
      <c r="DN313" s="362"/>
      <c r="DO313" s="360"/>
      <c r="DP313" s="310">
        <f>BJ370</f>
        <v>3</v>
      </c>
      <c r="DQ313" s="310">
        <f>BJ412</f>
        <v>0</v>
      </c>
      <c r="DR313" s="310">
        <f>BJ460</f>
        <v>0</v>
      </c>
      <c r="DS313" s="310">
        <f>BJ484</f>
        <v>0</v>
      </c>
      <c r="DT313" s="310"/>
      <c r="DU313" s="310">
        <f t="shared" si="81"/>
        <v>3</v>
      </c>
      <c r="DV313" s="309" t="s">
        <v>2051</v>
      </c>
      <c r="DW313" s="310"/>
      <c r="DX313" s="708">
        <f>ROUNDUP(BJ300*4500,0)</f>
        <v>70605</v>
      </c>
    </row>
    <row r="314" spans="1:128" s="63" customFormat="1" ht="18">
      <c r="A314" s="373"/>
      <c r="B314" s="819" t="s">
        <v>1542</v>
      </c>
      <c r="C314" s="459"/>
      <c r="D314" s="459">
        <v>80</v>
      </c>
      <c r="E314" s="460"/>
      <c r="F314" s="461"/>
      <c r="G314" s="357"/>
      <c r="H314" s="357"/>
      <c r="I314" s="357"/>
      <c r="J314" s="357"/>
      <c r="K314" s="357"/>
      <c r="L314" s="357"/>
      <c r="M314" s="357"/>
      <c r="N314" s="357"/>
      <c r="O314" s="357"/>
      <c r="P314" s="362"/>
      <c r="Q314" s="362"/>
      <c r="R314" s="362"/>
      <c r="S314" s="362"/>
      <c r="T314" s="360"/>
      <c r="U314" s="361">
        <f>ROUND((39.6*5.4)-(BF300+CY300),0)</f>
        <v>198</v>
      </c>
      <c r="V314" s="361"/>
      <c r="W314" s="361"/>
      <c r="X314" s="357"/>
      <c r="Y314" s="357"/>
      <c r="Z314" s="357"/>
      <c r="AA314" s="357"/>
      <c r="AB314" s="357"/>
      <c r="AC314" s="357"/>
      <c r="AD314" s="357">
        <f>ROUND((39.6*4.7)-(BF300+CY300),0)</f>
        <v>170</v>
      </c>
      <c r="AE314" s="357"/>
      <c r="AF314" s="357"/>
      <c r="AG314" s="357"/>
      <c r="AH314" s="357"/>
      <c r="AI314" s="357"/>
      <c r="AJ314" s="357"/>
      <c r="AK314" s="357"/>
      <c r="AL314" s="357"/>
      <c r="AM314" s="357"/>
      <c r="AN314" s="357"/>
      <c r="AO314" s="357"/>
      <c r="AP314" s="357"/>
      <c r="AQ314" s="357">
        <f>ROUND(BF302+CY302,0)</f>
        <v>10</v>
      </c>
      <c r="AR314" s="357"/>
      <c r="AS314" s="362"/>
      <c r="AT314" s="360">
        <f>ROUND(BF301+CY301,0)</f>
        <v>16</v>
      </c>
      <c r="AU314" s="374"/>
      <c r="AV314" s="357"/>
      <c r="AW314" s="357">
        <f t="shared" ref="AW314:AW319" si="82">D314</f>
        <v>80</v>
      </c>
      <c r="AX314" s="357"/>
      <c r="AY314" s="360"/>
      <c r="AZ314" s="363">
        <f t="shared" si="79"/>
        <v>170</v>
      </c>
      <c r="BA314" s="364">
        <f t="shared" si="80"/>
        <v>0</v>
      </c>
      <c r="BB314" s="395"/>
      <c r="BC314" s="365">
        <f t="shared" si="78"/>
        <v>80</v>
      </c>
      <c r="BD314" s="361"/>
      <c r="BE314" s="375"/>
      <c r="BF314" s="357">
        <v>1</v>
      </c>
      <c r="BG314" s="357"/>
      <c r="BH314" s="357"/>
      <c r="BI314" s="357"/>
      <c r="BJ314" s="357"/>
      <c r="BK314" s="357"/>
      <c r="BL314" s="357"/>
      <c r="BM314" s="357"/>
      <c r="BN314" s="357"/>
      <c r="BO314" s="357"/>
      <c r="BP314" s="357"/>
      <c r="BQ314" s="357"/>
      <c r="BR314" s="357"/>
      <c r="BS314" s="357"/>
      <c r="BT314" s="357"/>
      <c r="BU314" s="357"/>
      <c r="BV314" s="357"/>
      <c r="BW314" s="357"/>
      <c r="BX314" s="357"/>
      <c r="BY314" s="357"/>
      <c r="BZ314" s="357"/>
      <c r="CA314" s="357"/>
      <c r="CB314" s="375"/>
      <c r="CC314" s="375"/>
      <c r="CD314" s="375"/>
      <c r="CE314" s="375"/>
      <c r="CF314" s="357"/>
      <c r="CG314" s="357"/>
      <c r="CH314" s="357"/>
      <c r="CI314" s="362"/>
      <c r="CJ314" s="362"/>
      <c r="CK314" s="362"/>
      <c r="CL314" s="362"/>
      <c r="CM314" s="362"/>
      <c r="CN314" s="362"/>
      <c r="CO314" s="362"/>
      <c r="CP314" s="362"/>
      <c r="CQ314" s="362"/>
      <c r="CR314" s="362"/>
      <c r="CS314" s="362"/>
      <c r="CT314" s="362"/>
      <c r="CU314" s="362"/>
      <c r="CV314" s="362"/>
      <c r="CW314" s="362"/>
      <c r="CX314" s="362"/>
      <c r="CY314" s="362">
        <v>1</v>
      </c>
      <c r="CZ314" s="362"/>
      <c r="DA314" s="362"/>
      <c r="DB314" s="362"/>
      <c r="DC314" s="362"/>
      <c r="DD314" s="362"/>
      <c r="DE314" s="362"/>
      <c r="DF314" s="362"/>
      <c r="DG314" s="362"/>
      <c r="DH314" s="362"/>
      <c r="DI314" s="362"/>
      <c r="DJ314" s="362"/>
      <c r="DK314" s="362"/>
      <c r="DL314" s="362"/>
      <c r="DM314" s="362"/>
      <c r="DN314" s="362"/>
      <c r="DO314" s="360"/>
      <c r="DP314" s="310">
        <f>BK370</f>
        <v>3</v>
      </c>
      <c r="DQ314" s="310">
        <f>BK412</f>
        <v>0</v>
      </c>
      <c r="DR314" s="310">
        <f>BK460</f>
        <v>0</v>
      </c>
      <c r="DS314" s="310">
        <f>BK484</f>
        <v>0</v>
      </c>
      <c r="DT314" s="310"/>
      <c r="DU314" s="310">
        <f t="shared" si="81"/>
        <v>3</v>
      </c>
      <c r="DV314" s="309" t="s">
        <v>2052</v>
      </c>
      <c r="DW314" s="310"/>
      <c r="DX314" s="708">
        <f>ROUNDUP(BK300*4500,0)</f>
        <v>25650</v>
      </c>
    </row>
    <row r="315" spans="1:128" s="63" customFormat="1" ht="18">
      <c r="A315" s="376"/>
      <c r="B315" s="819" t="s">
        <v>1543</v>
      </c>
      <c r="C315" s="459"/>
      <c r="D315" s="459">
        <v>80</v>
      </c>
      <c r="E315" s="460"/>
      <c r="F315" s="461"/>
      <c r="G315" s="357"/>
      <c r="H315" s="357"/>
      <c r="I315" s="357"/>
      <c r="J315" s="357"/>
      <c r="K315" s="357"/>
      <c r="L315" s="357"/>
      <c r="M315" s="357"/>
      <c r="N315" s="357"/>
      <c r="O315" s="357"/>
      <c r="P315" s="362"/>
      <c r="Q315" s="362"/>
      <c r="R315" s="362"/>
      <c r="S315" s="362"/>
      <c r="T315" s="360"/>
      <c r="U315" s="361">
        <f>ROUND((24.9*5.4)-(BF300+CY300),0)</f>
        <v>118</v>
      </c>
      <c r="V315" s="361"/>
      <c r="W315" s="361"/>
      <c r="X315" s="357"/>
      <c r="Y315" s="357"/>
      <c r="Z315" s="357"/>
      <c r="AA315" s="357"/>
      <c r="AB315" s="357"/>
      <c r="AC315" s="357"/>
      <c r="AD315" s="357">
        <f>AD314</f>
        <v>170</v>
      </c>
      <c r="AE315" s="357"/>
      <c r="AF315" s="357"/>
      <c r="AG315" s="357"/>
      <c r="AH315" s="357"/>
      <c r="AI315" s="357"/>
      <c r="AJ315" s="357"/>
      <c r="AK315" s="357"/>
      <c r="AL315" s="357"/>
      <c r="AM315" s="357"/>
      <c r="AN315" s="357"/>
      <c r="AO315" s="357"/>
      <c r="AP315" s="357"/>
      <c r="AQ315" s="357">
        <f>ROUND(BF302+CY302,0)</f>
        <v>10</v>
      </c>
      <c r="AR315" s="357"/>
      <c r="AS315" s="362"/>
      <c r="AT315" s="360">
        <f>ROUND(BF301+CY301,0)</f>
        <v>16</v>
      </c>
      <c r="AU315" s="374"/>
      <c r="AV315" s="357"/>
      <c r="AW315" s="357">
        <f t="shared" si="82"/>
        <v>80</v>
      </c>
      <c r="AX315" s="357"/>
      <c r="AY315" s="360"/>
      <c r="AZ315" s="363">
        <f t="shared" si="79"/>
        <v>170</v>
      </c>
      <c r="BA315" s="364">
        <f t="shared" si="80"/>
        <v>0</v>
      </c>
      <c r="BB315" s="395"/>
      <c r="BC315" s="365">
        <f t="shared" si="78"/>
        <v>80</v>
      </c>
      <c r="BD315" s="361"/>
      <c r="BE315" s="357"/>
      <c r="BF315" s="357">
        <v>1</v>
      </c>
      <c r="BG315" s="357"/>
      <c r="BH315" s="357"/>
      <c r="BI315" s="357"/>
      <c r="BJ315" s="357"/>
      <c r="BK315" s="375"/>
      <c r="BL315" s="357"/>
      <c r="BM315" s="357"/>
      <c r="BN315" s="357"/>
      <c r="BO315" s="357"/>
      <c r="BP315" s="357"/>
      <c r="BQ315" s="357"/>
      <c r="BR315" s="357"/>
      <c r="BS315" s="357"/>
      <c r="BT315" s="357"/>
      <c r="BU315" s="357"/>
      <c r="BV315" s="357"/>
      <c r="BW315" s="357"/>
      <c r="BX315" s="357"/>
      <c r="BY315" s="357"/>
      <c r="BZ315" s="357"/>
      <c r="CA315" s="357"/>
      <c r="CB315" s="375"/>
      <c r="CC315" s="375"/>
      <c r="CD315" s="357"/>
      <c r="CE315" s="357"/>
      <c r="CF315" s="357"/>
      <c r="CG315" s="357"/>
      <c r="CH315" s="357"/>
      <c r="CI315" s="362"/>
      <c r="CJ315" s="362"/>
      <c r="CK315" s="362"/>
      <c r="CL315" s="362"/>
      <c r="CM315" s="362"/>
      <c r="CN315" s="362"/>
      <c r="CO315" s="362"/>
      <c r="CP315" s="362"/>
      <c r="CQ315" s="362"/>
      <c r="CR315" s="362"/>
      <c r="CS315" s="362"/>
      <c r="CT315" s="362"/>
      <c r="CU315" s="362"/>
      <c r="CV315" s="362"/>
      <c r="CW315" s="362"/>
      <c r="CX315" s="362"/>
      <c r="CY315" s="362">
        <v>1</v>
      </c>
      <c r="CZ315" s="362"/>
      <c r="DA315" s="362"/>
      <c r="DB315" s="362"/>
      <c r="DC315" s="362"/>
      <c r="DD315" s="362"/>
      <c r="DE315" s="362"/>
      <c r="DF315" s="362"/>
      <c r="DG315" s="362"/>
      <c r="DH315" s="362"/>
      <c r="DI315" s="362"/>
      <c r="DJ315" s="362"/>
      <c r="DK315" s="362"/>
      <c r="DL315" s="362"/>
      <c r="DM315" s="362"/>
      <c r="DN315" s="362"/>
      <c r="DO315" s="360"/>
      <c r="DP315" s="310">
        <f>BL370</f>
        <v>4</v>
      </c>
      <c r="DQ315" s="310">
        <f>BL412</f>
        <v>0</v>
      </c>
      <c r="DR315" s="310">
        <f>BL460</f>
        <v>0</v>
      </c>
      <c r="DS315" s="310">
        <f>BL484</f>
        <v>0</v>
      </c>
      <c r="DT315" s="310"/>
      <c r="DU315" s="310">
        <f t="shared" si="81"/>
        <v>4</v>
      </c>
      <c r="DV315" s="309" t="s">
        <v>2053</v>
      </c>
      <c r="DW315" s="310"/>
      <c r="DX315" s="708">
        <f>ROUNDUP(BL300*4500,0)</f>
        <v>58455</v>
      </c>
    </row>
    <row r="316" spans="1:128" s="63" customFormat="1" ht="18">
      <c r="A316" s="373"/>
      <c r="B316" s="819" t="s">
        <v>1544</v>
      </c>
      <c r="C316" s="459"/>
      <c r="D316" s="459">
        <v>80</v>
      </c>
      <c r="E316" s="460"/>
      <c r="F316" s="461"/>
      <c r="G316" s="357"/>
      <c r="H316" s="357"/>
      <c r="I316" s="357"/>
      <c r="J316" s="357"/>
      <c r="K316" s="357"/>
      <c r="L316" s="357"/>
      <c r="M316" s="357"/>
      <c r="N316" s="357"/>
      <c r="O316" s="357"/>
      <c r="P316" s="362"/>
      <c r="Q316" s="362"/>
      <c r="R316" s="362"/>
      <c r="S316" s="362"/>
      <c r="T316" s="360"/>
      <c r="U316" s="361">
        <f>ROUND((24.9*5.4)-(BF300+CY300),0)</f>
        <v>118</v>
      </c>
      <c r="V316" s="361"/>
      <c r="W316" s="361"/>
      <c r="X316" s="357"/>
      <c r="Y316" s="357"/>
      <c r="Z316" s="357"/>
      <c r="AA316" s="357"/>
      <c r="AB316" s="357"/>
      <c r="AC316" s="357"/>
      <c r="AD316" s="357">
        <f>AD314</f>
        <v>170</v>
      </c>
      <c r="AE316" s="357"/>
      <c r="AF316" s="357"/>
      <c r="AG316" s="357"/>
      <c r="AH316" s="357"/>
      <c r="AI316" s="357"/>
      <c r="AJ316" s="357"/>
      <c r="AK316" s="357"/>
      <c r="AL316" s="357"/>
      <c r="AM316" s="357"/>
      <c r="AN316" s="357"/>
      <c r="AO316" s="357"/>
      <c r="AP316" s="357"/>
      <c r="AQ316" s="357">
        <f>ROUND(BF302+CY302,0)</f>
        <v>10</v>
      </c>
      <c r="AR316" s="357"/>
      <c r="AS316" s="362"/>
      <c r="AT316" s="360">
        <f>ROUND(BF301+CY301,0)</f>
        <v>16</v>
      </c>
      <c r="AU316" s="374"/>
      <c r="AV316" s="357"/>
      <c r="AW316" s="357">
        <f t="shared" si="82"/>
        <v>80</v>
      </c>
      <c r="AX316" s="357"/>
      <c r="AY316" s="360"/>
      <c r="AZ316" s="363">
        <f t="shared" si="79"/>
        <v>170</v>
      </c>
      <c r="BA316" s="364">
        <f t="shared" si="80"/>
        <v>0</v>
      </c>
      <c r="BB316" s="395"/>
      <c r="BC316" s="365">
        <f t="shared" si="78"/>
        <v>80</v>
      </c>
      <c r="BD316" s="361"/>
      <c r="BE316" s="357"/>
      <c r="BF316" s="357">
        <v>1</v>
      </c>
      <c r="BG316" s="357"/>
      <c r="BH316" s="357"/>
      <c r="BI316" s="357"/>
      <c r="BJ316" s="357"/>
      <c r="BK316" s="375"/>
      <c r="BL316" s="357"/>
      <c r="BM316" s="357"/>
      <c r="BN316" s="357"/>
      <c r="BO316" s="357"/>
      <c r="BP316" s="357"/>
      <c r="BQ316" s="357"/>
      <c r="BR316" s="357"/>
      <c r="BS316" s="357"/>
      <c r="BT316" s="357"/>
      <c r="BU316" s="357"/>
      <c r="BV316" s="357"/>
      <c r="BW316" s="357"/>
      <c r="BX316" s="357"/>
      <c r="BY316" s="357"/>
      <c r="BZ316" s="357"/>
      <c r="CA316" s="357"/>
      <c r="CB316" s="357"/>
      <c r="CC316" s="357"/>
      <c r="CD316" s="357"/>
      <c r="CE316" s="357"/>
      <c r="CF316" s="357"/>
      <c r="CG316" s="357"/>
      <c r="CH316" s="357"/>
      <c r="CI316" s="362"/>
      <c r="CJ316" s="362"/>
      <c r="CK316" s="362"/>
      <c r="CL316" s="362"/>
      <c r="CM316" s="362"/>
      <c r="CN316" s="362"/>
      <c r="CO316" s="362"/>
      <c r="CP316" s="362"/>
      <c r="CQ316" s="362"/>
      <c r="CR316" s="362"/>
      <c r="CS316" s="362"/>
      <c r="CT316" s="362"/>
      <c r="CU316" s="362"/>
      <c r="CV316" s="362"/>
      <c r="CW316" s="362"/>
      <c r="CX316" s="362"/>
      <c r="CY316" s="362">
        <v>1</v>
      </c>
      <c r="CZ316" s="362"/>
      <c r="DA316" s="362"/>
      <c r="DB316" s="362"/>
      <c r="DC316" s="362"/>
      <c r="DD316" s="362"/>
      <c r="DE316" s="362"/>
      <c r="DF316" s="362"/>
      <c r="DG316" s="362"/>
      <c r="DH316" s="362"/>
      <c r="DI316" s="362"/>
      <c r="DJ316" s="362"/>
      <c r="DK316" s="362"/>
      <c r="DL316" s="362"/>
      <c r="DM316" s="362"/>
      <c r="DN316" s="362"/>
      <c r="DO316" s="360"/>
      <c r="DP316" s="310">
        <f>BM370</f>
        <v>1</v>
      </c>
      <c r="DQ316" s="310">
        <f>BM412</f>
        <v>0</v>
      </c>
      <c r="DR316" s="310">
        <f>BM460</f>
        <v>0</v>
      </c>
      <c r="DS316" s="310">
        <f>BM484</f>
        <v>0</v>
      </c>
      <c r="DT316" s="310"/>
      <c r="DU316" s="310">
        <f t="shared" si="81"/>
        <v>1</v>
      </c>
      <c r="DV316" s="309" t="s">
        <v>1519</v>
      </c>
      <c r="DW316" s="310"/>
      <c r="DX316" s="708">
        <f>ROUNDUP(BM300*4500,0)</f>
        <v>22500</v>
      </c>
    </row>
    <row r="317" spans="1:128" s="63" customFormat="1" ht="18">
      <c r="A317" s="373"/>
      <c r="B317" s="819" t="s">
        <v>1545</v>
      </c>
      <c r="C317" s="459"/>
      <c r="D317" s="460">
        <v>160</v>
      </c>
      <c r="E317" s="460"/>
      <c r="F317" s="461"/>
      <c r="G317" s="357"/>
      <c r="H317" s="357"/>
      <c r="I317" s="357"/>
      <c r="J317" s="357"/>
      <c r="K317" s="357"/>
      <c r="L317" s="357"/>
      <c r="M317" s="357"/>
      <c r="N317" s="357"/>
      <c r="O317" s="357"/>
      <c r="P317" s="362"/>
      <c r="Q317" s="362"/>
      <c r="R317" s="362"/>
      <c r="S317" s="362"/>
      <c r="T317" s="360"/>
      <c r="U317" s="361">
        <f>ROUND((41.7*5.4)-((BF300*2)+(CY300*2)),0)</f>
        <v>193</v>
      </c>
      <c r="V317" s="361"/>
      <c r="W317" s="361"/>
      <c r="X317" s="357"/>
      <c r="Y317" s="357"/>
      <c r="Z317" s="357"/>
      <c r="AA317" s="357"/>
      <c r="AB317" s="357"/>
      <c r="AC317" s="357"/>
      <c r="AD317" s="357">
        <f>ROUND((54.8*4.7)-((BF300*2)+(CY300*2)),0)</f>
        <v>226</v>
      </c>
      <c r="AE317" s="357"/>
      <c r="AF317" s="357"/>
      <c r="AG317" s="357"/>
      <c r="AH317" s="357"/>
      <c r="AI317" s="357"/>
      <c r="AJ317" s="357"/>
      <c r="AK317" s="357"/>
      <c r="AL317" s="357"/>
      <c r="AM317" s="357"/>
      <c r="AN317" s="357"/>
      <c r="AO317" s="357"/>
      <c r="AP317" s="357"/>
      <c r="AQ317" s="357">
        <f>ROUND((BF302*2)+(CY302*2),0)</f>
        <v>21</v>
      </c>
      <c r="AR317" s="357"/>
      <c r="AS317" s="362"/>
      <c r="AT317" s="360">
        <f>ROUND((BF301*2)+(CY301*2),0)</f>
        <v>32</v>
      </c>
      <c r="AU317" s="374"/>
      <c r="AV317" s="357"/>
      <c r="AW317" s="357">
        <f t="shared" si="82"/>
        <v>160</v>
      </c>
      <c r="AX317" s="357"/>
      <c r="AY317" s="360"/>
      <c r="AZ317" s="363">
        <f t="shared" si="79"/>
        <v>226</v>
      </c>
      <c r="BA317" s="364">
        <f t="shared" si="80"/>
        <v>0</v>
      </c>
      <c r="BB317" s="395"/>
      <c r="BC317" s="365">
        <f t="shared" si="78"/>
        <v>160</v>
      </c>
      <c r="BD317" s="361"/>
      <c r="BE317" s="357"/>
      <c r="BF317" s="357">
        <v>1</v>
      </c>
      <c r="BG317" s="357"/>
      <c r="BH317" s="357"/>
      <c r="BI317" s="357"/>
      <c r="BJ317" s="357"/>
      <c r="BK317" s="375"/>
      <c r="BL317" s="357"/>
      <c r="BM317" s="357"/>
      <c r="BN317" s="357"/>
      <c r="BO317" s="357"/>
      <c r="BP317" s="357"/>
      <c r="BQ317" s="357"/>
      <c r="BR317" s="357"/>
      <c r="BS317" s="357"/>
      <c r="BT317" s="357"/>
      <c r="BU317" s="357"/>
      <c r="BV317" s="357"/>
      <c r="BW317" s="357"/>
      <c r="BX317" s="357"/>
      <c r="BY317" s="357"/>
      <c r="BZ317" s="357"/>
      <c r="CA317" s="357"/>
      <c r="CB317" s="357"/>
      <c r="CC317" s="357"/>
      <c r="CD317" s="357"/>
      <c r="CE317" s="357"/>
      <c r="CF317" s="357"/>
      <c r="CG317" s="357"/>
      <c r="CH317" s="357"/>
      <c r="CI317" s="362"/>
      <c r="CJ317" s="362"/>
      <c r="CK317" s="362"/>
      <c r="CL317" s="362"/>
      <c r="CM317" s="362"/>
      <c r="CN317" s="362"/>
      <c r="CO317" s="362"/>
      <c r="CP317" s="362"/>
      <c r="CQ317" s="362"/>
      <c r="CR317" s="362"/>
      <c r="CS317" s="362"/>
      <c r="CT317" s="362"/>
      <c r="CU317" s="362"/>
      <c r="CV317" s="362"/>
      <c r="CW317" s="362"/>
      <c r="CX317" s="362"/>
      <c r="CY317" s="362">
        <v>1</v>
      </c>
      <c r="CZ317" s="362"/>
      <c r="DA317" s="362"/>
      <c r="DB317" s="362"/>
      <c r="DC317" s="362"/>
      <c r="DD317" s="362"/>
      <c r="DE317" s="362"/>
      <c r="DF317" s="362"/>
      <c r="DG317" s="362"/>
      <c r="DH317" s="362"/>
      <c r="DI317" s="362"/>
      <c r="DJ317" s="362"/>
      <c r="DK317" s="362"/>
      <c r="DL317" s="362"/>
      <c r="DM317" s="362"/>
      <c r="DN317" s="362"/>
      <c r="DO317" s="360"/>
      <c r="DP317" s="310">
        <f>BN370</f>
        <v>0</v>
      </c>
      <c r="DQ317" s="310">
        <f>BN412</f>
        <v>0</v>
      </c>
      <c r="DR317" s="310">
        <f>BN460</f>
        <v>0</v>
      </c>
      <c r="DS317" s="310">
        <f>BN484</f>
        <v>2</v>
      </c>
      <c r="DT317" s="310"/>
      <c r="DU317" s="310">
        <f t="shared" si="81"/>
        <v>2</v>
      </c>
      <c r="DV317" s="309" t="s">
        <v>1520</v>
      </c>
      <c r="DW317" s="310"/>
      <c r="DX317" s="708">
        <f>ROUNDUP(BN300*4500,0)</f>
        <v>18450</v>
      </c>
    </row>
    <row r="318" spans="1:128" s="63" customFormat="1" ht="18">
      <c r="A318" s="373"/>
      <c r="B318" s="819" t="s">
        <v>1546</v>
      </c>
      <c r="C318" s="459"/>
      <c r="D318" s="460">
        <v>80</v>
      </c>
      <c r="E318" s="460"/>
      <c r="F318" s="461"/>
      <c r="G318" s="357"/>
      <c r="H318" s="357"/>
      <c r="I318" s="357"/>
      <c r="J318" s="357"/>
      <c r="K318" s="357"/>
      <c r="L318" s="357"/>
      <c r="M318" s="357"/>
      <c r="N318" s="357"/>
      <c r="O318" s="357"/>
      <c r="P318" s="362"/>
      <c r="Q318" s="362"/>
      <c r="R318" s="362"/>
      <c r="S318" s="362"/>
      <c r="T318" s="360"/>
      <c r="U318" s="361">
        <f>ROUND((39.6*5.4)-(BF300+CY300),0)</f>
        <v>198</v>
      </c>
      <c r="V318" s="361"/>
      <c r="W318" s="361"/>
      <c r="X318" s="357"/>
      <c r="Y318" s="357"/>
      <c r="Z318" s="357"/>
      <c r="AA318" s="357"/>
      <c r="AB318" s="357"/>
      <c r="AC318" s="357"/>
      <c r="AD318" s="357">
        <f>AD314</f>
        <v>170</v>
      </c>
      <c r="AE318" s="357"/>
      <c r="AF318" s="357"/>
      <c r="AG318" s="357"/>
      <c r="AH318" s="357"/>
      <c r="AI318" s="357"/>
      <c r="AJ318" s="357"/>
      <c r="AK318" s="357"/>
      <c r="AL318" s="357"/>
      <c r="AM318" s="357"/>
      <c r="AN318" s="357"/>
      <c r="AO318" s="357"/>
      <c r="AP318" s="357"/>
      <c r="AQ318" s="357">
        <f>ROUND(BF302+CY302,0)</f>
        <v>10</v>
      </c>
      <c r="AR318" s="357"/>
      <c r="AS318" s="362"/>
      <c r="AT318" s="360">
        <f>ROUND(BF301+CY301,0)</f>
        <v>16</v>
      </c>
      <c r="AU318" s="374"/>
      <c r="AV318" s="357"/>
      <c r="AW318" s="357">
        <f t="shared" si="82"/>
        <v>80</v>
      </c>
      <c r="AX318" s="357"/>
      <c r="AY318" s="360"/>
      <c r="AZ318" s="363">
        <f t="shared" si="79"/>
        <v>170</v>
      </c>
      <c r="BA318" s="364">
        <f t="shared" si="80"/>
        <v>0</v>
      </c>
      <c r="BB318" s="395"/>
      <c r="BC318" s="365">
        <f t="shared" si="78"/>
        <v>80</v>
      </c>
      <c r="BD318" s="361"/>
      <c r="BE318" s="357"/>
      <c r="BF318" s="357">
        <v>1</v>
      </c>
      <c r="BG318" s="357"/>
      <c r="BH318" s="357"/>
      <c r="BI318" s="357"/>
      <c r="BJ318" s="357"/>
      <c r="BK318" s="375"/>
      <c r="BL318" s="357"/>
      <c r="BM318" s="357"/>
      <c r="BN318" s="357"/>
      <c r="BO318" s="357"/>
      <c r="BP318" s="357"/>
      <c r="BQ318" s="357"/>
      <c r="BR318" s="357"/>
      <c r="BS318" s="357"/>
      <c r="BT318" s="357"/>
      <c r="BU318" s="357"/>
      <c r="BV318" s="357"/>
      <c r="BW318" s="357"/>
      <c r="BX318" s="357"/>
      <c r="BY318" s="357"/>
      <c r="BZ318" s="357"/>
      <c r="CA318" s="357"/>
      <c r="CB318" s="357"/>
      <c r="CC318" s="357"/>
      <c r="CD318" s="357"/>
      <c r="CE318" s="357"/>
      <c r="CF318" s="357"/>
      <c r="CG318" s="357"/>
      <c r="CH318" s="357"/>
      <c r="CI318" s="362"/>
      <c r="CJ318" s="362"/>
      <c r="CK318" s="362"/>
      <c r="CL318" s="362"/>
      <c r="CM318" s="362"/>
      <c r="CN318" s="362"/>
      <c r="CO318" s="362"/>
      <c r="CP318" s="362"/>
      <c r="CQ318" s="362"/>
      <c r="CR318" s="362"/>
      <c r="CS318" s="362"/>
      <c r="CT318" s="362"/>
      <c r="CU318" s="362"/>
      <c r="CV318" s="362"/>
      <c r="CW318" s="362"/>
      <c r="CX318" s="362"/>
      <c r="CY318" s="362">
        <v>1</v>
      </c>
      <c r="CZ318" s="362"/>
      <c r="DA318" s="362"/>
      <c r="DB318" s="362"/>
      <c r="DC318" s="362"/>
      <c r="DD318" s="362"/>
      <c r="DE318" s="362"/>
      <c r="DF318" s="362"/>
      <c r="DG318" s="362"/>
      <c r="DH318" s="362"/>
      <c r="DI318" s="362"/>
      <c r="DJ318" s="362"/>
      <c r="DK318" s="362"/>
      <c r="DL318" s="362"/>
      <c r="DM318" s="362"/>
      <c r="DN318" s="362"/>
      <c r="DO318" s="360"/>
      <c r="DP318" s="310">
        <f>BO370</f>
        <v>1</v>
      </c>
      <c r="DQ318" s="310">
        <f>BO412</f>
        <v>0</v>
      </c>
      <c r="DR318" s="310">
        <f>BO460</f>
        <v>0</v>
      </c>
      <c r="DS318" s="310">
        <f>BO484</f>
        <v>0</v>
      </c>
      <c r="DT318" s="310"/>
      <c r="DU318" s="310">
        <f t="shared" si="81"/>
        <v>1</v>
      </c>
      <c r="DV318" s="309" t="s">
        <v>2054</v>
      </c>
      <c r="DW318" s="310"/>
      <c r="DX318" s="708">
        <f>ROUNDUP(BO300*4500,0)</f>
        <v>26933</v>
      </c>
    </row>
    <row r="319" spans="1:128" s="63" customFormat="1" ht="18">
      <c r="A319" s="373"/>
      <c r="B319" s="819" t="s">
        <v>1547</v>
      </c>
      <c r="C319" s="459"/>
      <c r="D319" s="461">
        <v>80</v>
      </c>
      <c r="E319" s="460"/>
      <c r="F319" s="461"/>
      <c r="G319" s="357"/>
      <c r="H319" s="375"/>
      <c r="I319" s="357"/>
      <c r="J319" s="357"/>
      <c r="K319" s="357"/>
      <c r="L319" s="357"/>
      <c r="M319" s="357"/>
      <c r="N319" s="357"/>
      <c r="O319" s="357"/>
      <c r="P319" s="362"/>
      <c r="Q319" s="362"/>
      <c r="R319" s="362"/>
      <c r="S319" s="362"/>
      <c r="T319" s="360"/>
      <c r="U319" s="361">
        <f>ROUND((24.9*5.4)-(BF300+CY300),0)</f>
        <v>118</v>
      </c>
      <c r="V319" s="361"/>
      <c r="W319" s="361"/>
      <c r="X319" s="357"/>
      <c r="Y319" s="357"/>
      <c r="Z319" s="357"/>
      <c r="AA319" s="357"/>
      <c r="AB319" s="357"/>
      <c r="AC319" s="357"/>
      <c r="AD319" s="357">
        <f>AD314</f>
        <v>170</v>
      </c>
      <c r="AE319" s="357"/>
      <c r="AF319" s="357"/>
      <c r="AG319" s="357"/>
      <c r="AH319" s="357"/>
      <c r="AI319" s="357"/>
      <c r="AJ319" s="357"/>
      <c r="AK319" s="357"/>
      <c r="AL319" s="357"/>
      <c r="AM319" s="357"/>
      <c r="AN319" s="357"/>
      <c r="AO319" s="357"/>
      <c r="AP319" s="357"/>
      <c r="AQ319" s="357">
        <f>ROUND(BF302+CY302,0)</f>
        <v>10</v>
      </c>
      <c r="AR319" s="357"/>
      <c r="AS319" s="362"/>
      <c r="AT319" s="360">
        <f>ROUND(BF301+CY301,0)</f>
        <v>16</v>
      </c>
      <c r="AU319" s="361"/>
      <c r="AV319" s="375"/>
      <c r="AW319" s="357">
        <f t="shared" si="82"/>
        <v>80</v>
      </c>
      <c r="AX319" s="357"/>
      <c r="AY319" s="360"/>
      <c r="AZ319" s="363">
        <f t="shared" si="79"/>
        <v>170</v>
      </c>
      <c r="BA319" s="364">
        <f t="shared" si="80"/>
        <v>0</v>
      </c>
      <c r="BB319" s="395"/>
      <c r="BC319" s="365">
        <f t="shared" si="78"/>
        <v>80</v>
      </c>
      <c r="BD319" s="361"/>
      <c r="BE319" s="357"/>
      <c r="BF319" s="357">
        <v>1</v>
      </c>
      <c r="BG319" s="357"/>
      <c r="BH319" s="357"/>
      <c r="BI319" s="357"/>
      <c r="BJ319" s="357"/>
      <c r="BK319" s="357"/>
      <c r="BL319" s="357"/>
      <c r="BM319" s="357"/>
      <c r="BN319" s="357"/>
      <c r="BO319" s="357"/>
      <c r="BP319" s="375"/>
      <c r="BQ319" s="375"/>
      <c r="BR319" s="357"/>
      <c r="BS319" s="357"/>
      <c r="BT319" s="357"/>
      <c r="BU319" s="357"/>
      <c r="BV319" s="357"/>
      <c r="BW319" s="357"/>
      <c r="BX319" s="357"/>
      <c r="BY319" s="357"/>
      <c r="BZ319" s="357"/>
      <c r="CA319" s="357"/>
      <c r="CB319" s="357"/>
      <c r="CC319" s="357"/>
      <c r="CD319" s="357"/>
      <c r="CE319" s="357"/>
      <c r="CF319" s="357"/>
      <c r="CG319" s="357"/>
      <c r="CH319" s="357"/>
      <c r="CI319" s="362"/>
      <c r="CJ319" s="378"/>
      <c r="CK319" s="378"/>
      <c r="CL319" s="362"/>
      <c r="CM319" s="362"/>
      <c r="CN319" s="362"/>
      <c r="CO319" s="362"/>
      <c r="CP319" s="362"/>
      <c r="CQ319" s="362"/>
      <c r="CR319" s="362"/>
      <c r="CS319" s="362"/>
      <c r="CT319" s="362"/>
      <c r="CU319" s="362"/>
      <c r="CV319" s="362"/>
      <c r="CW319" s="362"/>
      <c r="CX319" s="362"/>
      <c r="CY319" s="362">
        <v>1</v>
      </c>
      <c r="CZ319" s="362"/>
      <c r="DA319" s="362"/>
      <c r="DB319" s="362"/>
      <c r="DC319" s="362"/>
      <c r="DD319" s="362"/>
      <c r="DE319" s="362"/>
      <c r="DF319" s="362"/>
      <c r="DG319" s="362"/>
      <c r="DH319" s="362"/>
      <c r="DI319" s="362"/>
      <c r="DJ319" s="362"/>
      <c r="DK319" s="362"/>
      <c r="DL319" s="362"/>
      <c r="DM319" s="362"/>
      <c r="DN319" s="362"/>
      <c r="DO319" s="360"/>
      <c r="DP319" s="310">
        <f>BP370</f>
        <v>0</v>
      </c>
      <c r="DQ319" s="310">
        <f>BP412</f>
        <v>1</v>
      </c>
      <c r="DR319" s="310">
        <f>BP460</f>
        <v>1</v>
      </c>
      <c r="DS319" s="310">
        <f>BP484</f>
        <v>0</v>
      </c>
      <c r="DT319" s="310"/>
      <c r="DU319" s="310">
        <f t="shared" si="81"/>
        <v>2</v>
      </c>
      <c r="DV319" s="309" t="s">
        <v>2055</v>
      </c>
      <c r="DW319" s="310"/>
      <c r="DX319" s="708">
        <f>ROUNDUP(BP300*4500,0)</f>
        <v>23625</v>
      </c>
    </row>
    <row r="320" spans="1:128" s="63" customFormat="1" ht="18">
      <c r="A320" s="373"/>
      <c r="B320" s="819" t="s">
        <v>1548</v>
      </c>
      <c r="C320" s="461">
        <v>35</v>
      </c>
      <c r="D320" s="461"/>
      <c r="E320" s="460"/>
      <c r="F320" s="461"/>
      <c r="G320" s="357"/>
      <c r="H320" s="375"/>
      <c r="I320" s="357"/>
      <c r="J320" s="357"/>
      <c r="K320" s="357"/>
      <c r="L320" s="357"/>
      <c r="M320" s="357"/>
      <c r="N320" s="357"/>
      <c r="O320" s="357"/>
      <c r="P320" s="362"/>
      <c r="Q320" s="362"/>
      <c r="R320" s="362"/>
      <c r="S320" s="362"/>
      <c r="T320" s="360"/>
      <c r="U320" s="361">
        <f>ROUND((7.8*4.7)-(BG300+CD300),0)</f>
        <v>18</v>
      </c>
      <c r="V320" s="361"/>
      <c r="W320" s="361"/>
      <c r="X320" s="357"/>
      <c r="Y320" s="357"/>
      <c r="Z320" s="357"/>
      <c r="AA320" s="357"/>
      <c r="AB320" s="357"/>
      <c r="AC320" s="357"/>
      <c r="AD320" s="357">
        <f>ROUND((23.18*4.7)-(BG300+BM300+CD300),0)</f>
        <v>85</v>
      </c>
      <c r="AE320" s="357"/>
      <c r="AF320" s="357"/>
      <c r="AG320" s="357"/>
      <c r="AH320" s="357"/>
      <c r="AI320" s="357"/>
      <c r="AJ320" s="357"/>
      <c r="AK320" s="357"/>
      <c r="AL320" s="357"/>
      <c r="AM320" s="357"/>
      <c r="AN320" s="357"/>
      <c r="AO320" s="357"/>
      <c r="AP320" s="357"/>
      <c r="AQ320" s="357">
        <f>ROUND(BG302+CD302,0)</f>
        <v>11</v>
      </c>
      <c r="AR320" s="357"/>
      <c r="AS320" s="362"/>
      <c r="AT320" s="360">
        <f>ROUND(BG301+CD301,0)</f>
        <v>7</v>
      </c>
      <c r="AU320" s="361"/>
      <c r="AV320" s="375"/>
      <c r="AW320" s="357">
        <f>C320</f>
        <v>35</v>
      </c>
      <c r="AX320" s="357"/>
      <c r="AY320" s="360"/>
      <c r="AZ320" s="363">
        <f t="shared" si="79"/>
        <v>85</v>
      </c>
      <c r="BA320" s="364">
        <f t="shared" si="80"/>
        <v>0</v>
      </c>
      <c r="BB320" s="395"/>
      <c r="BC320" s="365">
        <f t="shared" si="78"/>
        <v>35</v>
      </c>
      <c r="BD320" s="361"/>
      <c r="BE320" s="357"/>
      <c r="BF320" s="357"/>
      <c r="BG320" s="357">
        <v>1</v>
      </c>
      <c r="BH320" s="357"/>
      <c r="BI320" s="357"/>
      <c r="BJ320" s="357"/>
      <c r="BK320" s="357"/>
      <c r="BL320" s="357"/>
      <c r="BM320" s="357"/>
      <c r="BN320" s="357"/>
      <c r="BO320" s="357"/>
      <c r="BP320" s="375"/>
      <c r="BQ320" s="375"/>
      <c r="BR320" s="357"/>
      <c r="BS320" s="357"/>
      <c r="BT320" s="357"/>
      <c r="BU320" s="357"/>
      <c r="BV320" s="357"/>
      <c r="BW320" s="357"/>
      <c r="BX320" s="357"/>
      <c r="BY320" s="357"/>
      <c r="BZ320" s="357"/>
      <c r="CA320" s="357"/>
      <c r="CB320" s="357"/>
      <c r="CC320" s="357"/>
      <c r="CD320" s="357">
        <v>1</v>
      </c>
      <c r="CE320" s="357"/>
      <c r="CF320" s="357"/>
      <c r="CG320" s="357"/>
      <c r="CH320" s="357"/>
      <c r="CI320" s="362"/>
      <c r="CJ320" s="378"/>
      <c r="CK320" s="378"/>
      <c r="CL320" s="362"/>
      <c r="CM320" s="362"/>
      <c r="CN320" s="362"/>
      <c r="CO320" s="362"/>
      <c r="CP320" s="362"/>
      <c r="CQ320" s="362"/>
      <c r="CR320" s="362"/>
      <c r="CS320" s="362"/>
      <c r="CT320" s="362"/>
      <c r="CU320" s="362"/>
      <c r="CV320" s="362"/>
      <c r="CW320" s="362"/>
      <c r="CX320" s="362"/>
      <c r="CY320" s="362"/>
      <c r="CZ320" s="362"/>
      <c r="DA320" s="362"/>
      <c r="DB320" s="362"/>
      <c r="DC320" s="362"/>
      <c r="DD320" s="362"/>
      <c r="DE320" s="362"/>
      <c r="DF320" s="362"/>
      <c r="DG320" s="362"/>
      <c r="DH320" s="362"/>
      <c r="DI320" s="362"/>
      <c r="DJ320" s="362"/>
      <c r="DK320" s="362"/>
      <c r="DL320" s="362"/>
      <c r="DM320" s="362"/>
      <c r="DN320" s="362"/>
      <c r="DO320" s="360"/>
      <c r="DP320" s="310">
        <f>BQ370</f>
        <v>5</v>
      </c>
      <c r="DQ320" s="310">
        <f>BQ412</f>
        <v>0</v>
      </c>
      <c r="DR320" s="310">
        <f>BQ460</f>
        <v>0</v>
      </c>
      <c r="DS320" s="310">
        <f>BQ484</f>
        <v>0</v>
      </c>
      <c r="DT320" s="310"/>
      <c r="DU320" s="310">
        <f t="shared" si="81"/>
        <v>5</v>
      </c>
      <c r="DV320" s="309" t="s">
        <v>1521</v>
      </c>
      <c r="DW320" s="310"/>
      <c r="DX320" s="708">
        <f>ROUNDUP(BQ300*4500,0)</f>
        <v>39375</v>
      </c>
    </row>
    <row r="321" spans="1:128" s="63" customFormat="1" ht="18">
      <c r="A321" s="376"/>
      <c r="B321" s="819" t="s">
        <v>362</v>
      </c>
      <c r="C321" s="461">
        <v>15</v>
      </c>
      <c r="D321" s="461"/>
      <c r="E321" s="460"/>
      <c r="F321" s="461"/>
      <c r="G321" s="357"/>
      <c r="H321" s="375"/>
      <c r="I321" s="357"/>
      <c r="J321" s="357"/>
      <c r="K321" s="357"/>
      <c r="L321" s="357"/>
      <c r="M321" s="357"/>
      <c r="N321" s="357"/>
      <c r="O321" s="357"/>
      <c r="P321" s="362"/>
      <c r="Q321" s="362"/>
      <c r="R321" s="362"/>
      <c r="S321" s="362"/>
      <c r="T321" s="360"/>
      <c r="U321" s="361">
        <f>ROUND((15.59*4.7)-BT300,0)</f>
        <v>71</v>
      </c>
      <c r="V321" s="361"/>
      <c r="W321" s="361"/>
      <c r="X321" s="357"/>
      <c r="Y321" s="357"/>
      <c r="Z321" s="357"/>
      <c r="AA321" s="357"/>
      <c r="AB321" s="357"/>
      <c r="AC321" s="357"/>
      <c r="AD321" s="357">
        <f>ROUND((16*4.7)-BT300,0)</f>
        <v>73</v>
      </c>
      <c r="AE321" s="357"/>
      <c r="AF321" s="357"/>
      <c r="AG321" s="357"/>
      <c r="AH321" s="357"/>
      <c r="AI321" s="357"/>
      <c r="AJ321" s="357"/>
      <c r="AK321" s="357"/>
      <c r="AL321" s="357"/>
      <c r="AM321" s="357"/>
      <c r="AN321" s="357"/>
      <c r="AO321" s="357"/>
      <c r="AP321" s="357"/>
      <c r="AQ321" s="357">
        <f>ROUND((2*4.7)+BT302,0)</f>
        <v>14</v>
      </c>
      <c r="AR321" s="357"/>
      <c r="AS321" s="362"/>
      <c r="AT321" s="360">
        <f>ROUND(BR301,0)</f>
        <v>1</v>
      </c>
      <c r="AU321" s="361"/>
      <c r="AV321" s="375"/>
      <c r="AW321" s="357">
        <f t="shared" ref="AW321:AW331" si="83">C321</f>
        <v>15</v>
      </c>
      <c r="AX321" s="357"/>
      <c r="AY321" s="360"/>
      <c r="AZ321" s="363">
        <f t="shared" si="79"/>
        <v>73</v>
      </c>
      <c r="BA321" s="364">
        <f t="shared" si="80"/>
        <v>0</v>
      </c>
      <c r="BB321" s="395"/>
      <c r="BC321" s="365">
        <f t="shared" si="78"/>
        <v>15</v>
      </c>
      <c r="BD321" s="361"/>
      <c r="BE321" s="357"/>
      <c r="BF321" s="357"/>
      <c r="BG321" s="357"/>
      <c r="BH321" s="357"/>
      <c r="BI321" s="357"/>
      <c r="BJ321" s="357"/>
      <c r="BK321" s="357"/>
      <c r="BL321" s="357"/>
      <c r="BM321" s="357"/>
      <c r="BN321" s="357"/>
      <c r="BO321" s="357"/>
      <c r="BP321" s="375"/>
      <c r="BQ321" s="375"/>
      <c r="BR321" s="357"/>
      <c r="BS321" s="357"/>
      <c r="BT321" s="357">
        <v>1</v>
      </c>
      <c r="BU321" s="357"/>
      <c r="BV321" s="357"/>
      <c r="BW321" s="357"/>
      <c r="BX321" s="357"/>
      <c r="BY321" s="357"/>
      <c r="BZ321" s="357"/>
      <c r="CA321" s="357"/>
      <c r="CB321" s="357"/>
      <c r="CC321" s="357"/>
      <c r="CD321" s="357"/>
      <c r="CE321" s="357"/>
      <c r="CF321" s="357"/>
      <c r="CG321" s="357"/>
      <c r="CH321" s="357"/>
      <c r="CI321" s="362"/>
      <c r="CJ321" s="378"/>
      <c r="CK321" s="378"/>
      <c r="CL321" s="362"/>
      <c r="CM321" s="362"/>
      <c r="CN321" s="362"/>
      <c r="CO321" s="362"/>
      <c r="CP321" s="362"/>
      <c r="CQ321" s="362"/>
      <c r="CR321" s="362"/>
      <c r="CS321" s="362"/>
      <c r="CT321" s="362"/>
      <c r="CU321" s="362"/>
      <c r="CV321" s="362"/>
      <c r="CW321" s="362"/>
      <c r="CX321" s="362"/>
      <c r="CY321" s="362"/>
      <c r="CZ321" s="362"/>
      <c r="DA321" s="362"/>
      <c r="DB321" s="362"/>
      <c r="DC321" s="362"/>
      <c r="DD321" s="362"/>
      <c r="DE321" s="362"/>
      <c r="DF321" s="362"/>
      <c r="DG321" s="362"/>
      <c r="DH321" s="362"/>
      <c r="DI321" s="362"/>
      <c r="DJ321" s="362"/>
      <c r="DK321" s="362"/>
      <c r="DL321" s="362"/>
      <c r="DM321" s="362"/>
      <c r="DN321" s="362"/>
      <c r="DO321" s="360"/>
      <c r="DP321" s="310">
        <f>BR370</f>
        <v>4</v>
      </c>
      <c r="DQ321" s="310">
        <f>BR412</f>
        <v>4</v>
      </c>
      <c r="DR321" s="310">
        <f>BR460</f>
        <v>4</v>
      </c>
      <c r="DS321" s="310">
        <f>BR484</f>
        <v>0</v>
      </c>
      <c r="DT321" s="310"/>
      <c r="DU321" s="310">
        <f t="shared" si="81"/>
        <v>12</v>
      </c>
      <c r="DV321" s="309" t="s">
        <v>2056</v>
      </c>
      <c r="DW321" s="310"/>
      <c r="DX321" s="708">
        <f>ROUNDUP(BR300*4500,0)</f>
        <v>12375</v>
      </c>
    </row>
    <row r="322" spans="1:128" s="63" customFormat="1" ht="18">
      <c r="A322" s="376"/>
      <c r="B322" s="819" t="s">
        <v>363</v>
      </c>
      <c r="C322" s="461">
        <v>66</v>
      </c>
      <c r="D322" s="461"/>
      <c r="E322" s="460"/>
      <c r="F322" s="461"/>
      <c r="G322" s="357"/>
      <c r="H322" s="375"/>
      <c r="I322" s="357"/>
      <c r="J322" s="357"/>
      <c r="K322" s="357"/>
      <c r="L322" s="357"/>
      <c r="M322" s="357"/>
      <c r="N322" s="357"/>
      <c r="O322" s="357"/>
      <c r="P322" s="362"/>
      <c r="Q322" s="362"/>
      <c r="R322" s="362"/>
      <c r="S322" s="362"/>
      <c r="T322" s="360"/>
      <c r="U322" s="361">
        <f>ROUND((36.4*4.7)-(BL300+(CJ300*2)),0)</f>
        <v>120</v>
      </c>
      <c r="V322" s="361"/>
      <c r="W322" s="361"/>
      <c r="X322" s="357"/>
      <c r="Y322" s="357"/>
      <c r="Z322" s="357"/>
      <c r="AA322" s="357"/>
      <c r="AB322" s="357"/>
      <c r="AC322" s="357"/>
      <c r="AD322" s="357">
        <f>ROUND((36.4*4.7)-(BL300+(CJ300*2)),0)</f>
        <v>120</v>
      </c>
      <c r="AE322" s="357"/>
      <c r="AF322" s="357"/>
      <c r="AG322" s="357"/>
      <c r="AH322" s="357"/>
      <c r="AI322" s="357"/>
      <c r="AJ322" s="357"/>
      <c r="AK322" s="357"/>
      <c r="AL322" s="357"/>
      <c r="AM322" s="357"/>
      <c r="AN322" s="357"/>
      <c r="AO322" s="357"/>
      <c r="AP322" s="357"/>
      <c r="AQ322" s="357">
        <f>ROUND(BL302+(CJ302*2),0)</f>
        <v>24</v>
      </c>
      <c r="AR322" s="357"/>
      <c r="AS322" s="362"/>
      <c r="AT322" s="360">
        <f>ROUND(BK301+(CJ301*2),0)</f>
        <v>22</v>
      </c>
      <c r="AU322" s="361"/>
      <c r="AV322" s="375"/>
      <c r="AW322" s="357">
        <f t="shared" si="83"/>
        <v>66</v>
      </c>
      <c r="AX322" s="357"/>
      <c r="AY322" s="360"/>
      <c r="AZ322" s="363">
        <f t="shared" si="79"/>
        <v>120</v>
      </c>
      <c r="BA322" s="364">
        <f t="shared" si="80"/>
        <v>0</v>
      </c>
      <c r="BB322" s="395"/>
      <c r="BC322" s="365">
        <f t="shared" si="78"/>
        <v>66</v>
      </c>
      <c r="BD322" s="361"/>
      <c r="BE322" s="357"/>
      <c r="BF322" s="357"/>
      <c r="BG322" s="357"/>
      <c r="BH322" s="357"/>
      <c r="BI322" s="357"/>
      <c r="BJ322" s="357"/>
      <c r="BK322" s="357"/>
      <c r="BL322" s="357">
        <v>1</v>
      </c>
      <c r="BM322" s="357"/>
      <c r="BN322" s="357"/>
      <c r="BO322" s="357"/>
      <c r="BP322" s="375"/>
      <c r="BQ322" s="375"/>
      <c r="BR322" s="357"/>
      <c r="BS322" s="357"/>
      <c r="BT322" s="357"/>
      <c r="BU322" s="357"/>
      <c r="BV322" s="357"/>
      <c r="BW322" s="357"/>
      <c r="BX322" s="357"/>
      <c r="BY322" s="357"/>
      <c r="BZ322" s="357"/>
      <c r="CA322" s="357"/>
      <c r="CB322" s="357"/>
      <c r="CC322" s="357"/>
      <c r="CD322" s="357"/>
      <c r="CE322" s="357"/>
      <c r="CF322" s="357"/>
      <c r="CG322" s="357"/>
      <c r="CH322" s="357"/>
      <c r="CI322" s="362"/>
      <c r="CJ322" s="378">
        <v>2</v>
      </c>
      <c r="CK322" s="378"/>
      <c r="CL322" s="362"/>
      <c r="CM322" s="362"/>
      <c r="CN322" s="362"/>
      <c r="CO322" s="362"/>
      <c r="CP322" s="362"/>
      <c r="CQ322" s="362"/>
      <c r="CR322" s="362"/>
      <c r="CS322" s="362"/>
      <c r="CT322" s="362"/>
      <c r="CU322" s="362"/>
      <c r="CV322" s="362"/>
      <c r="CW322" s="362"/>
      <c r="CX322" s="362"/>
      <c r="CY322" s="362"/>
      <c r="CZ322" s="362"/>
      <c r="DA322" s="362"/>
      <c r="DB322" s="362"/>
      <c r="DC322" s="362"/>
      <c r="DD322" s="362"/>
      <c r="DE322" s="362"/>
      <c r="DF322" s="362"/>
      <c r="DG322" s="362"/>
      <c r="DH322" s="362"/>
      <c r="DI322" s="362"/>
      <c r="DJ322" s="362"/>
      <c r="DK322" s="362"/>
      <c r="DL322" s="362"/>
      <c r="DM322" s="362"/>
      <c r="DN322" s="362"/>
      <c r="DO322" s="360"/>
      <c r="DP322" s="310">
        <f>BS370</f>
        <v>1</v>
      </c>
      <c r="DQ322" s="310">
        <f>BS412</f>
        <v>1</v>
      </c>
      <c r="DR322" s="310">
        <f>BS460</f>
        <v>1</v>
      </c>
      <c r="DS322" s="310">
        <f>BS484</f>
        <v>0</v>
      </c>
      <c r="DT322" s="310"/>
      <c r="DU322" s="310">
        <f t="shared" si="81"/>
        <v>3</v>
      </c>
      <c r="DV322" s="309" t="s">
        <v>2057</v>
      </c>
      <c r="DW322" s="310"/>
      <c r="DX322" s="708">
        <f>ROUNDUP(BS300*4500,0)</f>
        <v>12375</v>
      </c>
    </row>
    <row r="323" spans="1:128" s="63" customFormat="1" ht="18">
      <c r="A323" s="376"/>
      <c r="B323" s="819" t="s">
        <v>364</v>
      </c>
      <c r="C323" s="461">
        <v>33</v>
      </c>
      <c r="D323" s="461"/>
      <c r="E323" s="460"/>
      <c r="F323" s="461"/>
      <c r="G323" s="357"/>
      <c r="H323" s="375"/>
      <c r="I323" s="357"/>
      <c r="J323" s="357"/>
      <c r="K323" s="357"/>
      <c r="L323" s="357"/>
      <c r="M323" s="357"/>
      <c r="N323" s="357"/>
      <c r="O323" s="357"/>
      <c r="P323" s="362"/>
      <c r="Q323" s="362"/>
      <c r="R323" s="362"/>
      <c r="S323" s="362"/>
      <c r="T323" s="360"/>
      <c r="U323" s="361">
        <f>ROUND((18.2*4.7)-BL300,0)</f>
        <v>73</v>
      </c>
      <c r="V323" s="361"/>
      <c r="W323" s="361"/>
      <c r="X323" s="357"/>
      <c r="Y323" s="357"/>
      <c r="Z323" s="357"/>
      <c r="AA323" s="357"/>
      <c r="AB323" s="357"/>
      <c r="AC323" s="357"/>
      <c r="AD323" s="357">
        <f>ROUND((23*4.7)-BL300,0)</f>
        <v>95</v>
      </c>
      <c r="AE323" s="357"/>
      <c r="AF323" s="357"/>
      <c r="AG323" s="357"/>
      <c r="AH323" s="357"/>
      <c r="AI323" s="357"/>
      <c r="AJ323" s="357"/>
      <c r="AK323" s="357"/>
      <c r="AL323" s="357"/>
      <c r="AM323" s="357"/>
      <c r="AN323" s="357"/>
      <c r="AO323" s="357"/>
      <c r="AP323" s="357"/>
      <c r="AQ323" s="357">
        <f>ROUND(BL302,0)</f>
        <v>9</v>
      </c>
      <c r="AR323" s="357"/>
      <c r="AS323" s="362"/>
      <c r="AT323" s="360">
        <f>ROUND(BL301,0)</f>
        <v>6</v>
      </c>
      <c r="AU323" s="361"/>
      <c r="AV323" s="375"/>
      <c r="AW323" s="357">
        <f t="shared" si="83"/>
        <v>33</v>
      </c>
      <c r="AX323" s="357"/>
      <c r="AY323" s="360"/>
      <c r="AZ323" s="363">
        <f t="shared" si="79"/>
        <v>95</v>
      </c>
      <c r="BA323" s="364">
        <f t="shared" si="80"/>
        <v>0</v>
      </c>
      <c r="BB323" s="395"/>
      <c r="BC323" s="365">
        <f t="shared" si="78"/>
        <v>33</v>
      </c>
      <c r="BD323" s="361"/>
      <c r="BE323" s="357"/>
      <c r="BF323" s="357"/>
      <c r="BG323" s="357"/>
      <c r="BH323" s="357"/>
      <c r="BI323" s="357"/>
      <c r="BJ323" s="357"/>
      <c r="BK323" s="357"/>
      <c r="BL323" s="357">
        <v>1</v>
      </c>
      <c r="BM323" s="357"/>
      <c r="BN323" s="357"/>
      <c r="BO323" s="357"/>
      <c r="BP323" s="375"/>
      <c r="BQ323" s="375"/>
      <c r="BR323" s="375"/>
      <c r="BS323" s="357"/>
      <c r="BT323" s="357"/>
      <c r="BU323" s="357"/>
      <c r="BV323" s="357"/>
      <c r="BW323" s="357"/>
      <c r="BX323" s="357"/>
      <c r="BY323" s="357"/>
      <c r="BZ323" s="357"/>
      <c r="CA323" s="357"/>
      <c r="CB323" s="357"/>
      <c r="CC323" s="357"/>
      <c r="CD323" s="357"/>
      <c r="CE323" s="357"/>
      <c r="CF323" s="357"/>
      <c r="CG323" s="357"/>
      <c r="CH323" s="357"/>
      <c r="CI323" s="362"/>
      <c r="CJ323" s="378"/>
      <c r="CK323" s="378"/>
      <c r="CL323" s="378"/>
      <c r="CM323" s="378"/>
      <c r="CN323" s="362"/>
      <c r="CO323" s="362"/>
      <c r="CP323" s="362"/>
      <c r="CQ323" s="362"/>
      <c r="CR323" s="362"/>
      <c r="CS323" s="362"/>
      <c r="CT323" s="362"/>
      <c r="CU323" s="362"/>
      <c r="CV323" s="362"/>
      <c r="CW323" s="362"/>
      <c r="CX323" s="362"/>
      <c r="CY323" s="362"/>
      <c r="CZ323" s="362"/>
      <c r="DA323" s="362"/>
      <c r="DB323" s="362"/>
      <c r="DC323" s="362"/>
      <c r="DD323" s="362"/>
      <c r="DE323" s="362"/>
      <c r="DF323" s="362"/>
      <c r="DG323" s="362"/>
      <c r="DH323" s="362"/>
      <c r="DI323" s="362"/>
      <c r="DJ323" s="362"/>
      <c r="DK323" s="362"/>
      <c r="DL323" s="362"/>
      <c r="DM323" s="362"/>
      <c r="DN323" s="362"/>
      <c r="DO323" s="360"/>
      <c r="DP323" s="310">
        <f>BT370</f>
        <v>1</v>
      </c>
      <c r="DQ323" s="310">
        <f>BT412</f>
        <v>2</v>
      </c>
      <c r="DR323" s="310">
        <f>BT460</f>
        <v>2</v>
      </c>
      <c r="DS323" s="310">
        <f>BT484</f>
        <v>0</v>
      </c>
      <c r="DT323" s="310"/>
      <c r="DU323" s="310">
        <f t="shared" si="81"/>
        <v>5</v>
      </c>
      <c r="DV323" s="309" t="s">
        <v>1522</v>
      </c>
      <c r="DW323" s="310"/>
      <c r="DX323" s="708">
        <f>ROUNDUP(BT300*4500,0)</f>
        <v>10148</v>
      </c>
    </row>
    <row r="324" spans="1:128" s="63" customFormat="1" ht="18">
      <c r="A324" s="376"/>
      <c r="B324" s="819" t="s">
        <v>365</v>
      </c>
      <c r="C324" s="461">
        <v>33</v>
      </c>
      <c r="D324" s="461"/>
      <c r="E324" s="460"/>
      <c r="F324" s="461"/>
      <c r="G324" s="357"/>
      <c r="H324" s="375"/>
      <c r="I324" s="357"/>
      <c r="J324" s="357"/>
      <c r="K324" s="357"/>
      <c r="L324" s="357"/>
      <c r="M324" s="357"/>
      <c r="N324" s="357"/>
      <c r="O324" s="357"/>
      <c r="P324" s="362"/>
      <c r="Q324" s="362"/>
      <c r="R324" s="362"/>
      <c r="S324" s="362"/>
      <c r="T324" s="360"/>
      <c r="U324" s="361">
        <f>U323</f>
        <v>73</v>
      </c>
      <c r="V324" s="361"/>
      <c r="W324" s="361"/>
      <c r="X324" s="357"/>
      <c r="Y324" s="357"/>
      <c r="Z324" s="357"/>
      <c r="AA324" s="357"/>
      <c r="AB324" s="357"/>
      <c r="AC324" s="357"/>
      <c r="AD324" s="357">
        <f>AD323</f>
        <v>95</v>
      </c>
      <c r="AE324" s="357"/>
      <c r="AF324" s="357"/>
      <c r="AG324" s="357"/>
      <c r="AH324" s="357"/>
      <c r="AI324" s="357"/>
      <c r="AJ324" s="357"/>
      <c r="AK324" s="357"/>
      <c r="AL324" s="357"/>
      <c r="AM324" s="357"/>
      <c r="AN324" s="357"/>
      <c r="AO324" s="357"/>
      <c r="AP324" s="357"/>
      <c r="AQ324" s="357">
        <f>AQ323</f>
        <v>9</v>
      </c>
      <c r="AR324" s="357"/>
      <c r="AS324" s="362"/>
      <c r="AT324" s="360">
        <f>AT323</f>
        <v>6</v>
      </c>
      <c r="AU324" s="361"/>
      <c r="AV324" s="375"/>
      <c r="AW324" s="357">
        <f t="shared" si="83"/>
        <v>33</v>
      </c>
      <c r="AX324" s="357"/>
      <c r="AY324" s="360"/>
      <c r="AZ324" s="363">
        <f t="shared" si="79"/>
        <v>95</v>
      </c>
      <c r="BA324" s="364">
        <f t="shared" si="80"/>
        <v>0</v>
      </c>
      <c r="BB324" s="395"/>
      <c r="BC324" s="365">
        <f t="shared" si="78"/>
        <v>33</v>
      </c>
      <c r="BD324" s="361"/>
      <c r="BE324" s="357"/>
      <c r="BF324" s="357"/>
      <c r="BG324" s="357"/>
      <c r="BH324" s="357"/>
      <c r="BI324" s="357"/>
      <c r="BJ324" s="357"/>
      <c r="BK324" s="357"/>
      <c r="BL324" s="357">
        <v>1</v>
      </c>
      <c r="BM324" s="357"/>
      <c r="BN324" s="357"/>
      <c r="BO324" s="357"/>
      <c r="BP324" s="375"/>
      <c r="BQ324" s="375"/>
      <c r="BR324" s="357"/>
      <c r="BS324" s="357"/>
      <c r="BT324" s="357"/>
      <c r="BU324" s="357"/>
      <c r="BV324" s="357"/>
      <c r="BW324" s="357"/>
      <c r="BX324" s="357"/>
      <c r="BY324" s="357"/>
      <c r="BZ324" s="357"/>
      <c r="CA324" s="357"/>
      <c r="CB324" s="357"/>
      <c r="CC324" s="357"/>
      <c r="CD324" s="357"/>
      <c r="CE324" s="357"/>
      <c r="CF324" s="357"/>
      <c r="CG324" s="357"/>
      <c r="CH324" s="357"/>
      <c r="CI324" s="362"/>
      <c r="CJ324" s="378"/>
      <c r="CK324" s="378"/>
      <c r="CL324" s="362"/>
      <c r="CM324" s="362"/>
      <c r="CN324" s="362"/>
      <c r="CO324" s="362"/>
      <c r="CP324" s="362"/>
      <c r="CQ324" s="362"/>
      <c r="CR324" s="362"/>
      <c r="CS324" s="362"/>
      <c r="CT324" s="362"/>
      <c r="CU324" s="362"/>
      <c r="CV324" s="362"/>
      <c r="CW324" s="362"/>
      <c r="CX324" s="362"/>
      <c r="CY324" s="362"/>
      <c r="CZ324" s="362"/>
      <c r="DA324" s="362"/>
      <c r="DB324" s="362"/>
      <c r="DC324" s="362"/>
      <c r="DD324" s="362"/>
      <c r="DE324" s="362"/>
      <c r="DF324" s="362"/>
      <c r="DG324" s="362"/>
      <c r="DH324" s="362"/>
      <c r="DI324" s="362"/>
      <c r="DJ324" s="362"/>
      <c r="DK324" s="362"/>
      <c r="DL324" s="362"/>
      <c r="DM324" s="362"/>
      <c r="DN324" s="362"/>
      <c r="DO324" s="360"/>
      <c r="DP324" s="310">
        <f>BU370</f>
        <v>1</v>
      </c>
      <c r="DQ324" s="310">
        <f>BU412</f>
        <v>1</v>
      </c>
      <c r="DR324" s="310">
        <f>BU460</f>
        <v>1</v>
      </c>
      <c r="DS324" s="310">
        <f>BX370</f>
        <v>0</v>
      </c>
      <c r="DT324" s="310"/>
      <c r="DU324" s="310">
        <f t="shared" si="81"/>
        <v>3</v>
      </c>
      <c r="DV324" s="309" t="s">
        <v>1523</v>
      </c>
      <c r="DW324" s="310"/>
      <c r="DX324" s="708">
        <f>ROUNDUP(BX300*4500,0)</f>
        <v>43515</v>
      </c>
    </row>
    <row r="325" spans="1:128" s="63" customFormat="1" ht="18">
      <c r="A325" s="376"/>
      <c r="B325" s="819" t="s">
        <v>403</v>
      </c>
      <c r="C325" s="461">
        <v>33</v>
      </c>
      <c r="D325" s="461"/>
      <c r="E325" s="460"/>
      <c r="F325" s="461"/>
      <c r="G325" s="357"/>
      <c r="H325" s="375"/>
      <c r="I325" s="357"/>
      <c r="J325" s="357"/>
      <c r="K325" s="357"/>
      <c r="L325" s="357"/>
      <c r="M325" s="357"/>
      <c r="N325" s="357"/>
      <c r="O325" s="357"/>
      <c r="P325" s="362"/>
      <c r="Q325" s="362"/>
      <c r="R325" s="362"/>
      <c r="S325" s="362"/>
      <c r="T325" s="360"/>
      <c r="U325" s="361">
        <f>U323</f>
        <v>73</v>
      </c>
      <c r="V325" s="361"/>
      <c r="W325" s="361"/>
      <c r="X325" s="357"/>
      <c r="Y325" s="357"/>
      <c r="Z325" s="357"/>
      <c r="AA325" s="357"/>
      <c r="AB325" s="357"/>
      <c r="AC325" s="357"/>
      <c r="AD325" s="357">
        <f>AD323</f>
        <v>95</v>
      </c>
      <c r="AE325" s="357"/>
      <c r="AF325" s="357"/>
      <c r="AG325" s="357"/>
      <c r="AH325" s="357"/>
      <c r="AI325" s="357"/>
      <c r="AJ325" s="357"/>
      <c r="AK325" s="357"/>
      <c r="AL325" s="357"/>
      <c r="AM325" s="357"/>
      <c r="AN325" s="357"/>
      <c r="AO325" s="357"/>
      <c r="AP325" s="357"/>
      <c r="AQ325" s="357">
        <f>AQ323</f>
        <v>9</v>
      </c>
      <c r="AR325" s="357"/>
      <c r="AS325" s="362"/>
      <c r="AT325" s="360">
        <f>AT323</f>
        <v>6</v>
      </c>
      <c r="AU325" s="361"/>
      <c r="AV325" s="375"/>
      <c r="AW325" s="357">
        <f t="shared" si="83"/>
        <v>33</v>
      </c>
      <c r="AX325" s="357"/>
      <c r="AY325" s="360"/>
      <c r="AZ325" s="363">
        <f t="shared" si="79"/>
        <v>95</v>
      </c>
      <c r="BA325" s="364">
        <f t="shared" si="80"/>
        <v>0</v>
      </c>
      <c r="BB325" s="395"/>
      <c r="BC325" s="365">
        <f t="shared" si="78"/>
        <v>33</v>
      </c>
      <c r="BD325" s="361"/>
      <c r="BE325" s="357"/>
      <c r="BF325" s="357"/>
      <c r="BG325" s="357"/>
      <c r="BH325" s="357"/>
      <c r="BI325" s="357"/>
      <c r="BJ325" s="357"/>
      <c r="BK325" s="357"/>
      <c r="BL325" s="357">
        <v>1</v>
      </c>
      <c r="BM325" s="357"/>
      <c r="BN325" s="357"/>
      <c r="BO325" s="357"/>
      <c r="BP325" s="375"/>
      <c r="BQ325" s="375"/>
      <c r="BR325" s="357"/>
      <c r="BS325" s="357"/>
      <c r="BT325" s="357"/>
      <c r="BU325" s="357"/>
      <c r="BV325" s="357"/>
      <c r="BW325" s="357"/>
      <c r="BX325" s="357"/>
      <c r="BY325" s="357"/>
      <c r="BZ325" s="357"/>
      <c r="CA325" s="357"/>
      <c r="CB325" s="357"/>
      <c r="CC325" s="357"/>
      <c r="CD325" s="357"/>
      <c r="CE325" s="357"/>
      <c r="CF325" s="357"/>
      <c r="CG325" s="357"/>
      <c r="CH325" s="357"/>
      <c r="CI325" s="362"/>
      <c r="CJ325" s="378"/>
      <c r="CK325" s="378"/>
      <c r="CL325" s="362"/>
      <c r="CM325" s="362"/>
      <c r="CN325" s="362"/>
      <c r="CO325" s="362"/>
      <c r="CP325" s="362"/>
      <c r="CQ325" s="362"/>
      <c r="CR325" s="362"/>
      <c r="CS325" s="362"/>
      <c r="CT325" s="362"/>
      <c r="CU325" s="362"/>
      <c r="CV325" s="362"/>
      <c r="CW325" s="362"/>
      <c r="CX325" s="362"/>
      <c r="CY325" s="362"/>
      <c r="CZ325" s="362"/>
      <c r="DA325" s="362"/>
      <c r="DB325" s="362"/>
      <c r="DC325" s="362"/>
      <c r="DD325" s="362"/>
      <c r="DE325" s="362"/>
      <c r="DF325" s="362"/>
      <c r="DG325" s="362"/>
      <c r="DH325" s="362"/>
      <c r="DI325" s="362"/>
      <c r="DJ325" s="362"/>
      <c r="DK325" s="362"/>
      <c r="DL325" s="362"/>
      <c r="DM325" s="362"/>
      <c r="DN325" s="362"/>
      <c r="DO325" s="360"/>
      <c r="DP325" s="310">
        <f>BV370</f>
        <v>0</v>
      </c>
      <c r="DQ325" s="310">
        <f>BV412</f>
        <v>2</v>
      </c>
      <c r="DR325" s="310">
        <f>BV460</f>
        <v>0</v>
      </c>
      <c r="DS325" s="310">
        <f>BV484</f>
        <v>0</v>
      </c>
      <c r="DT325" s="310"/>
      <c r="DU325" s="310">
        <f t="shared" si="81"/>
        <v>2</v>
      </c>
      <c r="DV325" s="309" t="s">
        <v>2058</v>
      </c>
      <c r="DW325" s="310"/>
      <c r="DX325" s="708">
        <f>ROUNDUP(BV300*4500,0)</f>
        <v>60750</v>
      </c>
    </row>
    <row r="326" spans="1:128" s="63" customFormat="1" ht="18">
      <c r="A326" s="376"/>
      <c r="B326" s="819" t="s">
        <v>1549</v>
      </c>
      <c r="C326" s="459">
        <v>46</v>
      </c>
      <c r="D326" s="460"/>
      <c r="E326" s="461"/>
      <c r="F326" s="461"/>
      <c r="G326" s="357"/>
      <c r="H326" s="357"/>
      <c r="I326" s="357"/>
      <c r="J326" s="357"/>
      <c r="K326" s="357"/>
      <c r="L326" s="357"/>
      <c r="M326" s="357"/>
      <c r="N326" s="357"/>
      <c r="O326" s="357"/>
      <c r="P326" s="362"/>
      <c r="Q326" s="362"/>
      <c r="R326" s="362"/>
      <c r="S326" s="362"/>
      <c r="T326" s="360"/>
      <c r="U326" s="361">
        <f>ROUND((30.2*4.7)-BQ300,0)</f>
        <v>133</v>
      </c>
      <c r="V326" s="361"/>
      <c r="W326" s="361"/>
      <c r="X326" s="357"/>
      <c r="Y326" s="357"/>
      <c r="Z326" s="357"/>
      <c r="AA326" s="357"/>
      <c r="AB326" s="357"/>
      <c r="AC326" s="357"/>
      <c r="AD326" s="357">
        <f>ROUND((28.8*4.7)-BQ300,0)</f>
        <v>127</v>
      </c>
      <c r="AE326" s="357"/>
      <c r="AF326" s="357"/>
      <c r="AG326" s="357"/>
      <c r="AH326" s="357"/>
      <c r="AI326" s="357"/>
      <c r="AJ326" s="357"/>
      <c r="AK326" s="357"/>
      <c r="AL326" s="357"/>
      <c r="AM326" s="357"/>
      <c r="AN326" s="357"/>
      <c r="AO326" s="357"/>
      <c r="AP326" s="357"/>
      <c r="AQ326" s="357">
        <f>ROUND((2*4.7)+BQ302,0)</f>
        <v>17</v>
      </c>
      <c r="AR326" s="357"/>
      <c r="AS326" s="362"/>
      <c r="AT326" s="360">
        <f>ROUND(BQ301,0)</f>
        <v>5</v>
      </c>
      <c r="AU326" s="374"/>
      <c r="AV326" s="357"/>
      <c r="AW326" s="357">
        <f t="shared" si="83"/>
        <v>46</v>
      </c>
      <c r="AX326" s="357"/>
      <c r="AY326" s="360"/>
      <c r="AZ326" s="363">
        <f t="shared" si="79"/>
        <v>127</v>
      </c>
      <c r="BA326" s="364">
        <f t="shared" si="80"/>
        <v>0</v>
      </c>
      <c r="BB326" s="395"/>
      <c r="BC326" s="365">
        <f t="shared" si="78"/>
        <v>46</v>
      </c>
      <c r="BD326" s="361"/>
      <c r="BE326" s="357"/>
      <c r="BF326" s="357"/>
      <c r="BG326" s="357"/>
      <c r="BH326" s="357"/>
      <c r="BI326" s="357"/>
      <c r="BJ326" s="357"/>
      <c r="BK326" s="357"/>
      <c r="BL326" s="357"/>
      <c r="BM326" s="357"/>
      <c r="BN326" s="357"/>
      <c r="BO326" s="357"/>
      <c r="BP326" s="357"/>
      <c r="BQ326" s="357">
        <v>1</v>
      </c>
      <c r="BR326" s="357"/>
      <c r="BS326" s="357"/>
      <c r="BT326" s="357"/>
      <c r="BU326" s="357"/>
      <c r="BV326" s="357"/>
      <c r="BW326" s="357"/>
      <c r="BX326" s="357"/>
      <c r="BY326" s="357"/>
      <c r="BZ326" s="357"/>
      <c r="CA326" s="357"/>
      <c r="CB326" s="357"/>
      <c r="CC326" s="357"/>
      <c r="CD326" s="357"/>
      <c r="CE326" s="357"/>
      <c r="CF326" s="357"/>
      <c r="CG326" s="357"/>
      <c r="CH326" s="357"/>
      <c r="CI326" s="362"/>
      <c r="CJ326" s="362"/>
      <c r="CK326" s="362"/>
      <c r="CL326" s="362"/>
      <c r="CM326" s="362"/>
      <c r="CN326" s="362"/>
      <c r="CO326" s="362"/>
      <c r="CP326" s="362"/>
      <c r="CQ326" s="362"/>
      <c r="CR326" s="362"/>
      <c r="CS326" s="362"/>
      <c r="CT326" s="362"/>
      <c r="CU326" s="362"/>
      <c r="CV326" s="362"/>
      <c r="CW326" s="362"/>
      <c r="CX326" s="362"/>
      <c r="CY326" s="362"/>
      <c r="CZ326" s="362"/>
      <c r="DA326" s="362"/>
      <c r="DB326" s="362"/>
      <c r="DC326" s="362"/>
      <c r="DD326" s="362"/>
      <c r="DE326" s="362"/>
      <c r="DF326" s="362"/>
      <c r="DG326" s="362"/>
      <c r="DH326" s="362"/>
      <c r="DI326" s="362"/>
      <c r="DJ326" s="362"/>
      <c r="DK326" s="362"/>
      <c r="DL326" s="362"/>
      <c r="DM326" s="362"/>
      <c r="DN326" s="362"/>
      <c r="DO326" s="360"/>
      <c r="DP326" s="310">
        <f>BW370</f>
        <v>0</v>
      </c>
      <c r="DQ326" s="310">
        <f>BW412</f>
        <v>4</v>
      </c>
      <c r="DR326" s="310">
        <f>BW460</f>
        <v>0</v>
      </c>
      <c r="DS326" s="310">
        <f>BW484</f>
        <v>0</v>
      </c>
      <c r="DT326" s="310"/>
      <c r="DU326" s="310">
        <f t="shared" si="81"/>
        <v>4</v>
      </c>
      <c r="DV326" s="309" t="s">
        <v>2059</v>
      </c>
      <c r="DW326" s="310"/>
      <c r="DX326" s="708">
        <f>ROUNDUP(BW300*4500,0)</f>
        <v>40545</v>
      </c>
    </row>
    <row r="327" spans="1:128" s="63" customFormat="1" ht="18">
      <c r="A327" s="376"/>
      <c r="B327" s="819" t="s">
        <v>1550</v>
      </c>
      <c r="C327" s="459">
        <v>30</v>
      </c>
      <c r="D327" s="460"/>
      <c r="E327" s="461"/>
      <c r="F327" s="461"/>
      <c r="G327" s="357"/>
      <c r="H327" s="357"/>
      <c r="I327" s="357"/>
      <c r="J327" s="357"/>
      <c r="K327" s="357"/>
      <c r="L327" s="357"/>
      <c r="M327" s="357"/>
      <c r="N327" s="357"/>
      <c r="O327" s="357"/>
      <c r="P327" s="362"/>
      <c r="Q327" s="362"/>
      <c r="R327" s="362"/>
      <c r="S327" s="362"/>
      <c r="T327" s="360"/>
      <c r="U327" s="361">
        <f>ROUND((21.8*4.7)-(BM300+CT300),0)</f>
        <v>95</v>
      </c>
      <c r="V327" s="361"/>
      <c r="W327" s="361"/>
      <c r="X327" s="357"/>
      <c r="Y327" s="357"/>
      <c r="Z327" s="357"/>
      <c r="AA327" s="357"/>
      <c r="AB327" s="357"/>
      <c r="AC327" s="357"/>
      <c r="AD327" s="357">
        <f>ROUND((21.8*4.7)-(BM300+CT300),0)</f>
        <v>95</v>
      </c>
      <c r="AE327" s="357"/>
      <c r="AF327" s="357"/>
      <c r="AG327" s="357"/>
      <c r="AH327" s="357"/>
      <c r="AI327" s="357"/>
      <c r="AJ327" s="357"/>
      <c r="AK327" s="357"/>
      <c r="AL327" s="357"/>
      <c r="AM327" s="357"/>
      <c r="AN327" s="357"/>
      <c r="AO327" s="357"/>
      <c r="AP327" s="357"/>
      <c r="AQ327" s="357">
        <f>ROUND(BM302+CT302,0)</f>
        <v>6</v>
      </c>
      <c r="AR327" s="357"/>
      <c r="AS327" s="362"/>
      <c r="AT327" s="360">
        <f>ROUND(BM301+CT301,0)</f>
        <v>11</v>
      </c>
      <c r="AU327" s="374"/>
      <c r="AV327" s="357"/>
      <c r="AW327" s="357">
        <f t="shared" si="83"/>
        <v>30</v>
      </c>
      <c r="AX327" s="357"/>
      <c r="AY327" s="360"/>
      <c r="AZ327" s="363">
        <f t="shared" si="79"/>
        <v>95</v>
      </c>
      <c r="BA327" s="364">
        <f t="shared" si="80"/>
        <v>0</v>
      </c>
      <c r="BB327" s="395"/>
      <c r="BC327" s="365">
        <f t="shared" si="78"/>
        <v>30</v>
      </c>
      <c r="BD327" s="361"/>
      <c r="BE327" s="357"/>
      <c r="BF327" s="357"/>
      <c r="BG327" s="357"/>
      <c r="BH327" s="357"/>
      <c r="BI327" s="357"/>
      <c r="BJ327" s="357"/>
      <c r="BK327" s="357"/>
      <c r="BL327" s="357"/>
      <c r="BM327" s="357">
        <v>1</v>
      </c>
      <c r="BN327" s="357"/>
      <c r="BO327" s="357"/>
      <c r="BP327" s="357"/>
      <c r="BQ327" s="357"/>
      <c r="BR327" s="357"/>
      <c r="BS327" s="357"/>
      <c r="BT327" s="357"/>
      <c r="BU327" s="357"/>
      <c r="BV327" s="357"/>
      <c r="BW327" s="357"/>
      <c r="BX327" s="357"/>
      <c r="BY327" s="357"/>
      <c r="BZ327" s="357"/>
      <c r="CA327" s="357"/>
      <c r="CB327" s="357"/>
      <c r="CC327" s="357"/>
      <c r="CD327" s="357"/>
      <c r="CE327" s="357"/>
      <c r="CF327" s="357"/>
      <c r="CG327" s="357"/>
      <c r="CH327" s="357"/>
      <c r="CI327" s="362"/>
      <c r="CJ327" s="362"/>
      <c r="CK327" s="362"/>
      <c r="CL327" s="362"/>
      <c r="CM327" s="362"/>
      <c r="CN327" s="362"/>
      <c r="CO327" s="362"/>
      <c r="CP327" s="362"/>
      <c r="CQ327" s="362"/>
      <c r="CR327" s="362"/>
      <c r="CS327" s="362"/>
      <c r="CT327" s="362">
        <v>1</v>
      </c>
      <c r="CU327" s="362"/>
      <c r="CV327" s="362"/>
      <c r="CW327" s="362"/>
      <c r="CX327" s="362"/>
      <c r="CY327" s="362"/>
      <c r="CZ327" s="362"/>
      <c r="DA327" s="362"/>
      <c r="DB327" s="362"/>
      <c r="DC327" s="362"/>
      <c r="DD327" s="362"/>
      <c r="DE327" s="362"/>
      <c r="DF327" s="362"/>
      <c r="DG327" s="362"/>
      <c r="DH327" s="362"/>
      <c r="DI327" s="362"/>
      <c r="DJ327" s="362"/>
      <c r="DK327" s="362"/>
      <c r="DL327" s="362"/>
      <c r="DM327" s="362"/>
      <c r="DN327" s="362"/>
      <c r="DO327" s="360"/>
      <c r="DP327" s="310">
        <f>BX370</f>
        <v>0</v>
      </c>
      <c r="DQ327" s="310">
        <f>BX412</f>
        <v>6</v>
      </c>
      <c r="DR327" s="310">
        <f>BX460</f>
        <v>0</v>
      </c>
      <c r="DS327" s="310">
        <f>BX484</f>
        <v>0</v>
      </c>
      <c r="DT327" s="310"/>
      <c r="DU327" s="310">
        <f t="shared" si="81"/>
        <v>6</v>
      </c>
      <c r="DV327" s="309" t="s">
        <v>2060</v>
      </c>
      <c r="DW327" s="310"/>
      <c r="DX327" s="708">
        <f>ROUNDUP(BX300*4500,0)</f>
        <v>43515</v>
      </c>
    </row>
    <row r="328" spans="1:128" s="63" customFormat="1" ht="18">
      <c r="A328" s="373"/>
      <c r="B328" s="819" t="s">
        <v>1551</v>
      </c>
      <c r="C328" s="459">
        <v>50</v>
      </c>
      <c r="D328" s="461"/>
      <c r="E328" s="461"/>
      <c r="F328" s="461"/>
      <c r="G328" s="357"/>
      <c r="H328" s="357"/>
      <c r="I328" s="375"/>
      <c r="J328" s="357"/>
      <c r="K328" s="357"/>
      <c r="L328" s="357"/>
      <c r="M328" s="357"/>
      <c r="N328" s="357"/>
      <c r="O328" s="357"/>
      <c r="P328" s="362"/>
      <c r="Q328" s="362"/>
      <c r="R328" s="362"/>
      <c r="S328" s="362"/>
      <c r="T328" s="360"/>
      <c r="U328" s="361">
        <f>ROUND((22.8*4.7)-(BQ300+(CS300*2)),0)</f>
        <v>95</v>
      </c>
      <c r="V328" s="361"/>
      <c r="W328" s="361"/>
      <c r="X328" s="357"/>
      <c r="Y328" s="357"/>
      <c r="Z328" s="357"/>
      <c r="AA328" s="357"/>
      <c r="AB328" s="357"/>
      <c r="AC328" s="357"/>
      <c r="AD328" s="357">
        <f>ROUND((28.4*4.7)-(BQ300+(CS300*2)),0)</f>
        <v>122</v>
      </c>
      <c r="AE328" s="357"/>
      <c r="AF328" s="357"/>
      <c r="AG328" s="357"/>
      <c r="AH328" s="357"/>
      <c r="AI328" s="357"/>
      <c r="AJ328" s="357"/>
      <c r="AK328" s="357"/>
      <c r="AL328" s="357"/>
      <c r="AM328" s="357"/>
      <c r="AN328" s="357"/>
      <c r="AO328" s="357"/>
      <c r="AP328" s="357"/>
      <c r="AQ328" s="357">
        <f>ROUND(BQ302+(CS302*2),0)</f>
        <v>10</v>
      </c>
      <c r="AR328" s="357"/>
      <c r="AS328" s="362"/>
      <c r="AT328" s="360">
        <f>ROUND(BQ301+(CS301*2),0)</f>
        <v>15</v>
      </c>
      <c r="AU328" s="374"/>
      <c r="AV328" s="357"/>
      <c r="AW328" s="357">
        <f t="shared" si="83"/>
        <v>50</v>
      </c>
      <c r="AX328" s="357"/>
      <c r="AY328" s="360"/>
      <c r="AZ328" s="363">
        <f t="shared" si="79"/>
        <v>122</v>
      </c>
      <c r="BA328" s="364">
        <f t="shared" si="80"/>
        <v>0</v>
      </c>
      <c r="BB328" s="395"/>
      <c r="BC328" s="365">
        <f t="shared" si="78"/>
        <v>50</v>
      </c>
      <c r="BD328" s="361"/>
      <c r="BE328" s="357"/>
      <c r="BF328" s="357"/>
      <c r="BG328" s="357"/>
      <c r="BH328" s="357"/>
      <c r="BI328" s="357"/>
      <c r="BJ328" s="357"/>
      <c r="BK328" s="357"/>
      <c r="BL328" s="357"/>
      <c r="BM328" s="357"/>
      <c r="BN328" s="357"/>
      <c r="BO328" s="357"/>
      <c r="BP328" s="357"/>
      <c r="BQ328" s="357">
        <v>1</v>
      </c>
      <c r="BR328" s="357"/>
      <c r="BS328" s="357"/>
      <c r="BT328" s="357"/>
      <c r="BU328" s="357"/>
      <c r="BV328" s="357"/>
      <c r="BW328" s="357"/>
      <c r="BX328" s="357"/>
      <c r="BY328" s="357"/>
      <c r="BZ328" s="357"/>
      <c r="CA328" s="357"/>
      <c r="CB328" s="357"/>
      <c r="CC328" s="357"/>
      <c r="CD328" s="357"/>
      <c r="CE328" s="357"/>
      <c r="CF328" s="357"/>
      <c r="CG328" s="357"/>
      <c r="CH328" s="357"/>
      <c r="CI328" s="362"/>
      <c r="CJ328" s="362"/>
      <c r="CK328" s="362"/>
      <c r="CL328" s="362"/>
      <c r="CM328" s="362"/>
      <c r="CN328" s="362"/>
      <c r="CO328" s="362"/>
      <c r="CP328" s="362"/>
      <c r="CQ328" s="362"/>
      <c r="CR328" s="362"/>
      <c r="CS328" s="362">
        <v>2</v>
      </c>
      <c r="CT328" s="362"/>
      <c r="CU328" s="362"/>
      <c r="CV328" s="362"/>
      <c r="CW328" s="362"/>
      <c r="CX328" s="362"/>
      <c r="CY328" s="362"/>
      <c r="CZ328" s="362"/>
      <c r="DA328" s="362"/>
      <c r="DB328" s="362"/>
      <c r="DC328" s="362"/>
      <c r="DD328" s="362"/>
      <c r="DE328" s="362"/>
      <c r="DF328" s="362"/>
      <c r="DG328" s="362"/>
      <c r="DH328" s="362"/>
      <c r="DI328" s="362"/>
      <c r="DJ328" s="362"/>
      <c r="DK328" s="362"/>
      <c r="DL328" s="362"/>
      <c r="DM328" s="362"/>
      <c r="DN328" s="362"/>
      <c r="DO328" s="360"/>
      <c r="DP328" s="310">
        <f>BY370</f>
        <v>0</v>
      </c>
      <c r="DQ328" s="310">
        <f>BY412</f>
        <v>10</v>
      </c>
      <c r="DR328" s="310">
        <f>BY460</f>
        <v>13</v>
      </c>
      <c r="DS328" s="310">
        <f>BY484</f>
        <v>0</v>
      </c>
      <c r="DT328" s="310"/>
      <c r="DU328" s="310">
        <f t="shared" si="81"/>
        <v>23</v>
      </c>
      <c r="DV328" s="309" t="s">
        <v>2061</v>
      </c>
      <c r="DW328" s="310"/>
      <c r="DX328" s="708">
        <f>ROUNDUP(BY300*4500,0)</f>
        <v>22005</v>
      </c>
    </row>
    <row r="329" spans="1:128" s="63" customFormat="1" ht="18">
      <c r="A329" s="376"/>
      <c r="B329" s="819" t="s">
        <v>1552</v>
      </c>
      <c r="C329" s="459">
        <v>50</v>
      </c>
      <c r="D329" s="461"/>
      <c r="E329" s="461"/>
      <c r="F329" s="461"/>
      <c r="G329" s="357"/>
      <c r="H329" s="357"/>
      <c r="I329" s="357"/>
      <c r="J329" s="357"/>
      <c r="K329" s="357"/>
      <c r="L329" s="357"/>
      <c r="M329" s="357"/>
      <c r="N329" s="357"/>
      <c r="O329" s="357"/>
      <c r="P329" s="362"/>
      <c r="Q329" s="362"/>
      <c r="R329" s="362"/>
      <c r="S329" s="362"/>
      <c r="T329" s="360"/>
      <c r="U329" s="361">
        <f>ROUND((27.7*4.7)-BQ300,0)</f>
        <v>121</v>
      </c>
      <c r="V329" s="361"/>
      <c r="W329" s="361"/>
      <c r="X329" s="357"/>
      <c r="Y329" s="357"/>
      <c r="Z329" s="357"/>
      <c r="AA329" s="357"/>
      <c r="AB329" s="357"/>
      <c r="AC329" s="357"/>
      <c r="AD329" s="357">
        <f>ROUND((27.7*4.7)-BQ300,0)</f>
        <v>121</v>
      </c>
      <c r="AE329" s="357"/>
      <c r="AF329" s="357"/>
      <c r="AG329" s="357"/>
      <c r="AH329" s="357"/>
      <c r="AI329" s="357"/>
      <c r="AJ329" s="357"/>
      <c r="AK329" s="357"/>
      <c r="AL329" s="357"/>
      <c r="AM329" s="357"/>
      <c r="AN329" s="357"/>
      <c r="AO329" s="357"/>
      <c r="AP329" s="357"/>
      <c r="AQ329" s="357">
        <f>ROUND(BQ302,0)</f>
        <v>7</v>
      </c>
      <c r="AR329" s="357"/>
      <c r="AS329" s="362"/>
      <c r="AT329" s="360">
        <f>ROUND(BQ301,0)</f>
        <v>5</v>
      </c>
      <c r="AU329" s="374"/>
      <c r="AV329" s="357"/>
      <c r="AW329" s="357">
        <f>C329</f>
        <v>50</v>
      </c>
      <c r="AX329" s="357"/>
      <c r="AY329" s="360"/>
      <c r="AZ329" s="363">
        <f t="shared" si="79"/>
        <v>121</v>
      </c>
      <c r="BA329" s="364">
        <f t="shared" si="80"/>
        <v>0</v>
      </c>
      <c r="BB329" s="395"/>
      <c r="BC329" s="365">
        <f t="shared" si="78"/>
        <v>50</v>
      </c>
      <c r="BD329" s="361"/>
      <c r="BE329" s="357"/>
      <c r="BF329" s="357"/>
      <c r="BG329" s="357"/>
      <c r="BH329" s="357"/>
      <c r="BI329" s="357"/>
      <c r="BJ329" s="357"/>
      <c r="BK329" s="357"/>
      <c r="BL329" s="357"/>
      <c r="BM329" s="357"/>
      <c r="BN329" s="357"/>
      <c r="BO329" s="357"/>
      <c r="BP329" s="357"/>
      <c r="BQ329" s="357">
        <v>1</v>
      </c>
      <c r="BR329" s="357"/>
      <c r="BS329" s="357"/>
      <c r="BT329" s="357"/>
      <c r="BU329" s="357"/>
      <c r="BV329" s="357"/>
      <c r="BW329" s="357"/>
      <c r="BX329" s="357"/>
      <c r="BY329" s="357"/>
      <c r="BZ329" s="357"/>
      <c r="CA329" s="357"/>
      <c r="CB329" s="357"/>
      <c r="CC329" s="357"/>
      <c r="CD329" s="357"/>
      <c r="CE329" s="357"/>
      <c r="CF329" s="357"/>
      <c r="CG329" s="357"/>
      <c r="CH329" s="357"/>
      <c r="CI329" s="362"/>
      <c r="CJ329" s="362"/>
      <c r="CK329" s="362"/>
      <c r="CL329" s="362"/>
      <c r="CM329" s="362"/>
      <c r="CN329" s="362"/>
      <c r="CO329" s="362"/>
      <c r="CP329" s="362"/>
      <c r="CQ329" s="362"/>
      <c r="CR329" s="362"/>
      <c r="CS329" s="362"/>
      <c r="CT329" s="362"/>
      <c r="CU329" s="362"/>
      <c r="CV329" s="362"/>
      <c r="CW329" s="362"/>
      <c r="CX329" s="362"/>
      <c r="CY329" s="362"/>
      <c r="CZ329" s="362"/>
      <c r="DA329" s="362"/>
      <c r="DB329" s="362"/>
      <c r="DC329" s="362"/>
      <c r="DD329" s="362"/>
      <c r="DE329" s="362"/>
      <c r="DF329" s="362"/>
      <c r="DG329" s="362"/>
      <c r="DH329" s="362"/>
      <c r="DI329" s="362"/>
      <c r="DJ329" s="362"/>
      <c r="DK329" s="362"/>
      <c r="DL329" s="362"/>
      <c r="DM329" s="362"/>
      <c r="DN329" s="362"/>
      <c r="DO329" s="360"/>
      <c r="DP329" s="310">
        <f>BZ370</f>
        <v>0</v>
      </c>
      <c r="DQ329" s="310">
        <f>BZ412</f>
        <v>2</v>
      </c>
      <c r="DR329" s="310">
        <f>BZ460</f>
        <v>0</v>
      </c>
      <c r="DS329" s="310">
        <f>BZ484</f>
        <v>0</v>
      </c>
      <c r="DT329" s="310"/>
      <c r="DU329" s="310">
        <f t="shared" si="81"/>
        <v>2</v>
      </c>
      <c r="DV329" s="309" t="s">
        <v>2062</v>
      </c>
      <c r="DW329" s="310"/>
      <c r="DX329" s="708">
        <f>ROUNDUP(BZ300*4500,0)</f>
        <v>259875</v>
      </c>
    </row>
    <row r="330" spans="1:128" s="63" customFormat="1" ht="18">
      <c r="A330" s="376"/>
      <c r="B330" s="819" t="s">
        <v>1553</v>
      </c>
      <c r="C330" s="459">
        <v>50</v>
      </c>
      <c r="D330" s="461"/>
      <c r="E330" s="459"/>
      <c r="F330" s="461"/>
      <c r="G330" s="357"/>
      <c r="H330" s="357"/>
      <c r="I330" s="357"/>
      <c r="J330" s="357"/>
      <c r="K330" s="357"/>
      <c r="L330" s="357"/>
      <c r="M330" s="357"/>
      <c r="N330" s="357"/>
      <c r="O330" s="357"/>
      <c r="P330" s="362"/>
      <c r="Q330" s="362"/>
      <c r="R330" s="362"/>
      <c r="S330" s="362"/>
      <c r="T330" s="360"/>
      <c r="U330" s="361">
        <f>ROUND((22.1*4.7)-BQ300,0)</f>
        <v>95</v>
      </c>
      <c r="V330" s="361"/>
      <c r="W330" s="361"/>
      <c r="X330" s="357"/>
      <c r="Y330" s="357"/>
      <c r="Z330" s="357"/>
      <c r="AA330" s="357"/>
      <c r="AB330" s="357"/>
      <c r="AC330" s="357"/>
      <c r="AD330" s="357">
        <f>AD329</f>
        <v>121</v>
      </c>
      <c r="AE330" s="357"/>
      <c r="AF330" s="357"/>
      <c r="AG330" s="357"/>
      <c r="AH330" s="357"/>
      <c r="AI330" s="357"/>
      <c r="AJ330" s="357"/>
      <c r="AK330" s="357"/>
      <c r="AL330" s="357"/>
      <c r="AM330" s="357"/>
      <c r="AN330" s="357"/>
      <c r="AO330" s="357"/>
      <c r="AP330" s="357"/>
      <c r="AQ330" s="357">
        <f>ROUND(BQ302,0)</f>
        <v>7</v>
      </c>
      <c r="AR330" s="357"/>
      <c r="AS330" s="362"/>
      <c r="AT330" s="360">
        <f>ROUND(BQ301,0)</f>
        <v>5</v>
      </c>
      <c r="AU330" s="361"/>
      <c r="AV330" s="357"/>
      <c r="AW330" s="357">
        <f t="shared" si="83"/>
        <v>50</v>
      </c>
      <c r="AX330" s="357"/>
      <c r="AY330" s="360"/>
      <c r="AZ330" s="363">
        <f t="shared" si="79"/>
        <v>121</v>
      </c>
      <c r="BA330" s="364">
        <f t="shared" si="80"/>
        <v>0</v>
      </c>
      <c r="BB330" s="395"/>
      <c r="BC330" s="365">
        <f t="shared" si="78"/>
        <v>50</v>
      </c>
      <c r="BD330" s="361"/>
      <c r="BE330" s="357"/>
      <c r="BF330" s="357"/>
      <c r="BG330" s="357"/>
      <c r="BH330" s="357"/>
      <c r="BI330" s="357"/>
      <c r="BJ330" s="357"/>
      <c r="BK330" s="357"/>
      <c r="BL330" s="357"/>
      <c r="BM330" s="357"/>
      <c r="BN330" s="357"/>
      <c r="BO330" s="357"/>
      <c r="BP330" s="357"/>
      <c r="BQ330" s="357">
        <v>1</v>
      </c>
      <c r="BR330" s="357"/>
      <c r="BS330" s="357"/>
      <c r="BT330" s="357"/>
      <c r="BU330" s="357"/>
      <c r="BV330" s="357"/>
      <c r="BW330" s="357"/>
      <c r="BX330" s="357"/>
      <c r="BY330" s="357"/>
      <c r="BZ330" s="357"/>
      <c r="CA330" s="357"/>
      <c r="CB330" s="357"/>
      <c r="CC330" s="357"/>
      <c r="CD330" s="357"/>
      <c r="CE330" s="357"/>
      <c r="CF330" s="357"/>
      <c r="CG330" s="357"/>
      <c r="CH330" s="357"/>
      <c r="CI330" s="362"/>
      <c r="CJ330" s="362"/>
      <c r="CK330" s="362"/>
      <c r="CL330" s="362"/>
      <c r="CM330" s="362"/>
      <c r="CN330" s="362"/>
      <c r="CO330" s="362"/>
      <c r="CP330" s="362"/>
      <c r="CQ330" s="362"/>
      <c r="CR330" s="362"/>
      <c r="CS330" s="362"/>
      <c r="CT330" s="362"/>
      <c r="CU330" s="362"/>
      <c r="CV330" s="362"/>
      <c r="CW330" s="362"/>
      <c r="CX330" s="362"/>
      <c r="CY330" s="362"/>
      <c r="CZ330" s="362"/>
      <c r="DA330" s="362"/>
      <c r="DB330" s="362"/>
      <c r="DC330" s="362"/>
      <c r="DD330" s="362"/>
      <c r="DE330" s="362"/>
      <c r="DF330" s="362"/>
      <c r="DG330" s="362"/>
      <c r="DH330" s="362"/>
      <c r="DI330" s="362"/>
      <c r="DJ330" s="362"/>
      <c r="DK330" s="362"/>
      <c r="DL330" s="362"/>
      <c r="DM330" s="362"/>
      <c r="DN330" s="362"/>
      <c r="DO330" s="360"/>
      <c r="DP330" s="310">
        <f>CA370</f>
        <v>0</v>
      </c>
      <c r="DQ330" s="310">
        <f>CA412</f>
        <v>3</v>
      </c>
      <c r="DR330" s="310">
        <f>CA460</f>
        <v>6</v>
      </c>
      <c r="DS330" s="310">
        <f>CA484</f>
        <v>0</v>
      </c>
      <c r="DT330" s="310"/>
      <c r="DU330" s="310">
        <f t="shared" si="81"/>
        <v>9</v>
      </c>
      <c r="DV330" s="309" t="s">
        <v>2063</v>
      </c>
      <c r="DW330" s="310"/>
      <c r="DX330" s="708">
        <f>ROUNDUP(CA300*4500,0)</f>
        <v>7088</v>
      </c>
    </row>
    <row r="331" spans="1:128" s="63" customFormat="1" ht="18">
      <c r="A331" s="376"/>
      <c r="B331" s="819" t="s">
        <v>1554</v>
      </c>
      <c r="C331" s="459">
        <v>50</v>
      </c>
      <c r="D331" s="461"/>
      <c r="E331" s="459"/>
      <c r="F331" s="461"/>
      <c r="G331" s="357"/>
      <c r="H331" s="357"/>
      <c r="I331" s="357"/>
      <c r="J331" s="357"/>
      <c r="K331" s="357"/>
      <c r="L331" s="357"/>
      <c r="M331" s="357"/>
      <c r="N331" s="357"/>
      <c r="O331" s="357"/>
      <c r="P331" s="362"/>
      <c r="Q331" s="362"/>
      <c r="R331" s="362"/>
      <c r="S331" s="362"/>
      <c r="T331" s="360"/>
      <c r="U331" s="361">
        <f>U330</f>
        <v>95</v>
      </c>
      <c r="V331" s="361"/>
      <c r="W331" s="361"/>
      <c r="X331" s="357"/>
      <c r="Y331" s="357"/>
      <c r="Z331" s="357"/>
      <c r="AA331" s="357"/>
      <c r="AB331" s="357"/>
      <c r="AC331" s="357"/>
      <c r="AD331" s="357">
        <f>AD329</f>
        <v>121</v>
      </c>
      <c r="AE331" s="357"/>
      <c r="AF331" s="357"/>
      <c r="AG331" s="357"/>
      <c r="AH331" s="357"/>
      <c r="AI331" s="357"/>
      <c r="AJ331" s="357"/>
      <c r="AK331" s="357"/>
      <c r="AL331" s="357"/>
      <c r="AM331" s="357"/>
      <c r="AN331" s="357"/>
      <c r="AO331" s="357"/>
      <c r="AP331" s="357"/>
      <c r="AQ331" s="357">
        <f>AQ330</f>
        <v>7</v>
      </c>
      <c r="AR331" s="357"/>
      <c r="AS331" s="362"/>
      <c r="AT331" s="360">
        <f>AT330</f>
        <v>5</v>
      </c>
      <c r="AU331" s="361"/>
      <c r="AV331" s="357"/>
      <c r="AW331" s="357">
        <f t="shared" si="83"/>
        <v>50</v>
      </c>
      <c r="AX331" s="357"/>
      <c r="AY331" s="360"/>
      <c r="AZ331" s="363">
        <f t="shared" si="79"/>
        <v>121</v>
      </c>
      <c r="BA331" s="364">
        <f t="shared" si="80"/>
        <v>0</v>
      </c>
      <c r="BB331" s="395"/>
      <c r="BC331" s="365">
        <f t="shared" si="78"/>
        <v>50</v>
      </c>
      <c r="BD331" s="361"/>
      <c r="BE331" s="357"/>
      <c r="BF331" s="357"/>
      <c r="BG331" s="357"/>
      <c r="BH331" s="357"/>
      <c r="BI331" s="357"/>
      <c r="BJ331" s="357"/>
      <c r="BK331" s="357"/>
      <c r="BL331" s="357"/>
      <c r="BM331" s="357"/>
      <c r="BN331" s="357"/>
      <c r="BO331" s="357"/>
      <c r="BP331" s="357"/>
      <c r="BQ331" s="357">
        <v>1</v>
      </c>
      <c r="BR331" s="357"/>
      <c r="BS331" s="357"/>
      <c r="BT331" s="357"/>
      <c r="BU331" s="357"/>
      <c r="BV331" s="357"/>
      <c r="BW331" s="357"/>
      <c r="BX331" s="357"/>
      <c r="BY331" s="357"/>
      <c r="BZ331" s="357"/>
      <c r="CA331" s="357"/>
      <c r="CB331" s="357"/>
      <c r="CC331" s="357"/>
      <c r="CD331" s="357"/>
      <c r="CE331" s="357"/>
      <c r="CF331" s="357"/>
      <c r="CG331" s="357"/>
      <c r="CH331" s="357"/>
      <c r="CI331" s="362"/>
      <c r="CJ331" s="362"/>
      <c r="CK331" s="362"/>
      <c r="CL331" s="362"/>
      <c r="CM331" s="362"/>
      <c r="CN331" s="362"/>
      <c r="CO331" s="362"/>
      <c r="CP331" s="362"/>
      <c r="CQ331" s="362"/>
      <c r="CR331" s="362"/>
      <c r="CS331" s="362"/>
      <c r="CT331" s="362"/>
      <c r="CU331" s="362"/>
      <c r="CV331" s="362"/>
      <c r="CW331" s="362"/>
      <c r="CX331" s="362"/>
      <c r="CY331" s="362"/>
      <c r="CZ331" s="362"/>
      <c r="DA331" s="362"/>
      <c r="DB331" s="362"/>
      <c r="DC331" s="362"/>
      <c r="DD331" s="362"/>
      <c r="DE331" s="362"/>
      <c r="DF331" s="362"/>
      <c r="DG331" s="362"/>
      <c r="DH331" s="362"/>
      <c r="DI331" s="362"/>
      <c r="DJ331" s="362"/>
      <c r="DK331" s="362"/>
      <c r="DL331" s="362"/>
      <c r="DM331" s="362"/>
      <c r="DN331" s="362"/>
      <c r="DO331" s="360"/>
      <c r="DP331" s="310">
        <f>CB370</f>
        <v>0</v>
      </c>
      <c r="DQ331" s="310">
        <f>CB412</f>
        <v>0</v>
      </c>
      <c r="DR331" s="310">
        <f>CB460</f>
        <v>1</v>
      </c>
      <c r="DS331" s="310">
        <f>CB484</f>
        <v>0</v>
      </c>
      <c r="DT331" s="310"/>
      <c r="DU331" s="310">
        <f t="shared" si="81"/>
        <v>1</v>
      </c>
      <c r="DV331" s="309" t="s">
        <v>2064</v>
      </c>
      <c r="DW331" s="310"/>
      <c r="DX331" s="708">
        <f>ROUNDUP(CB300*4500,0)</f>
        <v>75375</v>
      </c>
    </row>
    <row r="332" spans="1:128" s="63" customFormat="1" ht="18">
      <c r="A332" s="376"/>
      <c r="B332" s="819" t="s">
        <v>1662</v>
      </c>
      <c r="C332" s="459"/>
      <c r="D332" s="459"/>
      <c r="E332" s="459">
        <v>24</v>
      </c>
      <c r="F332" s="461"/>
      <c r="G332" s="357"/>
      <c r="H332" s="357"/>
      <c r="I332" s="357"/>
      <c r="J332" s="357"/>
      <c r="K332" s="357"/>
      <c r="L332" s="357"/>
      <c r="M332" s="357"/>
      <c r="N332" s="357"/>
      <c r="O332" s="357"/>
      <c r="P332" s="362"/>
      <c r="Q332" s="362"/>
      <c r="R332" s="362"/>
      <c r="S332" s="362"/>
      <c r="T332" s="360">
        <f>SUM(C332:O332)</f>
        <v>24</v>
      </c>
      <c r="U332" s="361">
        <f>ROUND((21.8*4.7)-BR300,0)</f>
        <v>100</v>
      </c>
      <c r="V332" s="361"/>
      <c r="W332" s="361"/>
      <c r="X332" s="357"/>
      <c r="Y332" s="357"/>
      <c r="Z332" s="357"/>
      <c r="AA332" s="357"/>
      <c r="AB332" s="357"/>
      <c r="AC332" s="357"/>
      <c r="AD332" s="357">
        <f>ROUND((21.8*4.7)-BR300,0)</f>
        <v>100</v>
      </c>
      <c r="AE332" s="357"/>
      <c r="AF332" s="357"/>
      <c r="AG332" s="357">
        <f>AD332</f>
        <v>100</v>
      </c>
      <c r="AH332" s="357"/>
      <c r="AI332" s="357"/>
      <c r="AJ332" s="357"/>
      <c r="AK332" s="357"/>
      <c r="AL332" s="357"/>
      <c r="AM332" s="357"/>
      <c r="AN332" s="357"/>
      <c r="AO332" s="357"/>
      <c r="AP332" s="357"/>
      <c r="AQ332" s="357">
        <f>ROUND(5*4.7,0)</f>
        <v>24</v>
      </c>
      <c r="AR332" s="357"/>
      <c r="AS332" s="362"/>
      <c r="AT332" s="360">
        <f>ROUND(BR301,0)</f>
        <v>1</v>
      </c>
      <c r="AU332" s="361"/>
      <c r="AV332" s="357">
        <f>E332</f>
        <v>24</v>
      </c>
      <c r="AW332" s="357"/>
      <c r="AX332" s="357"/>
      <c r="AY332" s="360"/>
      <c r="AZ332" s="363">
        <f t="shared" si="79"/>
        <v>100</v>
      </c>
      <c r="BA332" s="364">
        <f t="shared" si="80"/>
        <v>0</v>
      </c>
      <c r="BB332" s="395"/>
      <c r="BC332" s="365">
        <f t="shared" si="78"/>
        <v>24</v>
      </c>
      <c r="BD332" s="361"/>
      <c r="BE332" s="357"/>
      <c r="BF332" s="357"/>
      <c r="BG332" s="357"/>
      <c r="BH332" s="357"/>
      <c r="BI332" s="357"/>
      <c r="BJ332" s="357"/>
      <c r="BK332" s="357"/>
      <c r="BL332" s="357"/>
      <c r="BM332" s="357"/>
      <c r="BN332" s="357"/>
      <c r="BO332" s="357"/>
      <c r="BP332" s="357"/>
      <c r="BQ332" s="357"/>
      <c r="BR332" s="357">
        <v>1</v>
      </c>
      <c r="BS332" s="357"/>
      <c r="BT332" s="357"/>
      <c r="BU332" s="357"/>
      <c r="BV332" s="357"/>
      <c r="BW332" s="357"/>
      <c r="BX332" s="357"/>
      <c r="BY332" s="357"/>
      <c r="BZ332" s="357"/>
      <c r="CA332" s="357"/>
      <c r="CB332" s="357"/>
      <c r="CC332" s="357"/>
      <c r="CD332" s="357"/>
      <c r="CE332" s="357"/>
      <c r="CF332" s="357"/>
      <c r="CG332" s="357"/>
      <c r="CH332" s="357"/>
      <c r="CI332" s="362"/>
      <c r="CJ332" s="362"/>
      <c r="CK332" s="362"/>
      <c r="CL332" s="362"/>
      <c r="CM332" s="362"/>
      <c r="CN332" s="362"/>
      <c r="CO332" s="362"/>
      <c r="CP332" s="362"/>
      <c r="CQ332" s="362"/>
      <c r="CR332" s="362"/>
      <c r="CS332" s="362"/>
      <c r="CT332" s="362"/>
      <c r="CU332" s="362"/>
      <c r="CV332" s="362"/>
      <c r="CW332" s="362"/>
      <c r="CX332" s="362"/>
      <c r="CY332" s="362"/>
      <c r="CZ332" s="362"/>
      <c r="DA332" s="362"/>
      <c r="DB332" s="362"/>
      <c r="DC332" s="362"/>
      <c r="DD332" s="362"/>
      <c r="DE332" s="362"/>
      <c r="DF332" s="362"/>
      <c r="DG332" s="362"/>
      <c r="DH332" s="362"/>
      <c r="DI332" s="362"/>
      <c r="DJ332" s="362"/>
      <c r="DK332" s="362"/>
      <c r="DL332" s="362"/>
      <c r="DM332" s="362"/>
      <c r="DN332" s="362"/>
      <c r="DO332" s="360"/>
      <c r="DP332" s="310">
        <f>CC370</f>
        <v>0</v>
      </c>
      <c r="DQ332" s="310">
        <f>CC412</f>
        <v>0</v>
      </c>
      <c r="DR332" s="310">
        <f>CC460</f>
        <v>7</v>
      </c>
      <c r="DS332" s="310">
        <f>CC484</f>
        <v>0</v>
      </c>
      <c r="DT332" s="310"/>
      <c r="DU332" s="310">
        <f t="shared" si="81"/>
        <v>7</v>
      </c>
      <c r="DV332" s="309" t="s">
        <v>2065</v>
      </c>
      <c r="DW332" s="310"/>
      <c r="DX332" s="708">
        <f>ROUNDUP(CC300*4500,0)</f>
        <v>20655</v>
      </c>
    </row>
    <row r="333" spans="1:128" s="63" customFormat="1" ht="18">
      <c r="A333" s="373"/>
      <c r="B333" s="819" t="s">
        <v>1560</v>
      </c>
      <c r="C333" s="459"/>
      <c r="D333" s="459"/>
      <c r="E333" s="459">
        <v>24</v>
      </c>
      <c r="F333" s="461"/>
      <c r="G333" s="357"/>
      <c r="H333" s="357"/>
      <c r="I333" s="357"/>
      <c r="J333" s="357"/>
      <c r="K333" s="357"/>
      <c r="L333" s="357"/>
      <c r="M333" s="357"/>
      <c r="N333" s="357"/>
      <c r="O333" s="357"/>
      <c r="P333" s="362"/>
      <c r="Q333" s="362"/>
      <c r="R333" s="362"/>
      <c r="S333" s="362"/>
      <c r="T333" s="360">
        <f>SUM(C333:O333)</f>
        <v>24</v>
      </c>
      <c r="U333" s="361">
        <f>ROUND((17.1*4.7)-BR300,0)</f>
        <v>78</v>
      </c>
      <c r="V333" s="361"/>
      <c r="W333" s="361"/>
      <c r="X333" s="357"/>
      <c r="Y333" s="357"/>
      <c r="Z333" s="357"/>
      <c r="AA333" s="357"/>
      <c r="AB333" s="357"/>
      <c r="AC333" s="357"/>
      <c r="AD333" s="357">
        <f>AD332</f>
        <v>100</v>
      </c>
      <c r="AE333" s="357"/>
      <c r="AF333" s="357"/>
      <c r="AG333" s="357">
        <f>AD333</f>
        <v>100</v>
      </c>
      <c r="AH333" s="357"/>
      <c r="AI333" s="357"/>
      <c r="AJ333" s="357"/>
      <c r="AK333" s="357"/>
      <c r="AL333" s="357"/>
      <c r="AM333" s="357"/>
      <c r="AN333" s="357"/>
      <c r="AO333" s="357"/>
      <c r="AP333" s="357"/>
      <c r="AQ333" s="357">
        <f>AQ332</f>
        <v>24</v>
      </c>
      <c r="AR333" s="357"/>
      <c r="AS333" s="362"/>
      <c r="AT333" s="360">
        <f>AT332</f>
        <v>1</v>
      </c>
      <c r="AU333" s="361"/>
      <c r="AV333" s="357">
        <f>E333</f>
        <v>24</v>
      </c>
      <c r="AW333" s="357"/>
      <c r="AX333" s="357"/>
      <c r="AY333" s="360"/>
      <c r="AZ333" s="363">
        <f t="shared" si="79"/>
        <v>100</v>
      </c>
      <c r="BA333" s="364">
        <f t="shared" si="80"/>
        <v>0</v>
      </c>
      <c r="BB333" s="395"/>
      <c r="BC333" s="365">
        <f t="shared" si="78"/>
        <v>24</v>
      </c>
      <c r="BD333" s="361"/>
      <c r="BE333" s="357"/>
      <c r="BF333" s="357"/>
      <c r="BG333" s="357"/>
      <c r="BH333" s="357"/>
      <c r="BI333" s="357"/>
      <c r="BJ333" s="357"/>
      <c r="BK333" s="357"/>
      <c r="BL333" s="357"/>
      <c r="BM333" s="357"/>
      <c r="BN333" s="357"/>
      <c r="BO333" s="357"/>
      <c r="BP333" s="357"/>
      <c r="BQ333" s="357"/>
      <c r="BR333" s="357">
        <v>1</v>
      </c>
      <c r="BS333" s="357"/>
      <c r="BT333" s="357"/>
      <c r="BU333" s="357"/>
      <c r="BV333" s="357"/>
      <c r="BW333" s="357"/>
      <c r="BX333" s="357"/>
      <c r="BY333" s="357"/>
      <c r="BZ333" s="357"/>
      <c r="CA333" s="357"/>
      <c r="CB333" s="357"/>
      <c r="CC333" s="357"/>
      <c r="CD333" s="357"/>
      <c r="CE333" s="357"/>
      <c r="CF333" s="357"/>
      <c r="CG333" s="357"/>
      <c r="CH333" s="357"/>
      <c r="CI333" s="362"/>
      <c r="CJ333" s="362"/>
      <c r="CK333" s="362"/>
      <c r="CL333" s="362"/>
      <c r="CM333" s="362"/>
      <c r="CN333" s="362"/>
      <c r="CO333" s="362"/>
      <c r="CP333" s="362"/>
      <c r="CQ333" s="362"/>
      <c r="CR333" s="362"/>
      <c r="CS333" s="362"/>
      <c r="CT333" s="362"/>
      <c r="CU333" s="362"/>
      <c r="CV333" s="362"/>
      <c r="CW333" s="362"/>
      <c r="CX333" s="362"/>
      <c r="CY333" s="362"/>
      <c r="CZ333" s="362"/>
      <c r="DA333" s="362"/>
      <c r="DB333" s="362"/>
      <c r="DC333" s="362"/>
      <c r="DD333" s="362"/>
      <c r="DE333" s="362"/>
      <c r="DF333" s="362"/>
      <c r="DG333" s="362"/>
      <c r="DH333" s="362"/>
      <c r="DI333" s="362"/>
      <c r="DJ333" s="362"/>
      <c r="DK333" s="362"/>
      <c r="DL333" s="362"/>
      <c r="DM333" s="362"/>
      <c r="DN333" s="362"/>
      <c r="DO333" s="360"/>
      <c r="DP333" s="310">
        <f>CD370</f>
        <v>1</v>
      </c>
      <c r="DQ333" s="310">
        <f>CD412</f>
        <v>0</v>
      </c>
      <c r="DR333" s="310">
        <f>CD460</f>
        <v>0</v>
      </c>
      <c r="DS333" s="310">
        <f>CD484</f>
        <v>0</v>
      </c>
      <c r="DT333" s="310"/>
      <c r="DU333" s="310">
        <f t="shared" si="81"/>
        <v>1</v>
      </c>
      <c r="DV333" s="309" t="s">
        <v>2066</v>
      </c>
      <c r="DW333" s="310"/>
      <c r="DX333" s="708">
        <f>ROUNDUP(CD300*4500,0)</f>
        <v>60750</v>
      </c>
    </row>
    <row r="334" spans="1:128" s="63" customFormat="1" ht="18">
      <c r="A334" s="373"/>
      <c r="B334" s="819" t="s">
        <v>1555</v>
      </c>
      <c r="C334" s="459"/>
      <c r="D334" s="459"/>
      <c r="E334" s="461">
        <v>16</v>
      </c>
      <c r="F334" s="461"/>
      <c r="G334" s="357"/>
      <c r="H334" s="357"/>
      <c r="I334" s="357"/>
      <c r="J334" s="357"/>
      <c r="K334" s="357"/>
      <c r="L334" s="357"/>
      <c r="M334" s="357"/>
      <c r="N334" s="357"/>
      <c r="O334" s="357"/>
      <c r="P334" s="362"/>
      <c r="Q334" s="362"/>
      <c r="R334" s="362"/>
      <c r="S334" s="362"/>
      <c r="T334" s="360">
        <f>SUM(C334:O334)</f>
        <v>16</v>
      </c>
      <c r="U334" s="361">
        <f>ROUND(5.6*5.4,0)</f>
        <v>30</v>
      </c>
      <c r="V334" s="361"/>
      <c r="W334" s="361"/>
      <c r="X334" s="357"/>
      <c r="Y334" s="357"/>
      <c r="Z334" s="357"/>
      <c r="AA334" s="357"/>
      <c r="AB334" s="357"/>
      <c r="AC334" s="357"/>
      <c r="AD334" s="357">
        <f>ROUND((17.2*5.45)-CR300,0)</f>
        <v>89</v>
      </c>
      <c r="AE334" s="357"/>
      <c r="AF334" s="357"/>
      <c r="AG334" s="357">
        <f>AD334</f>
        <v>89</v>
      </c>
      <c r="AH334" s="357"/>
      <c r="AI334" s="357"/>
      <c r="AJ334" s="357"/>
      <c r="AK334" s="357"/>
      <c r="AL334" s="357"/>
      <c r="AM334" s="357"/>
      <c r="AN334" s="357"/>
      <c r="AO334" s="357"/>
      <c r="AP334" s="357"/>
      <c r="AQ334" s="357"/>
      <c r="AR334" s="357"/>
      <c r="AS334" s="362"/>
      <c r="AT334" s="360"/>
      <c r="AU334" s="361"/>
      <c r="AV334" s="357">
        <f>E334</f>
        <v>16</v>
      </c>
      <c r="AW334" s="357"/>
      <c r="AX334" s="357"/>
      <c r="AY334" s="360"/>
      <c r="AZ334" s="363">
        <f t="shared" si="79"/>
        <v>89</v>
      </c>
      <c r="BA334" s="364">
        <f t="shared" si="80"/>
        <v>0</v>
      </c>
      <c r="BB334" s="395"/>
      <c r="BC334" s="365">
        <f t="shared" si="78"/>
        <v>16</v>
      </c>
      <c r="BD334" s="361"/>
      <c r="BE334" s="357"/>
      <c r="BF334" s="357"/>
      <c r="BG334" s="357"/>
      <c r="BH334" s="357"/>
      <c r="BI334" s="357"/>
      <c r="BJ334" s="357"/>
      <c r="BK334" s="357"/>
      <c r="BL334" s="357"/>
      <c r="BM334" s="357"/>
      <c r="BN334" s="357"/>
      <c r="BO334" s="357"/>
      <c r="BP334" s="357"/>
      <c r="BQ334" s="357"/>
      <c r="BR334" s="357"/>
      <c r="BS334" s="357"/>
      <c r="BT334" s="357"/>
      <c r="BU334" s="357"/>
      <c r="BV334" s="357"/>
      <c r="BW334" s="357"/>
      <c r="BX334" s="357"/>
      <c r="BY334" s="357"/>
      <c r="BZ334" s="357"/>
      <c r="CA334" s="357"/>
      <c r="CB334" s="357"/>
      <c r="CC334" s="357"/>
      <c r="CD334" s="357"/>
      <c r="CE334" s="357"/>
      <c r="CF334" s="357"/>
      <c r="CG334" s="357"/>
      <c r="CH334" s="357"/>
      <c r="CI334" s="362"/>
      <c r="CJ334" s="362"/>
      <c r="CK334" s="362"/>
      <c r="CL334" s="362"/>
      <c r="CM334" s="362"/>
      <c r="CN334" s="362"/>
      <c r="CO334" s="362"/>
      <c r="CP334" s="362"/>
      <c r="CQ334" s="362"/>
      <c r="CR334" s="362">
        <v>1</v>
      </c>
      <c r="CS334" s="362"/>
      <c r="CT334" s="362"/>
      <c r="CU334" s="362"/>
      <c r="CV334" s="362"/>
      <c r="CW334" s="362"/>
      <c r="CX334" s="362"/>
      <c r="CY334" s="362"/>
      <c r="CZ334" s="362"/>
      <c r="DA334" s="362"/>
      <c r="DB334" s="362"/>
      <c r="DC334" s="362"/>
      <c r="DD334" s="362"/>
      <c r="DE334" s="362"/>
      <c r="DF334" s="362"/>
      <c r="DG334" s="362"/>
      <c r="DH334" s="362"/>
      <c r="DI334" s="362"/>
      <c r="DJ334" s="362"/>
      <c r="DK334" s="362"/>
      <c r="DL334" s="362"/>
      <c r="DM334" s="362"/>
      <c r="DN334" s="362"/>
      <c r="DO334" s="360"/>
      <c r="DP334" s="310"/>
      <c r="DQ334" s="310"/>
      <c r="DR334" s="310"/>
      <c r="DS334" s="310"/>
      <c r="DT334" s="310"/>
      <c r="DU334" s="310">
        <f t="shared" si="81"/>
        <v>0</v>
      </c>
      <c r="DV334" s="309"/>
      <c r="DW334" s="310"/>
      <c r="DX334" s="372"/>
    </row>
    <row r="335" spans="1:128" s="63" customFormat="1" ht="18">
      <c r="A335" s="373"/>
      <c r="B335" s="819" t="s">
        <v>1556</v>
      </c>
      <c r="C335" s="459"/>
      <c r="D335" s="461"/>
      <c r="E335" s="461">
        <v>16</v>
      </c>
      <c r="F335" s="461"/>
      <c r="G335" s="357"/>
      <c r="H335" s="357"/>
      <c r="I335" s="357"/>
      <c r="J335" s="357"/>
      <c r="K335" s="357"/>
      <c r="L335" s="357"/>
      <c r="M335" s="357"/>
      <c r="N335" s="357"/>
      <c r="O335" s="357"/>
      <c r="P335" s="362"/>
      <c r="Q335" s="362"/>
      <c r="R335" s="362"/>
      <c r="S335" s="362"/>
      <c r="T335" s="360">
        <f>SUM(C335:O335)</f>
        <v>16</v>
      </c>
      <c r="U335" s="361">
        <f>U334</f>
        <v>30</v>
      </c>
      <c r="V335" s="361"/>
      <c r="W335" s="361"/>
      <c r="X335" s="357"/>
      <c r="Y335" s="357"/>
      <c r="Z335" s="357"/>
      <c r="AA335" s="357"/>
      <c r="AB335" s="357"/>
      <c r="AC335" s="357"/>
      <c r="AD335" s="357">
        <f>AD334</f>
        <v>89</v>
      </c>
      <c r="AE335" s="357"/>
      <c r="AF335" s="357"/>
      <c r="AG335" s="357">
        <f>AD335</f>
        <v>89</v>
      </c>
      <c r="AH335" s="357"/>
      <c r="AI335" s="357"/>
      <c r="AJ335" s="357"/>
      <c r="AK335" s="357"/>
      <c r="AL335" s="357"/>
      <c r="AM335" s="357"/>
      <c r="AN335" s="357"/>
      <c r="AO335" s="357"/>
      <c r="AP335" s="357"/>
      <c r="AQ335" s="357"/>
      <c r="AR335" s="357"/>
      <c r="AS335" s="362"/>
      <c r="AT335" s="360"/>
      <c r="AU335" s="361"/>
      <c r="AV335" s="357">
        <f>E335</f>
        <v>16</v>
      </c>
      <c r="AW335" s="357"/>
      <c r="AX335" s="357"/>
      <c r="AY335" s="360"/>
      <c r="AZ335" s="363">
        <f t="shared" si="79"/>
        <v>89</v>
      </c>
      <c r="BA335" s="364">
        <f t="shared" si="80"/>
        <v>0</v>
      </c>
      <c r="BB335" s="395"/>
      <c r="BC335" s="365">
        <f t="shared" si="78"/>
        <v>16</v>
      </c>
      <c r="BD335" s="361"/>
      <c r="BE335" s="357"/>
      <c r="BF335" s="357"/>
      <c r="BG335" s="357"/>
      <c r="BH335" s="357"/>
      <c r="BI335" s="357"/>
      <c r="BJ335" s="357"/>
      <c r="BK335" s="357"/>
      <c r="BL335" s="357"/>
      <c r="BM335" s="357"/>
      <c r="BN335" s="357"/>
      <c r="BO335" s="357"/>
      <c r="BP335" s="357"/>
      <c r="BQ335" s="357"/>
      <c r="BR335" s="357"/>
      <c r="BS335" s="357"/>
      <c r="BT335" s="357"/>
      <c r="BU335" s="357"/>
      <c r="BV335" s="357"/>
      <c r="BW335" s="357"/>
      <c r="BX335" s="357"/>
      <c r="BY335" s="357"/>
      <c r="BZ335" s="357"/>
      <c r="CA335" s="357"/>
      <c r="CB335" s="357"/>
      <c r="CC335" s="357"/>
      <c r="CD335" s="357"/>
      <c r="CE335" s="357"/>
      <c r="CF335" s="357"/>
      <c r="CG335" s="357"/>
      <c r="CH335" s="357"/>
      <c r="CI335" s="362"/>
      <c r="CJ335" s="362"/>
      <c r="CK335" s="362"/>
      <c r="CL335" s="362"/>
      <c r="CM335" s="362"/>
      <c r="CN335" s="362"/>
      <c r="CO335" s="362"/>
      <c r="CP335" s="362"/>
      <c r="CQ335" s="362"/>
      <c r="CR335" s="362">
        <v>1</v>
      </c>
      <c r="CS335" s="362"/>
      <c r="CT335" s="362"/>
      <c r="CU335" s="362"/>
      <c r="CV335" s="362"/>
      <c r="CW335" s="362"/>
      <c r="CX335" s="362"/>
      <c r="CY335" s="362"/>
      <c r="CZ335" s="362"/>
      <c r="DA335" s="362"/>
      <c r="DB335" s="362"/>
      <c r="DC335" s="362"/>
      <c r="DD335" s="362"/>
      <c r="DE335" s="362"/>
      <c r="DF335" s="362"/>
      <c r="DG335" s="362"/>
      <c r="DH335" s="362"/>
      <c r="DI335" s="362"/>
      <c r="DJ335" s="362"/>
      <c r="DK335" s="362"/>
      <c r="DL335" s="362"/>
      <c r="DM335" s="362"/>
      <c r="DN335" s="362"/>
      <c r="DO335" s="360"/>
      <c r="DP335" s="310"/>
      <c r="DQ335" s="310"/>
      <c r="DR335" s="310"/>
      <c r="DS335" s="310"/>
      <c r="DT335" s="310"/>
      <c r="DU335" s="310">
        <f t="shared" si="81"/>
        <v>0</v>
      </c>
      <c r="DV335" s="309"/>
      <c r="DW335" s="310"/>
      <c r="DX335" s="372"/>
    </row>
    <row r="336" spans="1:128" s="63" customFormat="1" ht="18">
      <c r="A336" s="706"/>
      <c r="B336" s="819" t="s">
        <v>1561</v>
      </c>
      <c r="C336" s="459"/>
      <c r="D336" s="461">
        <v>95</v>
      </c>
      <c r="E336" s="461"/>
      <c r="F336" s="461"/>
      <c r="G336" s="357"/>
      <c r="H336" s="357"/>
      <c r="I336" s="357"/>
      <c r="J336" s="357"/>
      <c r="K336" s="357"/>
      <c r="L336" s="357"/>
      <c r="M336" s="357"/>
      <c r="N336" s="357"/>
      <c r="O336" s="357"/>
      <c r="P336" s="362"/>
      <c r="Q336" s="362"/>
      <c r="R336" s="362"/>
      <c r="S336" s="362"/>
      <c r="T336" s="360"/>
      <c r="U336" s="453">
        <f>ROUND((11.2*9.15)-(BF300+CE300),0)</f>
        <v>78</v>
      </c>
      <c r="V336" s="453">
        <f>ROUND(33.2*9.15,0)</f>
        <v>304</v>
      </c>
      <c r="W336" s="453"/>
      <c r="X336" s="357"/>
      <c r="Y336" s="357"/>
      <c r="Z336" s="357"/>
      <c r="AA336" s="357"/>
      <c r="AB336" s="357"/>
      <c r="AC336" s="357"/>
      <c r="AD336" s="357">
        <f>ROUND((44.4*9.1)-(BF300+CE300),0)</f>
        <v>379</v>
      </c>
      <c r="AE336" s="357"/>
      <c r="AF336" s="357"/>
      <c r="AG336" s="357"/>
      <c r="AH336" s="357"/>
      <c r="AI336" s="357"/>
      <c r="AJ336" s="357"/>
      <c r="AK336" s="357"/>
      <c r="AL336" s="357"/>
      <c r="AM336" s="357"/>
      <c r="AN336" s="357"/>
      <c r="AO336" s="357"/>
      <c r="AP336" s="357"/>
      <c r="AQ336" s="357">
        <f>ROUND(BF302+CE302,0)</f>
        <v>14</v>
      </c>
      <c r="AR336" s="357">
        <v>9.15</v>
      </c>
      <c r="AS336" s="362"/>
      <c r="AT336" s="360">
        <f>ROUND(BF301+CE301,0)</f>
        <v>16</v>
      </c>
      <c r="AU336" s="453"/>
      <c r="AV336" s="357"/>
      <c r="AW336" s="357"/>
      <c r="AX336" s="357"/>
      <c r="AY336" s="360"/>
      <c r="AZ336" s="363">
        <f t="shared" si="79"/>
        <v>379</v>
      </c>
      <c r="BA336" s="364">
        <f t="shared" si="80"/>
        <v>0</v>
      </c>
      <c r="BB336" s="395"/>
      <c r="BC336" s="365">
        <f t="shared" si="78"/>
        <v>0</v>
      </c>
      <c r="BD336" s="453"/>
      <c r="BE336" s="357"/>
      <c r="BF336" s="357">
        <v>1</v>
      </c>
      <c r="BG336" s="357"/>
      <c r="BH336" s="357"/>
      <c r="BI336" s="357"/>
      <c r="BJ336" s="357"/>
      <c r="BK336" s="357"/>
      <c r="BL336" s="357"/>
      <c r="BM336" s="357"/>
      <c r="BN336" s="357"/>
      <c r="BO336" s="357"/>
      <c r="BP336" s="357"/>
      <c r="BQ336" s="357"/>
      <c r="BR336" s="357"/>
      <c r="BS336" s="357"/>
      <c r="BT336" s="357"/>
      <c r="BU336" s="357"/>
      <c r="BV336" s="357"/>
      <c r="BW336" s="357"/>
      <c r="BX336" s="357"/>
      <c r="BY336" s="357"/>
      <c r="BZ336" s="357"/>
      <c r="CA336" s="357"/>
      <c r="CB336" s="357"/>
      <c r="CC336" s="357"/>
      <c r="CD336" s="357"/>
      <c r="CE336" s="357">
        <v>1</v>
      </c>
      <c r="CF336" s="357"/>
      <c r="CG336" s="357"/>
      <c r="CH336" s="357">
        <v>1</v>
      </c>
      <c r="CI336" s="362"/>
      <c r="CJ336" s="362"/>
      <c r="CK336" s="362"/>
      <c r="CL336" s="362"/>
      <c r="CM336" s="362"/>
      <c r="CN336" s="362"/>
      <c r="CO336" s="362"/>
      <c r="CP336" s="362"/>
      <c r="CQ336" s="362"/>
      <c r="CR336" s="362"/>
      <c r="CS336" s="362"/>
      <c r="CT336" s="362"/>
      <c r="CU336" s="362"/>
      <c r="CV336" s="362"/>
      <c r="CW336" s="362"/>
      <c r="CX336" s="362"/>
      <c r="CY336" s="362"/>
      <c r="CZ336" s="362"/>
      <c r="DA336" s="362"/>
      <c r="DB336" s="362"/>
      <c r="DC336" s="362"/>
      <c r="DD336" s="362"/>
      <c r="DE336" s="362"/>
      <c r="DF336" s="362"/>
      <c r="DG336" s="362"/>
      <c r="DH336" s="362"/>
      <c r="DI336" s="362"/>
      <c r="DJ336" s="362"/>
      <c r="DK336" s="362"/>
      <c r="DL336" s="362"/>
      <c r="DM336" s="362"/>
      <c r="DN336" s="362"/>
      <c r="DO336" s="360"/>
      <c r="DP336" s="310"/>
      <c r="DQ336" s="310"/>
      <c r="DR336" s="310"/>
      <c r="DS336" s="310"/>
      <c r="DT336" s="310"/>
      <c r="DU336" s="310"/>
      <c r="DV336" s="309"/>
      <c r="DW336" s="310"/>
      <c r="DX336" s="372"/>
    </row>
    <row r="337" spans="1:128" s="63" customFormat="1" ht="18">
      <c r="A337" s="657"/>
      <c r="B337" s="819" t="s">
        <v>1562</v>
      </c>
      <c r="C337" s="459"/>
      <c r="D337" s="461">
        <v>95</v>
      </c>
      <c r="E337" s="461"/>
      <c r="F337" s="461"/>
      <c r="G337" s="357"/>
      <c r="H337" s="357"/>
      <c r="I337" s="357"/>
      <c r="J337" s="357"/>
      <c r="K337" s="357"/>
      <c r="L337" s="357"/>
      <c r="M337" s="357"/>
      <c r="N337" s="357"/>
      <c r="O337" s="357"/>
      <c r="P337" s="362"/>
      <c r="Q337" s="362"/>
      <c r="R337" s="362"/>
      <c r="S337" s="362"/>
      <c r="T337" s="360"/>
      <c r="U337" s="659">
        <f>U336</f>
        <v>78</v>
      </c>
      <c r="V337" s="659">
        <f>ROUND(14.4*9.15,0)</f>
        <v>132</v>
      </c>
      <c r="W337" s="659"/>
      <c r="X337" s="357"/>
      <c r="Y337" s="357"/>
      <c r="Z337" s="357"/>
      <c r="AA337" s="357"/>
      <c r="AB337" s="357"/>
      <c r="AC337" s="357"/>
      <c r="AD337" s="357">
        <f>AD336</f>
        <v>379</v>
      </c>
      <c r="AE337" s="357"/>
      <c r="AF337" s="357"/>
      <c r="AG337" s="357"/>
      <c r="AH337" s="357"/>
      <c r="AI337" s="357"/>
      <c r="AJ337" s="357"/>
      <c r="AK337" s="357"/>
      <c r="AL337" s="357"/>
      <c r="AM337" s="357"/>
      <c r="AN337" s="357"/>
      <c r="AO337" s="357"/>
      <c r="AP337" s="357"/>
      <c r="AQ337" s="659">
        <f>AQ336</f>
        <v>14</v>
      </c>
      <c r="AR337" s="357"/>
      <c r="AS337" s="362"/>
      <c r="AT337" s="828">
        <f>AT336</f>
        <v>16</v>
      </c>
      <c r="AU337" s="659"/>
      <c r="AV337" s="357"/>
      <c r="AW337" s="357"/>
      <c r="AX337" s="357"/>
      <c r="AY337" s="360"/>
      <c r="AZ337" s="363">
        <f t="shared" si="79"/>
        <v>379</v>
      </c>
      <c r="BA337" s="364">
        <f t="shared" si="80"/>
        <v>0</v>
      </c>
      <c r="BB337" s="395"/>
      <c r="BC337" s="365">
        <f t="shared" si="78"/>
        <v>0</v>
      </c>
      <c r="BD337" s="659"/>
      <c r="BE337" s="357"/>
      <c r="BF337" s="357">
        <v>1</v>
      </c>
      <c r="BG337" s="357"/>
      <c r="BH337" s="357"/>
      <c r="BI337" s="357"/>
      <c r="BJ337" s="357"/>
      <c r="BK337" s="357"/>
      <c r="BL337" s="357"/>
      <c r="BM337" s="357"/>
      <c r="BN337" s="357"/>
      <c r="BO337" s="357"/>
      <c r="BP337" s="357"/>
      <c r="BQ337" s="357"/>
      <c r="BR337" s="357"/>
      <c r="BS337" s="357"/>
      <c r="BT337" s="357"/>
      <c r="BU337" s="357"/>
      <c r="BV337" s="357"/>
      <c r="BW337" s="357"/>
      <c r="BX337" s="357"/>
      <c r="BY337" s="357"/>
      <c r="BZ337" s="357"/>
      <c r="CA337" s="357"/>
      <c r="CB337" s="357"/>
      <c r="CC337" s="357"/>
      <c r="CD337" s="357"/>
      <c r="CE337" s="357">
        <v>1</v>
      </c>
      <c r="CF337" s="357"/>
      <c r="CG337" s="357"/>
      <c r="CH337" s="357">
        <v>1</v>
      </c>
      <c r="CI337" s="362"/>
      <c r="CJ337" s="362"/>
      <c r="CK337" s="362"/>
      <c r="CL337" s="362"/>
      <c r="CM337" s="362"/>
      <c r="CN337" s="362"/>
      <c r="CO337" s="362"/>
      <c r="CP337" s="362"/>
      <c r="CQ337" s="362"/>
      <c r="CR337" s="362"/>
      <c r="CS337" s="362"/>
      <c r="CT337" s="362"/>
      <c r="CU337" s="362"/>
      <c r="CV337" s="362"/>
      <c r="CW337" s="362"/>
      <c r="CX337" s="362"/>
      <c r="CY337" s="362"/>
      <c r="CZ337" s="362"/>
      <c r="DA337" s="362"/>
      <c r="DB337" s="362"/>
      <c r="DC337" s="362"/>
      <c r="DD337" s="362"/>
      <c r="DE337" s="362"/>
      <c r="DF337" s="362"/>
      <c r="DG337" s="362"/>
      <c r="DH337" s="362"/>
      <c r="DI337" s="362"/>
      <c r="DJ337" s="362"/>
      <c r="DK337" s="362"/>
      <c r="DL337" s="362"/>
      <c r="DM337" s="362"/>
      <c r="DN337" s="362"/>
      <c r="DO337" s="360"/>
      <c r="DP337" s="310"/>
      <c r="DQ337" s="310"/>
      <c r="DR337" s="310"/>
      <c r="DS337" s="310"/>
      <c r="DT337" s="310"/>
      <c r="DU337" s="310"/>
      <c r="DV337" s="309"/>
      <c r="DW337" s="310"/>
      <c r="DX337" s="372"/>
    </row>
    <row r="338" spans="1:128" s="63" customFormat="1" ht="18">
      <c r="A338" s="657"/>
      <c r="B338" s="819" t="s">
        <v>1563</v>
      </c>
      <c r="C338" s="459"/>
      <c r="D338" s="461">
        <v>95</v>
      </c>
      <c r="E338" s="461"/>
      <c r="F338" s="461"/>
      <c r="G338" s="357"/>
      <c r="H338" s="357"/>
      <c r="I338" s="357"/>
      <c r="J338" s="357"/>
      <c r="K338" s="357"/>
      <c r="L338" s="357"/>
      <c r="M338" s="357"/>
      <c r="N338" s="357"/>
      <c r="O338" s="357"/>
      <c r="P338" s="362"/>
      <c r="Q338" s="362"/>
      <c r="R338" s="362"/>
      <c r="S338" s="362"/>
      <c r="T338" s="360"/>
      <c r="U338" s="659">
        <f>U336</f>
        <v>78</v>
      </c>
      <c r="V338" s="659"/>
      <c r="W338" s="659"/>
      <c r="X338" s="357"/>
      <c r="Y338" s="357"/>
      <c r="Z338" s="357"/>
      <c r="AA338" s="357"/>
      <c r="AB338" s="357"/>
      <c r="AC338" s="357"/>
      <c r="AD338" s="357">
        <f>AD336</f>
        <v>379</v>
      </c>
      <c r="AE338" s="357"/>
      <c r="AF338" s="357"/>
      <c r="AG338" s="357"/>
      <c r="AH338" s="357"/>
      <c r="AI338" s="357"/>
      <c r="AJ338" s="357"/>
      <c r="AK338" s="357"/>
      <c r="AL338" s="357"/>
      <c r="AM338" s="357"/>
      <c r="AN338" s="357"/>
      <c r="AO338" s="357"/>
      <c r="AP338" s="357"/>
      <c r="AQ338" s="659">
        <f>AQ336</f>
        <v>14</v>
      </c>
      <c r="AR338" s="357"/>
      <c r="AS338" s="362"/>
      <c r="AT338" s="828">
        <f>AT336</f>
        <v>16</v>
      </c>
      <c r="AU338" s="659"/>
      <c r="AV338" s="357"/>
      <c r="AW338" s="357"/>
      <c r="AX338" s="357"/>
      <c r="AY338" s="360"/>
      <c r="AZ338" s="363">
        <f t="shared" si="79"/>
        <v>379</v>
      </c>
      <c r="BA338" s="364">
        <f t="shared" si="80"/>
        <v>0</v>
      </c>
      <c r="BB338" s="395"/>
      <c r="BC338" s="365">
        <f t="shared" si="78"/>
        <v>0</v>
      </c>
      <c r="BD338" s="659"/>
      <c r="BE338" s="357"/>
      <c r="BF338" s="357">
        <v>1</v>
      </c>
      <c r="BG338" s="357"/>
      <c r="BH338" s="357"/>
      <c r="BI338" s="357"/>
      <c r="BJ338" s="357"/>
      <c r="BK338" s="357"/>
      <c r="BL338" s="357"/>
      <c r="BM338" s="357"/>
      <c r="BN338" s="357"/>
      <c r="BO338" s="357"/>
      <c r="BP338" s="357"/>
      <c r="BQ338" s="357"/>
      <c r="BR338" s="357"/>
      <c r="BS338" s="357"/>
      <c r="BT338" s="357"/>
      <c r="BU338" s="357"/>
      <c r="BV338" s="357"/>
      <c r="BW338" s="357"/>
      <c r="BX338" s="357"/>
      <c r="BY338" s="357"/>
      <c r="BZ338" s="357"/>
      <c r="CA338" s="357"/>
      <c r="CB338" s="357"/>
      <c r="CC338" s="357"/>
      <c r="CD338" s="357"/>
      <c r="CE338" s="357">
        <v>1</v>
      </c>
      <c r="CF338" s="357"/>
      <c r="CG338" s="357"/>
      <c r="CH338" s="357">
        <v>1</v>
      </c>
      <c r="CI338" s="362"/>
      <c r="CJ338" s="362"/>
      <c r="CK338" s="362"/>
      <c r="CL338" s="362"/>
      <c r="CM338" s="362"/>
      <c r="CN338" s="362"/>
      <c r="CO338" s="362"/>
      <c r="CP338" s="362"/>
      <c r="CQ338" s="362"/>
      <c r="CR338" s="362"/>
      <c r="CS338" s="362"/>
      <c r="CT338" s="362"/>
      <c r="CU338" s="362"/>
      <c r="CV338" s="362"/>
      <c r="CW338" s="362"/>
      <c r="CX338" s="362"/>
      <c r="CY338" s="362"/>
      <c r="CZ338" s="362"/>
      <c r="DA338" s="362"/>
      <c r="DB338" s="362"/>
      <c r="DC338" s="362"/>
      <c r="DD338" s="362"/>
      <c r="DE338" s="362"/>
      <c r="DF338" s="362"/>
      <c r="DG338" s="362"/>
      <c r="DH338" s="362"/>
      <c r="DI338" s="362"/>
      <c r="DJ338" s="362"/>
      <c r="DK338" s="362"/>
      <c r="DL338" s="362"/>
      <c r="DM338" s="362"/>
      <c r="DN338" s="362"/>
      <c r="DO338" s="360"/>
      <c r="DP338" s="310"/>
      <c r="DQ338" s="310"/>
      <c r="DR338" s="310"/>
      <c r="DS338" s="310"/>
      <c r="DT338" s="310"/>
      <c r="DU338" s="310"/>
      <c r="DV338" s="309"/>
      <c r="DW338" s="310"/>
      <c r="DX338" s="372"/>
    </row>
    <row r="339" spans="1:128" s="63" customFormat="1" ht="18">
      <c r="A339" s="657"/>
      <c r="B339" s="819" t="s">
        <v>1564</v>
      </c>
      <c r="C339" s="459"/>
      <c r="D339" s="461">
        <v>95</v>
      </c>
      <c r="E339" s="461"/>
      <c r="F339" s="461"/>
      <c r="G339" s="357"/>
      <c r="H339" s="357"/>
      <c r="I339" s="357"/>
      <c r="J339" s="357"/>
      <c r="K339" s="357"/>
      <c r="L339" s="357"/>
      <c r="M339" s="357"/>
      <c r="N339" s="357"/>
      <c r="O339" s="357"/>
      <c r="P339" s="362"/>
      <c r="Q339" s="362"/>
      <c r="R339" s="362"/>
      <c r="S339" s="362"/>
      <c r="T339" s="360"/>
      <c r="U339" s="659">
        <f>U336</f>
        <v>78</v>
      </c>
      <c r="V339" s="659"/>
      <c r="W339" s="659"/>
      <c r="X339" s="357"/>
      <c r="Y339" s="357"/>
      <c r="Z339" s="357"/>
      <c r="AA339" s="357"/>
      <c r="AB339" s="357"/>
      <c r="AC339" s="357"/>
      <c r="AD339" s="357">
        <f>AD336</f>
        <v>379</v>
      </c>
      <c r="AE339" s="357"/>
      <c r="AF339" s="357"/>
      <c r="AG339" s="357"/>
      <c r="AH339" s="357"/>
      <c r="AI339" s="357"/>
      <c r="AJ339" s="357"/>
      <c r="AK339" s="357"/>
      <c r="AL339" s="357"/>
      <c r="AM339" s="357"/>
      <c r="AN339" s="357"/>
      <c r="AO339" s="357"/>
      <c r="AP339" s="357"/>
      <c r="AQ339" s="659">
        <f>AQ336</f>
        <v>14</v>
      </c>
      <c r="AR339" s="357"/>
      <c r="AS339" s="362"/>
      <c r="AT339" s="828">
        <f>AT336</f>
        <v>16</v>
      </c>
      <c r="AU339" s="659"/>
      <c r="AV339" s="357"/>
      <c r="AW339" s="357"/>
      <c r="AX339" s="357"/>
      <c r="AY339" s="360"/>
      <c r="AZ339" s="363">
        <f t="shared" si="79"/>
        <v>379</v>
      </c>
      <c r="BA339" s="364">
        <f t="shared" si="80"/>
        <v>0</v>
      </c>
      <c r="BB339" s="395"/>
      <c r="BC339" s="365">
        <f t="shared" ref="BC339:BC367" si="84">SUM(AU339:AW339)</f>
        <v>0</v>
      </c>
      <c r="BD339" s="659"/>
      <c r="BE339" s="357"/>
      <c r="BF339" s="357">
        <v>1</v>
      </c>
      <c r="BG339" s="357"/>
      <c r="BH339" s="357"/>
      <c r="BI339" s="357"/>
      <c r="BJ339" s="357"/>
      <c r="BK339" s="357"/>
      <c r="BL339" s="357"/>
      <c r="BM339" s="357"/>
      <c r="BN339" s="357"/>
      <c r="BO339" s="357"/>
      <c r="BP339" s="357"/>
      <c r="BQ339" s="357"/>
      <c r="BR339" s="357"/>
      <c r="BS339" s="357"/>
      <c r="BT339" s="357"/>
      <c r="BU339" s="357"/>
      <c r="BV339" s="357"/>
      <c r="BW339" s="357"/>
      <c r="BX339" s="357"/>
      <c r="BY339" s="357"/>
      <c r="BZ339" s="357"/>
      <c r="CA339" s="357"/>
      <c r="CB339" s="357"/>
      <c r="CC339" s="357"/>
      <c r="CD339" s="357"/>
      <c r="CE339" s="357">
        <v>1</v>
      </c>
      <c r="CF339" s="357"/>
      <c r="CG339" s="357"/>
      <c r="CH339" s="357">
        <v>1</v>
      </c>
      <c r="CI339" s="362"/>
      <c r="CJ339" s="362"/>
      <c r="CK339" s="362"/>
      <c r="CL339" s="362"/>
      <c r="CM339" s="362"/>
      <c r="CN339" s="362"/>
      <c r="CO339" s="362"/>
      <c r="CP339" s="362"/>
      <c r="CQ339" s="362"/>
      <c r="CR339" s="362"/>
      <c r="CS339" s="362"/>
      <c r="CT339" s="362"/>
      <c r="CU339" s="362"/>
      <c r="CV339" s="362"/>
      <c r="CW339" s="362"/>
      <c r="CX339" s="362"/>
      <c r="CY339" s="362"/>
      <c r="CZ339" s="362"/>
      <c r="DA339" s="362"/>
      <c r="DB339" s="362"/>
      <c r="DC339" s="362"/>
      <c r="DD339" s="362"/>
      <c r="DE339" s="362"/>
      <c r="DF339" s="362"/>
      <c r="DG339" s="362"/>
      <c r="DH339" s="362"/>
      <c r="DI339" s="362"/>
      <c r="DJ339" s="362"/>
      <c r="DK339" s="362"/>
      <c r="DL339" s="362"/>
      <c r="DM339" s="362"/>
      <c r="DN339" s="362"/>
      <c r="DO339" s="360"/>
      <c r="DP339" s="310"/>
      <c r="DQ339" s="310"/>
      <c r="DR339" s="310"/>
      <c r="DS339" s="310"/>
      <c r="DT339" s="310"/>
      <c r="DU339" s="310"/>
      <c r="DV339" s="309"/>
      <c r="DW339" s="310"/>
      <c r="DX339" s="372"/>
    </row>
    <row r="340" spans="1:128" s="63" customFormat="1" ht="18">
      <c r="A340" s="657"/>
      <c r="B340" s="819" t="s">
        <v>1565</v>
      </c>
      <c r="C340" s="459"/>
      <c r="D340" s="461">
        <v>95</v>
      </c>
      <c r="E340" s="461"/>
      <c r="F340" s="461"/>
      <c r="G340" s="357"/>
      <c r="H340" s="357"/>
      <c r="I340" s="357"/>
      <c r="J340" s="357"/>
      <c r="K340" s="357"/>
      <c r="L340" s="357"/>
      <c r="M340" s="357"/>
      <c r="N340" s="357"/>
      <c r="O340" s="357"/>
      <c r="P340" s="362"/>
      <c r="Q340" s="362"/>
      <c r="R340" s="362"/>
      <c r="S340" s="362"/>
      <c r="T340" s="360"/>
      <c r="U340" s="659">
        <f>U336</f>
        <v>78</v>
      </c>
      <c r="V340" s="659"/>
      <c r="W340" s="659"/>
      <c r="X340" s="357"/>
      <c r="Y340" s="357"/>
      <c r="Z340" s="357"/>
      <c r="AA340" s="357"/>
      <c r="AB340" s="357"/>
      <c r="AC340" s="357"/>
      <c r="AD340" s="357">
        <f>AD336</f>
        <v>379</v>
      </c>
      <c r="AE340" s="357"/>
      <c r="AF340" s="357"/>
      <c r="AG340" s="357"/>
      <c r="AH340" s="357"/>
      <c r="AI340" s="357"/>
      <c r="AJ340" s="357"/>
      <c r="AK340" s="357"/>
      <c r="AL340" s="357"/>
      <c r="AM340" s="357"/>
      <c r="AN340" s="357"/>
      <c r="AO340" s="357"/>
      <c r="AP340" s="357"/>
      <c r="AQ340" s="659">
        <f>AQ336</f>
        <v>14</v>
      </c>
      <c r="AR340" s="357"/>
      <c r="AS340" s="362"/>
      <c r="AT340" s="828">
        <f>AT336</f>
        <v>16</v>
      </c>
      <c r="AU340" s="659"/>
      <c r="AV340" s="357"/>
      <c r="AW340" s="357"/>
      <c r="AX340" s="357"/>
      <c r="AY340" s="360"/>
      <c r="AZ340" s="363">
        <f t="shared" si="79"/>
        <v>379</v>
      </c>
      <c r="BA340" s="364">
        <f t="shared" si="80"/>
        <v>0</v>
      </c>
      <c r="BB340" s="395"/>
      <c r="BC340" s="365">
        <f t="shared" si="84"/>
        <v>0</v>
      </c>
      <c r="BD340" s="659"/>
      <c r="BE340" s="357"/>
      <c r="BF340" s="357">
        <v>1</v>
      </c>
      <c r="BG340" s="357"/>
      <c r="BH340" s="357"/>
      <c r="BI340" s="357"/>
      <c r="BJ340" s="357"/>
      <c r="BK340" s="357"/>
      <c r="BL340" s="357"/>
      <c r="BM340" s="357"/>
      <c r="BN340" s="357"/>
      <c r="BO340" s="357"/>
      <c r="BP340" s="357"/>
      <c r="BQ340" s="357"/>
      <c r="BR340" s="357"/>
      <c r="BS340" s="357"/>
      <c r="BT340" s="357"/>
      <c r="BU340" s="357"/>
      <c r="BV340" s="357"/>
      <c r="BW340" s="357"/>
      <c r="BX340" s="357"/>
      <c r="BY340" s="357"/>
      <c r="BZ340" s="357"/>
      <c r="CA340" s="357"/>
      <c r="CB340" s="357"/>
      <c r="CC340" s="357"/>
      <c r="CD340" s="357"/>
      <c r="CE340" s="357">
        <v>1</v>
      </c>
      <c r="CF340" s="357"/>
      <c r="CG340" s="357"/>
      <c r="CH340" s="357">
        <v>1</v>
      </c>
      <c r="CI340" s="362"/>
      <c r="CJ340" s="362"/>
      <c r="CK340" s="362"/>
      <c r="CL340" s="362"/>
      <c r="CM340" s="362"/>
      <c r="CN340" s="362"/>
      <c r="CO340" s="362"/>
      <c r="CP340" s="362"/>
      <c r="CQ340" s="362"/>
      <c r="CR340" s="362"/>
      <c r="CS340" s="362"/>
      <c r="CT340" s="362"/>
      <c r="CU340" s="362"/>
      <c r="CV340" s="362"/>
      <c r="CW340" s="362"/>
      <c r="CX340" s="362"/>
      <c r="CY340" s="362"/>
      <c r="CZ340" s="362"/>
      <c r="DA340" s="362"/>
      <c r="DB340" s="362"/>
      <c r="DC340" s="362"/>
      <c r="DD340" s="362"/>
      <c r="DE340" s="362"/>
      <c r="DF340" s="362"/>
      <c r="DG340" s="362"/>
      <c r="DH340" s="362"/>
      <c r="DI340" s="362"/>
      <c r="DJ340" s="362"/>
      <c r="DK340" s="362"/>
      <c r="DL340" s="362"/>
      <c r="DM340" s="362"/>
      <c r="DN340" s="362"/>
      <c r="DO340" s="360"/>
      <c r="DP340" s="310"/>
      <c r="DQ340" s="310"/>
      <c r="DR340" s="310"/>
      <c r="DS340" s="310"/>
      <c r="DT340" s="310"/>
      <c r="DU340" s="310"/>
      <c r="DV340" s="309"/>
      <c r="DW340" s="310"/>
      <c r="DX340" s="372"/>
    </row>
    <row r="341" spans="1:128" s="63" customFormat="1" ht="18">
      <c r="A341" s="657"/>
      <c r="B341" s="819" t="s">
        <v>1566</v>
      </c>
      <c r="C341" s="459"/>
      <c r="D341" s="461">
        <v>95</v>
      </c>
      <c r="E341" s="461"/>
      <c r="F341" s="461"/>
      <c r="G341" s="357"/>
      <c r="H341" s="357"/>
      <c r="I341" s="357"/>
      <c r="J341" s="357"/>
      <c r="K341" s="357"/>
      <c r="L341" s="357"/>
      <c r="M341" s="357"/>
      <c r="N341" s="357"/>
      <c r="O341" s="357"/>
      <c r="P341" s="362"/>
      <c r="Q341" s="362"/>
      <c r="R341" s="362"/>
      <c r="S341" s="362"/>
      <c r="T341" s="360"/>
      <c r="U341" s="659">
        <f>U336</f>
        <v>78</v>
      </c>
      <c r="V341" s="659"/>
      <c r="W341" s="659"/>
      <c r="X341" s="357"/>
      <c r="Y341" s="357"/>
      <c r="Z341" s="357"/>
      <c r="AA341" s="357"/>
      <c r="AB341" s="357"/>
      <c r="AC341" s="357"/>
      <c r="AD341" s="357">
        <f>AD336</f>
        <v>379</v>
      </c>
      <c r="AE341" s="357"/>
      <c r="AF341" s="357"/>
      <c r="AG341" s="357"/>
      <c r="AH341" s="357"/>
      <c r="AI341" s="357"/>
      <c r="AJ341" s="357"/>
      <c r="AK341" s="357"/>
      <c r="AL341" s="357"/>
      <c r="AM341" s="357"/>
      <c r="AN341" s="357"/>
      <c r="AO341" s="357"/>
      <c r="AP341" s="357"/>
      <c r="AQ341" s="659">
        <f>AQ336</f>
        <v>14</v>
      </c>
      <c r="AR341" s="357"/>
      <c r="AS341" s="362"/>
      <c r="AT341" s="828">
        <f>AT336</f>
        <v>16</v>
      </c>
      <c r="AU341" s="659"/>
      <c r="AV341" s="357"/>
      <c r="AW341" s="357"/>
      <c r="AX341" s="357"/>
      <c r="AY341" s="360"/>
      <c r="AZ341" s="363">
        <f t="shared" si="79"/>
        <v>379</v>
      </c>
      <c r="BA341" s="364">
        <f t="shared" si="80"/>
        <v>0</v>
      </c>
      <c r="BB341" s="395"/>
      <c r="BC341" s="365">
        <f t="shared" si="84"/>
        <v>0</v>
      </c>
      <c r="BD341" s="659"/>
      <c r="BE341" s="357"/>
      <c r="BF341" s="357">
        <v>1</v>
      </c>
      <c r="BG341" s="357"/>
      <c r="BH341" s="357"/>
      <c r="BI341" s="357"/>
      <c r="BJ341" s="357"/>
      <c r="BK341" s="357"/>
      <c r="BL341" s="357"/>
      <c r="BM341" s="357"/>
      <c r="BN341" s="357"/>
      <c r="BO341" s="357"/>
      <c r="BP341" s="357"/>
      <c r="BQ341" s="357"/>
      <c r="BR341" s="357"/>
      <c r="BS341" s="357"/>
      <c r="BT341" s="357"/>
      <c r="BU341" s="357"/>
      <c r="BV341" s="357"/>
      <c r="BW341" s="357"/>
      <c r="BX341" s="357"/>
      <c r="BY341" s="357"/>
      <c r="BZ341" s="357"/>
      <c r="CA341" s="357"/>
      <c r="CB341" s="357"/>
      <c r="CC341" s="357"/>
      <c r="CD341" s="357"/>
      <c r="CE341" s="357">
        <v>1</v>
      </c>
      <c r="CF341" s="357"/>
      <c r="CG341" s="357"/>
      <c r="CH341" s="357">
        <v>1</v>
      </c>
      <c r="CI341" s="362"/>
      <c r="CJ341" s="362"/>
      <c r="CK341" s="362"/>
      <c r="CL341" s="362"/>
      <c r="CM341" s="362"/>
      <c r="CN341" s="362"/>
      <c r="CO341" s="362"/>
      <c r="CP341" s="362"/>
      <c r="CQ341" s="362"/>
      <c r="CR341" s="362"/>
      <c r="CS341" s="362"/>
      <c r="CT341" s="362"/>
      <c r="CU341" s="362"/>
      <c r="CV341" s="362"/>
      <c r="CW341" s="362"/>
      <c r="CX341" s="362"/>
      <c r="CY341" s="362"/>
      <c r="CZ341" s="362"/>
      <c r="DA341" s="362"/>
      <c r="DB341" s="362"/>
      <c r="DC341" s="362"/>
      <c r="DD341" s="362"/>
      <c r="DE341" s="362"/>
      <c r="DF341" s="362"/>
      <c r="DG341" s="362"/>
      <c r="DH341" s="362"/>
      <c r="DI341" s="362"/>
      <c r="DJ341" s="362"/>
      <c r="DK341" s="362"/>
      <c r="DL341" s="362"/>
      <c r="DM341" s="362"/>
      <c r="DN341" s="362"/>
      <c r="DO341" s="360"/>
      <c r="DP341" s="310"/>
      <c r="DQ341" s="310"/>
      <c r="DR341" s="310"/>
      <c r="DS341" s="310"/>
      <c r="DT341" s="310"/>
      <c r="DU341" s="310"/>
      <c r="DV341" s="309"/>
      <c r="DW341" s="310"/>
      <c r="DX341" s="372"/>
    </row>
    <row r="342" spans="1:128" s="63" customFormat="1" ht="18">
      <c r="A342" s="657"/>
      <c r="B342" s="819" t="s">
        <v>1567</v>
      </c>
      <c r="C342" s="459"/>
      <c r="D342" s="461">
        <v>95</v>
      </c>
      <c r="E342" s="461"/>
      <c r="F342" s="461"/>
      <c r="G342" s="357"/>
      <c r="H342" s="357"/>
      <c r="I342" s="357"/>
      <c r="J342" s="357"/>
      <c r="K342" s="357"/>
      <c r="L342" s="357"/>
      <c r="M342" s="357"/>
      <c r="N342" s="357"/>
      <c r="O342" s="357"/>
      <c r="P342" s="362"/>
      <c r="Q342" s="362"/>
      <c r="R342" s="362"/>
      <c r="S342" s="362"/>
      <c r="T342" s="360"/>
      <c r="U342" s="659">
        <f>U336</f>
        <v>78</v>
      </c>
      <c r="V342" s="659"/>
      <c r="W342" s="659"/>
      <c r="X342" s="357"/>
      <c r="Y342" s="357"/>
      <c r="Z342" s="357"/>
      <c r="AA342" s="357"/>
      <c r="AB342" s="357"/>
      <c r="AC342" s="357"/>
      <c r="AD342" s="357">
        <f>AD336</f>
        <v>379</v>
      </c>
      <c r="AE342" s="357"/>
      <c r="AF342" s="357"/>
      <c r="AG342" s="357"/>
      <c r="AH342" s="357"/>
      <c r="AI342" s="357"/>
      <c r="AJ342" s="357"/>
      <c r="AK342" s="357"/>
      <c r="AL342" s="357"/>
      <c r="AM342" s="357"/>
      <c r="AN342" s="357"/>
      <c r="AO342" s="357"/>
      <c r="AP342" s="357"/>
      <c r="AQ342" s="659">
        <f>AQ336</f>
        <v>14</v>
      </c>
      <c r="AR342" s="357"/>
      <c r="AS342" s="362"/>
      <c r="AT342" s="828">
        <f>AT336</f>
        <v>16</v>
      </c>
      <c r="AU342" s="659"/>
      <c r="AV342" s="357"/>
      <c r="AW342" s="357"/>
      <c r="AX342" s="357"/>
      <c r="AY342" s="360"/>
      <c r="AZ342" s="363">
        <f t="shared" si="79"/>
        <v>379</v>
      </c>
      <c r="BA342" s="364">
        <f t="shared" si="80"/>
        <v>0</v>
      </c>
      <c r="BB342" s="395"/>
      <c r="BC342" s="365">
        <f t="shared" si="84"/>
        <v>0</v>
      </c>
      <c r="BD342" s="659"/>
      <c r="BE342" s="357"/>
      <c r="BF342" s="357">
        <v>1</v>
      </c>
      <c r="BG342" s="357"/>
      <c r="BH342" s="357"/>
      <c r="BI342" s="357"/>
      <c r="BJ342" s="357"/>
      <c r="BK342" s="357"/>
      <c r="BL342" s="357"/>
      <c r="BM342" s="357"/>
      <c r="BN342" s="357"/>
      <c r="BO342" s="357"/>
      <c r="BP342" s="357"/>
      <c r="BQ342" s="357"/>
      <c r="BR342" s="357"/>
      <c r="BS342" s="357"/>
      <c r="BT342" s="357"/>
      <c r="BU342" s="357"/>
      <c r="BV342" s="357"/>
      <c r="BW342" s="357"/>
      <c r="BX342" s="357"/>
      <c r="BY342" s="357"/>
      <c r="BZ342" s="357"/>
      <c r="CA342" s="357"/>
      <c r="CB342" s="357"/>
      <c r="CC342" s="357"/>
      <c r="CD342" s="357"/>
      <c r="CE342" s="357">
        <v>1</v>
      </c>
      <c r="CF342" s="357"/>
      <c r="CG342" s="357"/>
      <c r="CH342" s="357">
        <v>1</v>
      </c>
      <c r="CI342" s="362"/>
      <c r="CJ342" s="362"/>
      <c r="CK342" s="362"/>
      <c r="CL342" s="362"/>
      <c r="CM342" s="362"/>
      <c r="CN342" s="362"/>
      <c r="CO342" s="362"/>
      <c r="CP342" s="362"/>
      <c r="CQ342" s="362"/>
      <c r="CR342" s="362"/>
      <c r="CS342" s="362"/>
      <c r="CT342" s="362"/>
      <c r="CU342" s="362"/>
      <c r="CV342" s="362"/>
      <c r="CW342" s="362"/>
      <c r="CX342" s="362"/>
      <c r="CY342" s="362"/>
      <c r="CZ342" s="362"/>
      <c r="DA342" s="362"/>
      <c r="DB342" s="362"/>
      <c r="DC342" s="362"/>
      <c r="DD342" s="362"/>
      <c r="DE342" s="362"/>
      <c r="DF342" s="362"/>
      <c r="DG342" s="362"/>
      <c r="DH342" s="362"/>
      <c r="DI342" s="362"/>
      <c r="DJ342" s="362"/>
      <c r="DK342" s="362"/>
      <c r="DL342" s="362"/>
      <c r="DM342" s="362"/>
      <c r="DN342" s="362"/>
      <c r="DO342" s="360"/>
      <c r="DP342" s="310"/>
      <c r="DQ342" s="310"/>
      <c r="DR342" s="310"/>
      <c r="DS342" s="310"/>
      <c r="DT342" s="310"/>
      <c r="DU342" s="310"/>
      <c r="DV342" s="309"/>
      <c r="DW342" s="310"/>
      <c r="DX342" s="372"/>
    </row>
    <row r="343" spans="1:128" s="63" customFormat="1" ht="18">
      <c r="A343" s="657"/>
      <c r="B343" s="819" t="s">
        <v>1568</v>
      </c>
      <c r="C343" s="459"/>
      <c r="D343" s="461">
        <v>95</v>
      </c>
      <c r="E343" s="461"/>
      <c r="F343" s="461"/>
      <c r="G343" s="357"/>
      <c r="H343" s="357"/>
      <c r="I343" s="357"/>
      <c r="J343" s="357"/>
      <c r="K343" s="357"/>
      <c r="L343" s="357"/>
      <c r="M343" s="357"/>
      <c r="N343" s="357"/>
      <c r="O343" s="357"/>
      <c r="P343" s="362"/>
      <c r="Q343" s="362"/>
      <c r="R343" s="362"/>
      <c r="S343" s="362"/>
      <c r="T343" s="360"/>
      <c r="U343" s="659">
        <f>U336</f>
        <v>78</v>
      </c>
      <c r="V343" s="659"/>
      <c r="W343" s="659"/>
      <c r="X343" s="357"/>
      <c r="Y343" s="357"/>
      <c r="Z343" s="357"/>
      <c r="AA343" s="357"/>
      <c r="AB343" s="357"/>
      <c r="AC343" s="357"/>
      <c r="AD343" s="357">
        <f>AD336</f>
        <v>379</v>
      </c>
      <c r="AE343" s="357"/>
      <c r="AF343" s="357"/>
      <c r="AG343" s="357"/>
      <c r="AH343" s="357"/>
      <c r="AI343" s="357"/>
      <c r="AJ343" s="357"/>
      <c r="AK343" s="357"/>
      <c r="AL343" s="357"/>
      <c r="AM343" s="357"/>
      <c r="AN343" s="357"/>
      <c r="AO343" s="357"/>
      <c r="AP343" s="357"/>
      <c r="AQ343" s="659">
        <f>AQ336</f>
        <v>14</v>
      </c>
      <c r="AR343" s="357"/>
      <c r="AS343" s="362"/>
      <c r="AT343" s="828">
        <f>AT336</f>
        <v>16</v>
      </c>
      <c r="AU343" s="659"/>
      <c r="AV343" s="357"/>
      <c r="AW343" s="357"/>
      <c r="AX343" s="357"/>
      <c r="AY343" s="360"/>
      <c r="AZ343" s="363">
        <f t="shared" si="79"/>
        <v>379</v>
      </c>
      <c r="BA343" s="364">
        <f t="shared" si="80"/>
        <v>0</v>
      </c>
      <c r="BB343" s="395"/>
      <c r="BC343" s="365">
        <f t="shared" si="84"/>
        <v>0</v>
      </c>
      <c r="BD343" s="659"/>
      <c r="BE343" s="357"/>
      <c r="BF343" s="357">
        <v>1</v>
      </c>
      <c r="BG343" s="357"/>
      <c r="BH343" s="357"/>
      <c r="BI343" s="357"/>
      <c r="BJ343" s="357"/>
      <c r="BK343" s="357"/>
      <c r="BL343" s="357"/>
      <c r="BM343" s="357"/>
      <c r="BN343" s="357"/>
      <c r="BO343" s="357"/>
      <c r="BP343" s="357"/>
      <c r="BQ343" s="357"/>
      <c r="BR343" s="357"/>
      <c r="BS343" s="357"/>
      <c r="BT343" s="357"/>
      <c r="BU343" s="357"/>
      <c r="BV343" s="357"/>
      <c r="BW343" s="357"/>
      <c r="BX343" s="357"/>
      <c r="BY343" s="357"/>
      <c r="BZ343" s="357"/>
      <c r="CA343" s="357"/>
      <c r="CB343" s="357"/>
      <c r="CC343" s="357"/>
      <c r="CD343" s="357"/>
      <c r="CE343" s="357">
        <v>1</v>
      </c>
      <c r="CF343" s="357"/>
      <c r="CG343" s="357"/>
      <c r="CH343" s="357">
        <v>1</v>
      </c>
      <c r="CI343" s="362"/>
      <c r="CJ343" s="362"/>
      <c r="CK343" s="362"/>
      <c r="CL343" s="362"/>
      <c r="CM343" s="362"/>
      <c r="CN343" s="362"/>
      <c r="CO343" s="362"/>
      <c r="CP343" s="362"/>
      <c r="CQ343" s="362"/>
      <c r="CR343" s="362"/>
      <c r="CS343" s="362"/>
      <c r="CT343" s="362"/>
      <c r="CU343" s="362"/>
      <c r="CV343" s="362"/>
      <c r="CW343" s="362"/>
      <c r="CX343" s="362"/>
      <c r="CY343" s="362"/>
      <c r="CZ343" s="362"/>
      <c r="DA343" s="362"/>
      <c r="DB343" s="362"/>
      <c r="DC343" s="362"/>
      <c r="DD343" s="362"/>
      <c r="DE343" s="362"/>
      <c r="DF343" s="362"/>
      <c r="DG343" s="362"/>
      <c r="DH343" s="362"/>
      <c r="DI343" s="362"/>
      <c r="DJ343" s="362"/>
      <c r="DK343" s="362"/>
      <c r="DL343" s="362"/>
      <c r="DM343" s="362"/>
      <c r="DN343" s="362"/>
      <c r="DO343" s="360"/>
      <c r="DP343" s="310"/>
      <c r="DQ343" s="310"/>
      <c r="DR343" s="310"/>
      <c r="DS343" s="310"/>
      <c r="DT343" s="310"/>
      <c r="DU343" s="310"/>
      <c r="DV343" s="309"/>
      <c r="DW343" s="310"/>
      <c r="DX343" s="372"/>
    </row>
    <row r="344" spans="1:128" s="63" customFormat="1" ht="18">
      <c r="A344" s="657"/>
      <c r="B344" s="819" t="s">
        <v>1569</v>
      </c>
      <c r="C344" s="459"/>
      <c r="D344" s="461">
        <v>95</v>
      </c>
      <c r="E344" s="461"/>
      <c r="F344" s="461"/>
      <c r="G344" s="357"/>
      <c r="H344" s="357"/>
      <c r="I344" s="357"/>
      <c r="J344" s="357"/>
      <c r="K344" s="357"/>
      <c r="L344" s="357"/>
      <c r="M344" s="357"/>
      <c r="N344" s="357"/>
      <c r="O344" s="357"/>
      <c r="P344" s="362"/>
      <c r="Q344" s="362"/>
      <c r="R344" s="362"/>
      <c r="S344" s="362"/>
      <c r="T344" s="360"/>
      <c r="U344" s="659">
        <f>U336</f>
        <v>78</v>
      </c>
      <c r="V344" s="659">
        <f>V337</f>
        <v>132</v>
      </c>
      <c r="W344" s="659"/>
      <c r="X344" s="357"/>
      <c r="Y344" s="357"/>
      <c r="Z344" s="357"/>
      <c r="AA344" s="357"/>
      <c r="AB344" s="357"/>
      <c r="AC344" s="357"/>
      <c r="AD344" s="357">
        <f>AD336</f>
        <v>379</v>
      </c>
      <c r="AE344" s="357"/>
      <c r="AF344" s="357"/>
      <c r="AG344" s="357"/>
      <c r="AH344" s="357"/>
      <c r="AI344" s="357"/>
      <c r="AJ344" s="357"/>
      <c r="AK344" s="357"/>
      <c r="AL344" s="357"/>
      <c r="AM344" s="357"/>
      <c r="AN344" s="357"/>
      <c r="AO344" s="357"/>
      <c r="AP344" s="357"/>
      <c r="AQ344" s="659">
        <f>AQ336</f>
        <v>14</v>
      </c>
      <c r="AR344" s="357"/>
      <c r="AS344" s="362"/>
      <c r="AT344" s="828">
        <f>AT336</f>
        <v>16</v>
      </c>
      <c r="AU344" s="659"/>
      <c r="AV344" s="357"/>
      <c r="AW344" s="357"/>
      <c r="AX344" s="357"/>
      <c r="AY344" s="360"/>
      <c r="AZ344" s="363">
        <f t="shared" si="79"/>
        <v>379</v>
      </c>
      <c r="BA344" s="364">
        <f t="shared" si="80"/>
        <v>0</v>
      </c>
      <c r="BB344" s="395"/>
      <c r="BC344" s="365">
        <f t="shared" si="84"/>
        <v>0</v>
      </c>
      <c r="BD344" s="659"/>
      <c r="BE344" s="357"/>
      <c r="BF344" s="357">
        <v>1</v>
      </c>
      <c r="BG344" s="357"/>
      <c r="BH344" s="357"/>
      <c r="BI344" s="357"/>
      <c r="BJ344" s="357"/>
      <c r="BK344" s="357"/>
      <c r="BL344" s="357"/>
      <c r="BM344" s="357"/>
      <c r="BN344" s="357"/>
      <c r="BO344" s="357"/>
      <c r="BP344" s="357"/>
      <c r="BQ344" s="357"/>
      <c r="BR344" s="357"/>
      <c r="BS344" s="357"/>
      <c r="BT344" s="357"/>
      <c r="BU344" s="357"/>
      <c r="BV344" s="357"/>
      <c r="BW344" s="357"/>
      <c r="BX344" s="357"/>
      <c r="BY344" s="357"/>
      <c r="BZ344" s="357"/>
      <c r="CA344" s="357"/>
      <c r="CB344" s="357"/>
      <c r="CC344" s="357"/>
      <c r="CD344" s="357"/>
      <c r="CE344" s="357">
        <v>1</v>
      </c>
      <c r="CF344" s="357"/>
      <c r="CG344" s="357"/>
      <c r="CH344" s="357">
        <v>1</v>
      </c>
      <c r="CI344" s="362"/>
      <c r="CJ344" s="362"/>
      <c r="CK344" s="362"/>
      <c r="CL344" s="362"/>
      <c r="CM344" s="362"/>
      <c r="CN344" s="362"/>
      <c r="CO344" s="362"/>
      <c r="CP344" s="362"/>
      <c r="CQ344" s="362"/>
      <c r="CR344" s="362"/>
      <c r="CS344" s="362"/>
      <c r="CT344" s="362"/>
      <c r="CU344" s="362"/>
      <c r="CV344" s="362"/>
      <c r="CW344" s="362"/>
      <c r="CX344" s="362"/>
      <c r="CY344" s="362"/>
      <c r="CZ344" s="362"/>
      <c r="DA344" s="362"/>
      <c r="DB344" s="362"/>
      <c r="DC344" s="362"/>
      <c r="DD344" s="362"/>
      <c r="DE344" s="362"/>
      <c r="DF344" s="362"/>
      <c r="DG344" s="362"/>
      <c r="DH344" s="362"/>
      <c r="DI344" s="362"/>
      <c r="DJ344" s="362"/>
      <c r="DK344" s="362"/>
      <c r="DL344" s="362"/>
      <c r="DM344" s="362"/>
      <c r="DN344" s="362"/>
      <c r="DO344" s="360"/>
      <c r="DP344" s="310"/>
      <c r="DQ344" s="310"/>
      <c r="DR344" s="310"/>
      <c r="DS344" s="310"/>
      <c r="DT344" s="310"/>
      <c r="DU344" s="310"/>
      <c r="DV344" s="309"/>
      <c r="DW344" s="310"/>
      <c r="DX344" s="372"/>
    </row>
    <row r="345" spans="1:128" s="63" customFormat="1" ht="18">
      <c r="A345" s="657"/>
      <c r="B345" s="819" t="s">
        <v>1570</v>
      </c>
      <c r="C345" s="459"/>
      <c r="D345" s="461">
        <v>95</v>
      </c>
      <c r="E345" s="461"/>
      <c r="F345" s="461"/>
      <c r="G345" s="357"/>
      <c r="H345" s="357"/>
      <c r="I345" s="357"/>
      <c r="J345" s="357"/>
      <c r="K345" s="357"/>
      <c r="L345" s="357"/>
      <c r="M345" s="357"/>
      <c r="N345" s="357"/>
      <c r="O345" s="357"/>
      <c r="P345" s="362"/>
      <c r="Q345" s="362"/>
      <c r="R345" s="362"/>
      <c r="S345" s="362"/>
      <c r="T345" s="360"/>
      <c r="U345" s="659">
        <f>U336</f>
        <v>78</v>
      </c>
      <c r="V345" s="659">
        <f>V336</f>
        <v>304</v>
      </c>
      <c r="W345" s="659"/>
      <c r="X345" s="357"/>
      <c r="Y345" s="357"/>
      <c r="Z345" s="357"/>
      <c r="AA345" s="357"/>
      <c r="AB345" s="357"/>
      <c r="AC345" s="357"/>
      <c r="AD345" s="357">
        <f>AD336</f>
        <v>379</v>
      </c>
      <c r="AE345" s="357"/>
      <c r="AF345" s="357"/>
      <c r="AG345" s="357"/>
      <c r="AH345" s="357"/>
      <c r="AI345" s="357"/>
      <c r="AJ345" s="357"/>
      <c r="AK345" s="357"/>
      <c r="AL345" s="357"/>
      <c r="AM345" s="357"/>
      <c r="AN345" s="357"/>
      <c r="AO345" s="357"/>
      <c r="AP345" s="357"/>
      <c r="AQ345" s="659">
        <f>AQ336</f>
        <v>14</v>
      </c>
      <c r="AR345" s="357"/>
      <c r="AS345" s="362"/>
      <c r="AT345" s="828">
        <f>AT336</f>
        <v>16</v>
      </c>
      <c r="AU345" s="659"/>
      <c r="AV345" s="357"/>
      <c r="AW345" s="357"/>
      <c r="AX345" s="357"/>
      <c r="AY345" s="360"/>
      <c r="AZ345" s="363">
        <f t="shared" si="79"/>
        <v>379</v>
      </c>
      <c r="BA345" s="364">
        <f t="shared" si="80"/>
        <v>0</v>
      </c>
      <c r="BB345" s="395"/>
      <c r="BC345" s="365">
        <f t="shared" si="84"/>
        <v>0</v>
      </c>
      <c r="BD345" s="659"/>
      <c r="BE345" s="357"/>
      <c r="BF345" s="357">
        <v>1</v>
      </c>
      <c r="BG345" s="357"/>
      <c r="BH345" s="357"/>
      <c r="BI345" s="357"/>
      <c r="BJ345" s="357"/>
      <c r="BK345" s="357"/>
      <c r="BL345" s="357"/>
      <c r="BM345" s="357"/>
      <c r="BN345" s="357"/>
      <c r="BO345" s="357"/>
      <c r="BP345" s="357"/>
      <c r="BQ345" s="357"/>
      <c r="BR345" s="357"/>
      <c r="BS345" s="357"/>
      <c r="BT345" s="357"/>
      <c r="BU345" s="357"/>
      <c r="BV345" s="357"/>
      <c r="BW345" s="357"/>
      <c r="BX345" s="357"/>
      <c r="BY345" s="357"/>
      <c r="BZ345" s="357"/>
      <c r="CA345" s="357"/>
      <c r="CB345" s="357"/>
      <c r="CC345" s="357"/>
      <c r="CD345" s="357"/>
      <c r="CE345" s="357">
        <v>1</v>
      </c>
      <c r="CF345" s="357"/>
      <c r="CG345" s="357"/>
      <c r="CH345" s="357">
        <v>1</v>
      </c>
      <c r="CI345" s="362"/>
      <c r="CJ345" s="362"/>
      <c r="CK345" s="362"/>
      <c r="CL345" s="362"/>
      <c r="CM345" s="362"/>
      <c r="CN345" s="362"/>
      <c r="CO345" s="362"/>
      <c r="CP345" s="362"/>
      <c r="CQ345" s="362"/>
      <c r="CR345" s="362"/>
      <c r="CS345" s="362"/>
      <c r="CT345" s="362"/>
      <c r="CU345" s="362"/>
      <c r="CV345" s="362"/>
      <c r="CW345" s="362"/>
      <c r="CX345" s="362"/>
      <c r="CY345" s="362"/>
      <c r="CZ345" s="362"/>
      <c r="DA345" s="362"/>
      <c r="DB345" s="362"/>
      <c r="DC345" s="362"/>
      <c r="DD345" s="362"/>
      <c r="DE345" s="362"/>
      <c r="DF345" s="362"/>
      <c r="DG345" s="362"/>
      <c r="DH345" s="362"/>
      <c r="DI345" s="362"/>
      <c r="DJ345" s="362"/>
      <c r="DK345" s="362"/>
      <c r="DL345" s="362"/>
      <c r="DM345" s="362"/>
      <c r="DN345" s="362"/>
      <c r="DO345" s="360"/>
      <c r="DP345" s="310"/>
      <c r="DQ345" s="310"/>
      <c r="DR345" s="310"/>
      <c r="DS345" s="310"/>
      <c r="DT345" s="310"/>
      <c r="DU345" s="310"/>
      <c r="DV345" s="309"/>
      <c r="DW345" s="310"/>
      <c r="DX345" s="372"/>
    </row>
    <row r="346" spans="1:128" s="63" customFormat="1" ht="18">
      <c r="A346" s="657"/>
      <c r="B346" s="819" t="s">
        <v>1571</v>
      </c>
      <c r="C346" s="459"/>
      <c r="D346" s="461">
        <v>67</v>
      </c>
      <c r="E346" s="461"/>
      <c r="F346" s="461"/>
      <c r="G346" s="357"/>
      <c r="H346" s="357"/>
      <c r="I346" s="357"/>
      <c r="J346" s="357"/>
      <c r="K346" s="357"/>
      <c r="L346" s="357"/>
      <c r="M346" s="357"/>
      <c r="N346" s="357"/>
      <c r="O346" s="357"/>
      <c r="P346" s="362"/>
      <c r="Q346" s="362"/>
      <c r="R346" s="362"/>
      <c r="S346" s="362"/>
      <c r="T346" s="360"/>
      <c r="U346" s="659">
        <f>U336</f>
        <v>78</v>
      </c>
      <c r="V346" s="659">
        <f>ROUND(23.7*9.15,0)</f>
        <v>217</v>
      </c>
      <c r="W346" s="659"/>
      <c r="X346" s="357"/>
      <c r="Y346" s="357"/>
      <c r="Z346" s="357"/>
      <c r="AA346" s="357"/>
      <c r="AB346" s="357"/>
      <c r="AC346" s="357"/>
      <c r="AD346" s="357">
        <f>ROUND((34.9*9.1)-(BF300+CE300),0)</f>
        <v>293</v>
      </c>
      <c r="AE346" s="357"/>
      <c r="AF346" s="357"/>
      <c r="AG346" s="357"/>
      <c r="AH346" s="357"/>
      <c r="AI346" s="357"/>
      <c r="AJ346" s="357"/>
      <c r="AK346" s="357"/>
      <c r="AL346" s="357"/>
      <c r="AM346" s="357"/>
      <c r="AN346" s="357"/>
      <c r="AO346" s="357"/>
      <c r="AP346" s="357"/>
      <c r="AQ346" s="659">
        <f>AQ336</f>
        <v>14</v>
      </c>
      <c r="AR346" s="357">
        <v>9.15</v>
      </c>
      <c r="AS346" s="362"/>
      <c r="AT346" s="828">
        <f>AT336</f>
        <v>16</v>
      </c>
      <c r="AU346" s="659"/>
      <c r="AV346" s="357"/>
      <c r="AW346" s="357"/>
      <c r="AX346" s="357"/>
      <c r="AY346" s="360"/>
      <c r="AZ346" s="363">
        <f t="shared" si="79"/>
        <v>293</v>
      </c>
      <c r="BA346" s="364">
        <f t="shared" si="80"/>
        <v>0</v>
      </c>
      <c r="BB346" s="395"/>
      <c r="BC346" s="365">
        <f t="shared" si="84"/>
        <v>0</v>
      </c>
      <c r="BD346" s="659"/>
      <c r="BE346" s="357"/>
      <c r="BF346" s="357">
        <v>1</v>
      </c>
      <c r="BG346" s="357"/>
      <c r="BH346" s="357"/>
      <c r="BI346" s="357"/>
      <c r="BJ346" s="357"/>
      <c r="BK346" s="357"/>
      <c r="BL346" s="357"/>
      <c r="BM346" s="357"/>
      <c r="BN346" s="357"/>
      <c r="BO346" s="357"/>
      <c r="BP346" s="357"/>
      <c r="BQ346" s="357"/>
      <c r="BR346" s="357"/>
      <c r="BS346" s="357"/>
      <c r="BT346" s="357"/>
      <c r="BU346" s="357"/>
      <c r="BV346" s="357"/>
      <c r="BW346" s="357"/>
      <c r="BX346" s="357"/>
      <c r="BY346" s="357"/>
      <c r="BZ346" s="357"/>
      <c r="CA346" s="357"/>
      <c r="CB346" s="357"/>
      <c r="CC346" s="357"/>
      <c r="CD346" s="357"/>
      <c r="CE346" s="357">
        <v>1</v>
      </c>
      <c r="CF346" s="357"/>
      <c r="CG346" s="357"/>
      <c r="CH346" s="357">
        <v>1</v>
      </c>
      <c r="CI346" s="362"/>
      <c r="CJ346" s="362"/>
      <c r="CK346" s="362"/>
      <c r="CL346" s="362"/>
      <c r="CM346" s="362"/>
      <c r="CN346" s="362"/>
      <c r="CO346" s="362"/>
      <c r="CP346" s="362"/>
      <c r="CQ346" s="362"/>
      <c r="CR346" s="362"/>
      <c r="CS346" s="362"/>
      <c r="CT346" s="362"/>
      <c r="CU346" s="362"/>
      <c r="CV346" s="362"/>
      <c r="CW346" s="362"/>
      <c r="CX346" s="362"/>
      <c r="CY346" s="362"/>
      <c r="CZ346" s="362"/>
      <c r="DA346" s="362"/>
      <c r="DB346" s="362"/>
      <c r="DC346" s="362"/>
      <c r="DD346" s="362"/>
      <c r="DE346" s="362"/>
      <c r="DF346" s="362"/>
      <c r="DG346" s="362"/>
      <c r="DH346" s="362"/>
      <c r="DI346" s="362"/>
      <c r="DJ346" s="362"/>
      <c r="DK346" s="362"/>
      <c r="DL346" s="362"/>
      <c r="DM346" s="362"/>
      <c r="DN346" s="362"/>
      <c r="DO346" s="360"/>
      <c r="DP346" s="310"/>
      <c r="DQ346" s="310"/>
      <c r="DR346" s="310"/>
      <c r="DS346" s="310"/>
      <c r="DT346" s="310"/>
      <c r="DU346" s="310"/>
      <c r="DV346" s="309"/>
      <c r="DW346" s="310"/>
      <c r="DX346" s="372"/>
    </row>
    <row r="347" spans="1:128" s="63" customFormat="1" ht="18">
      <c r="A347" s="657"/>
      <c r="B347" s="819" t="s">
        <v>1572</v>
      </c>
      <c r="C347" s="459"/>
      <c r="D347" s="461">
        <v>67</v>
      </c>
      <c r="E347" s="461"/>
      <c r="F347" s="461"/>
      <c r="G347" s="357"/>
      <c r="H347" s="357"/>
      <c r="I347" s="357"/>
      <c r="J347" s="357"/>
      <c r="K347" s="357"/>
      <c r="L347" s="357"/>
      <c r="M347" s="357"/>
      <c r="N347" s="357"/>
      <c r="O347" s="357"/>
      <c r="P347" s="362"/>
      <c r="Q347" s="362"/>
      <c r="R347" s="362"/>
      <c r="S347" s="362"/>
      <c r="T347" s="360"/>
      <c r="U347" s="659">
        <f>U336</f>
        <v>78</v>
      </c>
      <c r="V347" s="659">
        <f>ROUND(11.6*9.15,0)</f>
        <v>106</v>
      </c>
      <c r="W347" s="659"/>
      <c r="X347" s="357"/>
      <c r="Y347" s="357"/>
      <c r="Z347" s="357"/>
      <c r="AA347" s="357"/>
      <c r="AB347" s="357"/>
      <c r="AC347" s="357"/>
      <c r="AD347" s="357">
        <f>AD346</f>
        <v>293</v>
      </c>
      <c r="AE347" s="357"/>
      <c r="AF347" s="357"/>
      <c r="AG347" s="357"/>
      <c r="AH347" s="357"/>
      <c r="AI347" s="357"/>
      <c r="AJ347" s="357"/>
      <c r="AK347" s="357"/>
      <c r="AL347" s="357"/>
      <c r="AM347" s="357"/>
      <c r="AN347" s="357"/>
      <c r="AO347" s="357"/>
      <c r="AP347" s="357"/>
      <c r="AQ347" s="659">
        <f>AQ336</f>
        <v>14</v>
      </c>
      <c r="AR347" s="357">
        <v>9.15</v>
      </c>
      <c r="AS347" s="362"/>
      <c r="AT347" s="828">
        <f>AT336</f>
        <v>16</v>
      </c>
      <c r="AU347" s="659"/>
      <c r="AV347" s="357"/>
      <c r="AW347" s="357"/>
      <c r="AX347" s="357"/>
      <c r="AY347" s="360"/>
      <c r="AZ347" s="363">
        <f t="shared" si="79"/>
        <v>293</v>
      </c>
      <c r="BA347" s="364">
        <f t="shared" si="80"/>
        <v>0</v>
      </c>
      <c r="BB347" s="395"/>
      <c r="BC347" s="365">
        <f t="shared" si="84"/>
        <v>0</v>
      </c>
      <c r="BD347" s="659"/>
      <c r="BE347" s="357"/>
      <c r="BF347" s="357">
        <v>1</v>
      </c>
      <c r="BG347" s="357"/>
      <c r="BH347" s="357"/>
      <c r="BI347" s="357"/>
      <c r="BJ347" s="357"/>
      <c r="BK347" s="357"/>
      <c r="BL347" s="357"/>
      <c r="BM347" s="357"/>
      <c r="BN347" s="357"/>
      <c r="BO347" s="357"/>
      <c r="BP347" s="357"/>
      <c r="BQ347" s="357"/>
      <c r="BR347" s="357"/>
      <c r="BS347" s="357"/>
      <c r="BT347" s="357"/>
      <c r="BU347" s="357"/>
      <c r="BV347" s="357"/>
      <c r="BW347" s="357"/>
      <c r="BX347" s="357"/>
      <c r="BY347" s="357"/>
      <c r="BZ347" s="357"/>
      <c r="CA347" s="357"/>
      <c r="CB347" s="357"/>
      <c r="CC347" s="357"/>
      <c r="CD347" s="357"/>
      <c r="CE347" s="357">
        <v>1</v>
      </c>
      <c r="CF347" s="357"/>
      <c r="CG347" s="357"/>
      <c r="CH347" s="357"/>
      <c r="CI347" s="362"/>
      <c r="CJ347" s="362"/>
      <c r="CK347" s="362"/>
      <c r="CL347" s="362"/>
      <c r="CM347" s="362"/>
      <c r="CN347" s="362"/>
      <c r="CO347" s="362"/>
      <c r="CP347" s="362"/>
      <c r="CQ347" s="362"/>
      <c r="CR347" s="362"/>
      <c r="CS347" s="362"/>
      <c r="CT347" s="362"/>
      <c r="CU347" s="362"/>
      <c r="CV347" s="362"/>
      <c r="CW347" s="362"/>
      <c r="CX347" s="362"/>
      <c r="CY347" s="362"/>
      <c r="CZ347" s="362"/>
      <c r="DA347" s="362"/>
      <c r="DB347" s="362"/>
      <c r="DC347" s="362"/>
      <c r="DD347" s="362"/>
      <c r="DE347" s="362"/>
      <c r="DF347" s="362"/>
      <c r="DG347" s="362"/>
      <c r="DH347" s="362"/>
      <c r="DI347" s="362"/>
      <c r="DJ347" s="362"/>
      <c r="DK347" s="362"/>
      <c r="DL347" s="362"/>
      <c r="DM347" s="362"/>
      <c r="DN347" s="362"/>
      <c r="DO347" s="360"/>
      <c r="DP347" s="310"/>
      <c r="DQ347" s="310"/>
      <c r="DR347" s="310"/>
      <c r="DS347" s="310"/>
      <c r="DT347" s="310"/>
      <c r="DU347" s="310"/>
      <c r="DV347" s="309"/>
      <c r="DW347" s="310"/>
      <c r="DX347" s="372"/>
    </row>
    <row r="348" spans="1:128" s="63" customFormat="1" ht="18">
      <c r="A348" s="657"/>
      <c r="B348" s="819" t="s">
        <v>1573</v>
      </c>
      <c r="C348" s="459"/>
      <c r="D348" s="461">
        <v>92</v>
      </c>
      <c r="E348" s="461"/>
      <c r="F348" s="461"/>
      <c r="G348" s="357"/>
      <c r="H348" s="357"/>
      <c r="I348" s="357"/>
      <c r="J348" s="357"/>
      <c r="K348" s="357"/>
      <c r="L348" s="357"/>
      <c r="M348" s="357"/>
      <c r="N348" s="357"/>
      <c r="O348" s="357"/>
      <c r="P348" s="362"/>
      <c r="Q348" s="362"/>
      <c r="R348" s="362"/>
      <c r="S348" s="362"/>
      <c r="T348" s="360"/>
      <c r="U348" s="659">
        <f>ROUND((5.6*9.15)-CE300,0)</f>
        <v>39</v>
      </c>
      <c r="V348" s="659">
        <f>ROUND((38*9.15)-BG300,0)</f>
        <v>342</v>
      </c>
      <c r="W348" s="659"/>
      <c r="X348" s="357"/>
      <c r="Y348" s="357"/>
      <c r="Z348" s="357"/>
      <c r="AA348" s="357"/>
      <c r="AB348" s="357"/>
      <c r="AC348" s="357"/>
      <c r="AD348" s="357">
        <f>ROUND((43.6*9.1)-(BG300+CE300),0)</f>
        <v>379</v>
      </c>
      <c r="AE348" s="357"/>
      <c r="AF348" s="357"/>
      <c r="AG348" s="357"/>
      <c r="AH348" s="357"/>
      <c r="AI348" s="357"/>
      <c r="AJ348" s="357"/>
      <c r="AK348" s="357"/>
      <c r="AL348" s="357"/>
      <c r="AM348" s="357"/>
      <c r="AN348" s="357"/>
      <c r="AO348" s="357"/>
      <c r="AP348" s="357"/>
      <c r="AQ348" s="357">
        <f>CE302</f>
        <v>4.8</v>
      </c>
      <c r="AR348" s="357">
        <f>BG302</f>
        <v>5.7</v>
      </c>
      <c r="AS348" s="362"/>
      <c r="AT348" s="360">
        <f>CE301+BG301</f>
        <v>12.1</v>
      </c>
      <c r="AU348" s="659"/>
      <c r="AV348" s="357"/>
      <c r="AW348" s="357"/>
      <c r="AX348" s="357"/>
      <c r="AY348" s="360"/>
      <c r="AZ348" s="363">
        <f t="shared" si="79"/>
        <v>379</v>
      </c>
      <c r="BA348" s="364">
        <f t="shared" si="80"/>
        <v>0</v>
      </c>
      <c r="BB348" s="395"/>
      <c r="BC348" s="365">
        <f t="shared" si="84"/>
        <v>0</v>
      </c>
      <c r="BD348" s="659"/>
      <c r="BE348" s="357"/>
      <c r="BF348" s="357"/>
      <c r="BG348" s="357">
        <v>1</v>
      </c>
      <c r="BH348" s="357"/>
      <c r="BI348" s="357"/>
      <c r="BJ348" s="357"/>
      <c r="BK348" s="357"/>
      <c r="BL348" s="357"/>
      <c r="BM348" s="357"/>
      <c r="BN348" s="357"/>
      <c r="BO348" s="357"/>
      <c r="BP348" s="357"/>
      <c r="BQ348" s="357"/>
      <c r="BR348" s="357"/>
      <c r="BS348" s="357"/>
      <c r="BT348" s="357"/>
      <c r="BU348" s="357"/>
      <c r="BV348" s="357"/>
      <c r="BW348" s="357"/>
      <c r="BX348" s="357"/>
      <c r="BY348" s="357"/>
      <c r="BZ348" s="357"/>
      <c r="CA348" s="357"/>
      <c r="CB348" s="357"/>
      <c r="CC348" s="357"/>
      <c r="CD348" s="357"/>
      <c r="CE348" s="357">
        <v>1</v>
      </c>
      <c r="CF348" s="357"/>
      <c r="CG348" s="357"/>
      <c r="CH348" s="357"/>
      <c r="CI348" s="362"/>
      <c r="CJ348" s="362"/>
      <c r="CK348" s="362"/>
      <c r="CL348" s="362"/>
      <c r="CM348" s="362"/>
      <c r="CN348" s="362"/>
      <c r="CO348" s="362"/>
      <c r="CP348" s="362"/>
      <c r="CQ348" s="362"/>
      <c r="CR348" s="362"/>
      <c r="CS348" s="362"/>
      <c r="CT348" s="362"/>
      <c r="CU348" s="362"/>
      <c r="CV348" s="362"/>
      <c r="CW348" s="362"/>
      <c r="CX348" s="362"/>
      <c r="CY348" s="362"/>
      <c r="CZ348" s="362"/>
      <c r="DA348" s="362"/>
      <c r="DB348" s="362"/>
      <c r="DC348" s="362"/>
      <c r="DD348" s="362"/>
      <c r="DE348" s="362"/>
      <c r="DF348" s="362"/>
      <c r="DG348" s="362"/>
      <c r="DH348" s="362"/>
      <c r="DI348" s="362"/>
      <c r="DJ348" s="362"/>
      <c r="DK348" s="362"/>
      <c r="DL348" s="362"/>
      <c r="DM348" s="362"/>
      <c r="DN348" s="362"/>
      <c r="DO348" s="360"/>
      <c r="DP348" s="310"/>
      <c r="DQ348" s="310"/>
      <c r="DR348" s="310"/>
      <c r="DS348" s="310"/>
      <c r="DT348" s="310"/>
      <c r="DU348" s="310"/>
      <c r="DV348" s="309"/>
      <c r="DW348" s="310"/>
      <c r="DX348" s="372"/>
    </row>
    <row r="349" spans="1:128" s="63" customFormat="1" ht="18">
      <c r="A349" s="657"/>
      <c r="B349" s="819" t="s">
        <v>1574</v>
      </c>
      <c r="C349" s="459"/>
      <c r="D349" s="461">
        <v>65</v>
      </c>
      <c r="E349" s="461"/>
      <c r="F349" s="461"/>
      <c r="G349" s="357"/>
      <c r="H349" s="357"/>
      <c r="I349" s="357"/>
      <c r="J349" s="357"/>
      <c r="K349" s="357"/>
      <c r="L349" s="357"/>
      <c r="M349" s="357"/>
      <c r="N349" s="357"/>
      <c r="O349" s="357"/>
      <c r="P349" s="362"/>
      <c r="Q349" s="362"/>
      <c r="R349" s="362"/>
      <c r="S349" s="362"/>
      <c r="T349" s="360"/>
      <c r="U349" s="659"/>
      <c r="V349" s="659">
        <f>ROUND(((18*9.15)+(12.1*3.55))-CR300,0)</f>
        <v>203</v>
      </c>
      <c r="W349" s="659"/>
      <c r="X349" s="357"/>
      <c r="Y349" s="357"/>
      <c r="Z349" s="357"/>
      <c r="AA349" s="357"/>
      <c r="AB349" s="357"/>
      <c r="AC349" s="357"/>
      <c r="AD349" s="357">
        <f>ROUND((35.8*9.15)-(BI300+CR300),0)</f>
        <v>314</v>
      </c>
      <c r="AE349" s="357"/>
      <c r="AF349" s="357"/>
      <c r="AG349" s="357"/>
      <c r="AH349" s="357"/>
      <c r="AI349" s="357"/>
      <c r="AJ349" s="357"/>
      <c r="AK349" s="357"/>
      <c r="AL349" s="357"/>
      <c r="AM349" s="357"/>
      <c r="AN349" s="357"/>
      <c r="AO349" s="357"/>
      <c r="AP349" s="357"/>
      <c r="AQ349" s="357"/>
      <c r="AR349" s="357">
        <f>(2*9.15)+CR302</f>
        <v>23.200000000000003</v>
      </c>
      <c r="AS349" s="362"/>
      <c r="AT349" s="360">
        <f>CR301</f>
        <v>3.6</v>
      </c>
      <c r="AU349" s="659"/>
      <c r="AV349" s="357"/>
      <c r="AW349" s="357"/>
      <c r="AX349" s="357"/>
      <c r="AY349" s="360"/>
      <c r="AZ349" s="363">
        <f t="shared" si="79"/>
        <v>314</v>
      </c>
      <c r="BA349" s="364">
        <f t="shared" si="80"/>
        <v>0</v>
      </c>
      <c r="BB349" s="395"/>
      <c r="BC349" s="365">
        <f t="shared" si="84"/>
        <v>0</v>
      </c>
      <c r="BD349" s="659"/>
      <c r="BE349" s="357"/>
      <c r="BF349" s="357"/>
      <c r="BG349" s="357"/>
      <c r="BH349" s="357"/>
      <c r="BI349" s="357">
        <v>1</v>
      </c>
      <c r="BJ349" s="357"/>
      <c r="BK349" s="357"/>
      <c r="BL349" s="357"/>
      <c r="BM349" s="357"/>
      <c r="BN349" s="357"/>
      <c r="BO349" s="357"/>
      <c r="BP349" s="357"/>
      <c r="BQ349" s="357"/>
      <c r="BR349" s="357"/>
      <c r="BS349" s="357"/>
      <c r="BT349" s="357"/>
      <c r="BU349" s="357"/>
      <c r="BV349" s="357"/>
      <c r="BW349" s="357"/>
      <c r="BX349" s="357"/>
      <c r="BY349" s="357"/>
      <c r="BZ349" s="357"/>
      <c r="CA349" s="357"/>
      <c r="CB349" s="357"/>
      <c r="CC349" s="357"/>
      <c r="CD349" s="357"/>
      <c r="CE349" s="357"/>
      <c r="CF349" s="357"/>
      <c r="CG349" s="357"/>
      <c r="CH349" s="357"/>
      <c r="CI349" s="362"/>
      <c r="CJ349" s="362"/>
      <c r="CK349" s="362"/>
      <c r="CL349" s="362"/>
      <c r="CM349" s="362"/>
      <c r="CN349" s="362"/>
      <c r="CO349" s="362"/>
      <c r="CP349" s="362"/>
      <c r="CQ349" s="362"/>
      <c r="CR349" s="362">
        <v>1</v>
      </c>
      <c r="CS349" s="362"/>
      <c r="CT349" s="362"/>
      <c r="CU349" s="362"/>
      <c r="CV349" s="362"/>
      <c r="CW349" s="362"/>
      <c r="CX349" s="362">
        <v>1</v>
      </c>
      <c r="CY349" s="362"/>
      <c r="CZ349" s="362"/>
      <c r="DA349" s="362"/>
      <c r="DB349" s="362"/>
      <c r="DC349" s="362"/>
      <c r="DD349" s="362"/>
      <c r="DE349" s="362"/>
      <c r="DF349" s="362"/>
      <c r="DG349" s="362"/>
      <c r="DH349" s="362"/>
      <c r="DI349" s="362"/>
      <c r="DJ349" s="362"/>
      <c r="DK349" s="362"/>
      <c r="DL349" s="362"/>
      <c r="DM349" s="362"/>
      <c r="DN349" s="362"/>
      <c r="DO349" s="360"/>
      <c r="DP349" s="310"/>
      <c r="DQ349" s="310"/>
      <c r="DR349" s="310"/>
      <c r="DS349" s="310"/>
      <c r="DT349" s="310"/>
      <c r="DU349" s="310"/>
      <c r="DV349" s="309"/>
      <c r="DW349" s="310"/>
      <c r="DX349" s="372"/>
    </row>
    <row r="350" spans="1:128" s="63" customFormat="1" ht="18">
      <c r="A350" s="657"/>
      <c r="B350" s="819" t="s">
        <v>1575</v>
      </c>
      <c r="C350" s="459"/>
      <c r="D350" s="461">
        <v>95</v>
      </c>
      <c r="E350" s="461"/>
      <c r="F350" s="461"/>
      <c r="G350" s="357"/>
      <c r="H350" s="357"/>
      <c r="I350" s="357"/>
      <c r="J350" s="357"/>
      <c r="K350" s="357"/>
      <c r="L350" s="357"/>
      <c r="M350" s="357"/>
      <c r="N350" s="357"/>
      <c r="O350" s="357"/>
      <c r="P350" s="362"/>
      <c r="Q350" s="362"/>
      <c r="R350" s="362"/>
      <c r="S350" s="362"/>
      <c r="T350" s="360"/>
      <c r="U350" s="659">
        <f>ROUND((7.15*9.15)-BJ300,0)</f>
        <v>50</v>
      </c>
      <c r="V350" s="659">
        <f>ROUND((34.44*9.15)-(CR300*2),0)</f>
        <v>306</v>
      </c>
      <c r="W350" s="659"/>
      <c r="X350" s="357"/>
      <c r="Y350" s="357"/>
      <c r="Z350" s="357"/>
      <c r="AA350" s="357"/>
      <c r="AB350" s="357"/>
      <c r="AC350" s="357"/>
      <c r="AD350" s="357">
        <f>ROUND((41.59*9.15)-(BJ300+(CR300*2)),0)</f>
        <v>356</v>
      </c>
      <c r="AE350" s="357"/>
      <c r="AF350" s="357"/>
      <c r="AG350" s="357"/>
      <c r="AH350" s="357"/>
      <c r="AI350" s="357"/>
      <c r="AJ350" s="357"/>
      <c r="AK350" s="357"/>
      <c r="AL350" s="357"/>
      <c r="AM350" s="357"/>
      <c r="AN350" s="357"/>
      <c r="AO350" s="357"/>
      <c r="AP350" s="357"/>
      <c r="AQ350" s="357">
        <f>9.15+BJ302</f>
        <v>19.850000000000001</v>
      </c>
      <c r="AR350" s="357">
        <f>(2*9.15)+(CR302*2)</f>
        <v>28.1</v>
      </c>
      <c r="AS350" s="362"/>
      <c r="AT350" s="360">
        <f>BJ301+(CR301*2)</f>
        <v>14.2</v>
      </c>
      <c r="AU350" s="659"/>
      <c r="AV350" s="357"/>
      <c r="AW350" s="357"/>
      <c r="AX350" s="357"/>
      <c r="AY350" s="360"/>
      <c r="AZ350" s="363">
        <f t="shared" si="79"/>
        <v>356</v>
      </c>
      <c r="BA350" s="364">
        <f t="shared" si="80"/>
        <v>0</v>
      </c>
      <c r="BB350" s="395"/>
      <c r="BC350" s="365">
        <f t="shared" si="84"/>
        <v>0</v>
      </c>
      <c r="BD350" s="659"/>
      <c r="BE350" s="357"/>
      <c r="BF350" s="357"/>
      <c r="BG350" s="357"/>
      <c r="BH350" s="357"/>
      <c r="BI350" s="357"/>
      <c r="BJ350" s="357">
        <v>1</v>
      </c>
      <c r="BK350" s="357"/>
      <c r="BL350" s="357"/>
      <c r="BM350" s="357"/>
      <c r="BN350" s="357"/>
      <c r="BO350" s="357"/>
      <c r="BP350" s="357"/>
      <c r="BQ350" s="357"/>
      <c r="BR350" s="357"/>
      <c r="BS350" s="357"/>
      <c r="BT350" s="357"/>
      <c r="BU350" s="357"/>
      <c r="BV350" s="357"/>
      <c r="BW350" s="357"/>
      <c r="BX350" s="357"/>
      <c r="BY350" s="357"/>
      <c r="BZ350" s="357"/>
      <c r="CA350" s="357"/>
      <c r="CB350" s="357"/>
      <c r="CC350" s="357"/>
      <c r="CD350" s="357"/>
      <c r="CE350" s="357"/>
      <c r="CF350" s="357"/>
      <c r="CG350" s="357"/>
      <c r="CH350" s="357"/>
      <c r="CI350" s="362"/>
      <c r="CJ350" s="362"/>
      <c r="CK350" s="362"/>
      <c r="CL350" s="362"/>
      <c r="CM350" s="362"/>
      <c r="CN350" s="362"/>
      <c r="CO350" s="362"/>
      <c r="CP350" s="362"/>
      <c r="CQ350" s="362"/>
      <c r="CR350" s="362">
        <v>2</v>
      </c>
      <c r="CS350" s="362"/>
      <c r="CT350" s="362"/>
      <c r="CU350" s="362"/>
      <c r="CV350" s="362"/>
      <c r="CW350" s="362"/>
      <c r="CX350" s="362">
        <v>1</v>
      </c>
      <c r="CY350" s="362"/>
      <c r="CZ350" s="362"/>
      <c r="DA350" s="362"/>
      <c r="DB350" s="362"/>
      <c r="DC350" s="362"/>
      <c r="DD350" s="362"/>
      <c r="DE350" s="362"/>
      <c r="DF350" s="362"/>
      <c r="DG350" s="362"/>
      <c r="DH350" s="362"/>
      <c r="DI350" s="362"/>
      <c r="DJ350" s="362"/>
      <c r="DK350" s="362"/>
      <c r="DL350" s="362"/>
      <c r="DM350" s="362"/>
      <c r="DN350" s="362"/>
      <c r="DO350" s="360"/>
      <c r="DP350" s="310"/>
      <c r="DQ350" s="310"/>
      <c r="DR350" s="310"/>
      <c r="DS350" s="310"/>
      <c r="DT350" s="310"/>
      <c r="DU350" s="310"/>
      <c r="DV350" s="309"/>
      <c r="DW350" s="310"/>
      <c r="DX350" s="372"/>
    </row>
    <row r="351" spans="1:128" s="63" customFormat="1" ht="18">
      <c r="A351" s="452"/>
      <c r="B351" s="819" t="s">
        <v>1576</v>
      </c>
      <c r="C351" s="459"/>
      <c r="D351" s="461">
        <v>95</v>
      </c>
      <c r="E351" s="461"/>
      <c r="F351" s="461"/>
      <c r="G351" s="357"/>
      <c r="H351" s="357"/>
      <c r="I351" s="357"/>
      <c r="J351" s="357"/>
      <c r="K351" s="357"/>
      <c r="L351" s="357"/>
      <c r="M351" s="357"/>
      <c r="N351" s="357"/>
      <c r="O351" s="357"/>
      <c r="P351" s="362"/>
      <c r="Q351" s="362"/>
      <c r="R351" s="362"/>
      <c r="S351" s="362"/>
      <c r="T351" s="360"/>
      <c r="U351" s="453">
        <f>U350</f>
        <v>50</v>
      </c>
      <c r="V351" s="659">
        <f>ROUND((23.2*9.15)-(CR300*2),0)</f>
        <v>203</v>
      </c>
      <c r="W351" s="453"/>
      <c r="X351" s="357"/>
      <c r="Y351" s="357"/>
      <c r="Z351" s="357"/>
      <c r="AA351" s="357"/>
      <c r="AB351" s="357"/>
      <c r="AC351" s="357"/>
      <c r="AD351" s="357">
        <f>AD350</f>
        <v>356</v>
      </c>
      <c r="AE351" s="357"/>
      <c r="AF351" s="357"/>
      <c r="AG351" s="357"/>
      <c r="AH351" s="357"/>
      <c r="AI351" s="357"/>
      <c r="AJ351" s="357"/>
      <c r="AK351" s="357"/>
      <c r="AL351" s="357"/>
      <c r="AM351" s="357"/>
      <c r="AN351" s="357"/>
      <c r="AO351" s="357"/>
      <c r="AP351" s="357"/>
      <c r="AQ351" s="453">
        <f>AQ350</f>
        <v>19.850000000000001</v>
      </c>
      <c r="AR351" s="357">
        <f>(2*9.15)+(CR302*2)</f>
        <v>28.1</v>
      </c>
      <c r="AS351" s="362"/>
      <c r="AT351" s="360">
        <f>(CR301*2)</f>
        <v>7.2</v>
      </c>
      <c r="AU351" s="453"/>
      <c r="AV351" s="357"/>
      <c r="AW351" s="357"/>
      <c r="AX351" s="357"/>
      <c r="AY351" s="360"/>
      <c r="AZ351" s="363">
        <f t="shared" si="79"/>
        <v>356</v>
      </c>
      <c r="BA351" s="364">
        <f t="shared" si="80"/>
        <v>0</v>
      </c>
      <c r="BB351" s="395"/>
      <c r="BC351" s="365">
        <f t="shared" si="84"/>
        <v>0</v>
      </c>
      <c r="BD351" s="453"/>
      <c r="BE351" s="357"/>
      <c r="BF351" s="357"/>
      <c r="BG351" s="357"/>
      <c r="BH351" s="357"/>
      <c r="BI351" s="357"/>
      <c r="BJ351" s="357">
        <v>1</v>
      </c>
      <c r="BK351" s="357"/>
      <c r="BL351" s="357"/>
      <c r="BM351" s="357"/>
      <c r="BN351" s="357"/>
      <c r="BO351" s="357"/>
      <c r="BP351" s="357"/>
      <c r="BQ351" s="357"/>
      <c r="BR351" s="357"/>
      <c r="BS351" s="357"/>
      <c r="BT351" s="357"/>
      <c r="BU351" s="357"/>
      <c r="BV351" s="357"/>
      <c r="BW351" s="357"/>
      <c r="BX351" s="357"/>
      <c r="BY351" s="357"/>
      <c r="BZ351" s="357"/>
      <c r="CA351" s="357"/>
      <c r="CB351" s="357"/>
      <c r="CC351" s="357"/>
      <c r="CD351" s="357"/>
      <c r="CE351" s="357"/>
      <c r="CF351" s="357"/>
      <c r="CG351" s="357"/>
      <c r="CH351" s="357"/>
      <c r="CI351" s="362"/>
      <c r="CJ351" s="362"/>
      <c r="CK351" s="362"/>
      <c r="CL351" s="362"/>
      <c r="CM351" s="362"/>
      <c r="CN351" s="362"/>
      <c r="CO351" s="362"/>
      <c r="CP351" s="362"/>
      <c r="CQ351" s="362"/>
      <c r="CR351" s="362">
        <v>2</v>
      </c>
      <c r="CS351" s="362"/>
      <c r="CT351" s="362"/>
      <c r="CU351" s="362"/>
      <c r="CV351" s="362"/>
      <c r="CW351" s="362"/>
      <c r="CX351" s="362">
        <v>1</v>
      </c>
      <c r="CY351" s="362"/>
      <c r="CZ351" s="362"/>
      <c r="DA351" s="362"/>
      <c r="DB351" s="362"/>
      <c r="DC351" s="362"/>
      <c r="DD351" s="362"/>
      <c r="DE351" s="362"/>
      <c r="DF351" s="362"/>
      <c r="DG351" s="362"/>
      <c r="DH351" s="362"/>
      <c r="DI351" s="362"/>
      <c r="DJ351" s="362"/>
      <c r="DK351" s="362"/>
      <c r="DL351" s="362"/>
      <c r="DM351" s="362"/>
      <c r="DN351" s="362"/>
      <c r="DO351" s="360"/>
      <c r="DP351" s="310">
        <f>CE370</f>
        <v>13</v>
      </c>
      <c r="DQ351" s="310">
        <f>CE412</f>
        <v>0</v>
      </c>
      <c r="DR351" s="310">
        <f>CE460</f>
        <v>0</v>
      </c>
      <c r="DS351" s="310">
        <f>CE484</f>
        <v>0</v>
      </c>
      <c r="DT351" s="310"/>
      <c r="DU351" s="310">
        <f t="shared" si="81"/>
        <v>13</v>
      </c>
      <c r="DV351" s="309" t="s">
        <v>2067</v>
      </c>
      <c r="DW351" s="310"/>
      <c r="DX351" s="708">
        <f>ROUNDUP(CE300*4500,0)</f>
        <v>55080</v>
      </c>
    </row>
    <row r="352" spans="1:128" s="63" customFormat="1" ht="18">
      <c r="A352" s="454"/>
      <c r="B352" s="819" t="s">
        <v>1577</v>
      </c>
      <c r="C352" s="459"/>
      <c r="D352" s="459">
        <v>95</v>
      </c>
      <c r="E352" s="461"/>
      <c r="F352" s="461"/>
      <c r="G352" s="357"/>
      <c r="H352" s="357"/>
      <c r="I352" s="357"/>
      <c r="J352" s="357"/>
      <c r="K352" s="357"/>
      <c r="L352" s="357"/>
      <c r="M352" s="357"/>
      <c r="N352" s="357"/>
      <c r="O352" s="357"/>
      <c r="P352" s="362"/>
      <c r="Q352" s="362"/>
      <c r="R352" s="362"/>
      <c r="S352" s="362"/>
      <c r="T352" s="360"/>
      <c r="U352" s="453">
        <f>U350</f>
        <v>50</v>
      </c>
      <c r="V352" s="453">
        <f>V351</f>
        <v>203</v>
      </c>
      <c r="W352" s="453"/>
      <c r="X352" s="357"/>
      <c r="Y352" s="357"/>
      <c r="Z352" s="357"/>
      <c r="AA352" s="357"/>
      <c r="AB352" s="357"/>
      <c r="AC352" s="357"/>
      <c r="AD352" s="357">
        <f>AD350</f>
        <v>356</v>
      </c>
      <c r="AE352" s="357"/>
      <c r="AF352" s="357"/>
      <c r="AG352" s="357"/>
      <c r="AH352" s="357"/>
      <c r="AI352" s="357"/>
      <c r="AJ352" s="357"/>
      <c r="AK352" s="357"/>
      <c r="AL352" s="357"/>
      <c r="AM352" s="357"/>
      <c r="AN352" s="357"/>
      <c r="AO352" s="357"/>
      <c r="AP352" s="357"/>
      <c r="AQ352" s="453">
        <f>AQ350</f>
        <v>19.850000000000001</v>
      </c>
      <c r="AR352" s="453">
        <f>AR351</f>
        <v>28.1</v>
      </c>
      <c r="AS352" s="362"/>
      <c r="AT352" s="360">
        <f>AT351</f>
        <v>7.2</v>
      </c>
      <c r="AU352" s="453"/>
      <c r="AV352" s="357"/>
      <c r="AW352" s="357"/>
      <c r="AX352" s="357"/>
      <c r="AY352" s="360"/>
      <c r="AZ352" s="363">
        <f t="shared" si="79"/>
        <v>356</v>
      </c>
      <c r="BA352" s="364">
        <f t="shared" si="80"/>
        <v>0</v>
      </c>
      <c r="BB352" s="395"/>
      <c r="BC352" s="365">
        <f t="shared" si="84"/>
        <v>0</v>
      </c>
      <c r="BD352" s="453"/>
      <c r="BE352" s="357"/>
      <c r="BF352" s="357"/>
      <c r="BG352" s="357"/>
      <c r="BH352" s="357"/>
      <c r="BI352" s="357"/>
      <c r="BJ352" s="357">
        <v>1</v>
      </c>
      <c r="BK352" s="357"/>
      <c r="BL352" s="357"/>
      <c r="BM352" s="357"/>
      <c r="BN352" s="357"/>
      <c r="BO352" s="357"/>
      <c r="BP352" s="357"/>
      <c r="BQ352" s="357"/>
      <c r="BR352" s="357"/>
      <c r="BS352" s="357"/>
      <c r="BT352" s="357"/>
      <c r="BU352" s="357"/>
      <c r="BV352" s="357"/>
      <c r="BW352" s="357"/>
      <c r="BX352" s="357"/>
      <c r="BY352" s="357"/>
      <c r="BZ352" s="357"/>
      <c r="CA352" s="357"/>
      <c r="CB352" s="357"/>
      <c r="CC352" s="357"/>
      <c r="CD352" s="357"/>
      <c r="CE352" s="357"/>
      <c r="CF352" s="357"/>
      <c r="CG352" s="357"/>
      <c r="CH352" s="357"/>
      <c r="CI352" s="362"/>
      <c r="CJ352" s="362"/>
      <c r="CK352" s="362"/>
      <c r="CL352" s="362"/>
      <c r="CM352" s="362"/>
      <c r="CN352" s="362"/>
      <c r="CO352" s="362"/>
      <c r="CP352" s="362"/>
      <c r="CQ352" s="362"/>
      <c r="CR352" s="362">
        <v>2</v>
      </c>
      <c r="CS352" s="362"/>
      <c r="CT352" s="362"/>
      <c r="CU352" s="362"/>
      <c r="CV352" s="362"/>
      <c r="CW352" s="362"/>
      <c r="CX352" s="362">
        <v>1</v>
      </c>
      <c r="CY352" s="362"/>
      <c r="CZ352" s="362"/>
      <c r="DA352" s="362"/>
      <c r="DB352" s="362"/>
      <c r="DC352" s="362"/>
      <c r="DD352" s="362"/>
      <c r="DE352" s="362"/>
      <c r="DF352" s="362"/>
      <c r="DG352" s="362"/>
      <c r="DH352" s="362"/>
      <c r="DI352" s="362"/>
      <c r="DJ352" s="362"/>
      <c r="DK352" s="362"/>
      <c r="DL352" s="362"/>
      <c r="DM352" s="362"/>
      <c r="DN352" s="362"/>
      <c r="DO352" s="360"/>
      <c r="DP352" s="310">
        <f>CF370</f>
        <v>0</v>
      </c>
      <c r="DQ352" s="310">
        <f>CF412</f>
        <v>0</v>
      </c>
      <c r="DR352" s="310">
        <f>CF460</f>
        <v>13</v>
      </c>
      <c r="DS352" s="310">
        <f>CF484</f>
        <v>0</v>
      </c>
      <c r="DT352" s="310"/>
      <c r="DU352" s="310">
        <f t="shared" si="81"/>
        <v>13</v>
      </c>
      <c r="DV352" s="309" t="s">
        <v>2068</v>
      </c>
      <c r="DW352" s="310"/>
      <c r="DX352" s="708">
        <f>ROUNDUP(CF300*4500,0)</f>
        <v>31631</v>
      </c>
    </row>
    <row r="353" spans="1:131" s="63" customFormat="1" ht="18">
      <c r="A353" s="454"/>
      <c r="B353" s="819" t="s">
        <v>1578</v>
      </c>
      <c r="C353" s="459"/>
      <c r="D353" s="459">
        <v>65</v>
      </c>
      <c r="E353" s="461"/>
      <c r="F353" s="461"/>
      <c r="G353" s="357"/>
      <c r="H353" s="357"/>
      <c r="I353" s="357"/>
      <c r="J353" s="357"/>
      <c r="K353" s="357"/>
      <c r="L353" s="357"/>
      <c r="M353" s="357"/>
      <c r="N353" s="357"/>
      <c r="O353" s="357"/>
      <c r="P353" s="362"/>
      <c r="Q353" s="362"/>
      <c r="R353" s="362"/>
      <c r="S353" s="362"/>
      <c r="T353" s="360"/>
      <c r="U353" s="453">
        <f>ROUND((17.2*9.15)-BI300,0)</f>
        <v>148</v>
      </c>
      <c r="V353" s="453"/>
      <c r="W353" s="453"/>
      <c r="X353" s="357"/>
      <c r="Y353" s="357"/>
      <c r="Z353" s="357"/>
      <c r="AA353" s="357"/>
      <c r="AB353" s="357"/>
      <c r="AC353" s="357"/>
      <c r="AD353" s="357">
        <f>AD349</f>
        <v>314</v>
      </c>
      <c r="AE353" s="357"/>
      <c r="AF353" s="357"/>
      <c r="AG353" s="357"/>
      <c r="AH353" s="357"/>
      <c r="AI353" s="357"/>
      <c r="AJ353" s="357"/>
      <c r="AK353" s="357"/>
      <c r="AL353" s="357"/>
      <c r="AM353" s="357"/>
      <c r="AN353" s="357"/>
      <c r="AO353" s="357"/>
      <c r="AP353" s="357"/>
      <c r="AQ353" s="357">
        <f>9.15+BI302</f>
        <v>16.55</v>
      </c>
      <c r="AR353" s="357"/>
      <c r="AS353" s="362"/>
      <c r="AT353" s="360">
        <f>BI301</f>
        <v>3.7</v>
      </c>
      <c r="AU353" s="453"/>
      <c r="AV353" s="357"/>
      <c r="AW353" s="357"/>
      <c r="AX353" s="357"/>
      <c r="AY353" s="360"/>
      <c r="AZ353" s="363">
        <f t="shared" si="79"/>
        <v>314</v>
      </c>
      <c r="BA353" s="364">
        <f t="shared" si="80"/>
        <v>0</v>
      </c>
      <c r="BB353" s="395"/>
      <c r="BC353" s="365">
        <f t="shared" si="84"/>
        <v>0</v>
      </c>
      <c r="BD353" s="453"/>
      <c r="BE353" s="357"/>
      <c r="BF353" s="357"/>
      <c r="BG353" s="357"/>
      <c r="BH353" s="357"/>
      <c r="BI353" s="357">
        <v>1</v>
      </c>
      <c r="BJ353" s="357"/>
      <c r="BK353" s="357"/>
      <c r="BL353" s="357"/>
      <c r="BM353" s="357"/>
      <c r="BN353" s="357"/>
      <c r="BO353" s="357"/>
      <c r="BP353" s="357"/>
      <c r="BQ353" s="357"/>
      <c r="BR353" s="357"/>
      <c r="BS353" s="357"/>
      <c r="BT353" s="357"/>
      <c r="BU353" s="357"/>
      <c r="BV353" s="357"/>
      <c r="BW353" s="357"/>
      <c r="BX353" s="357"/>
      <c r="BY353" s="357"/>
      <c r="BZ353" s="357"/>
      <c r="CA353" s="357"/>
      <c r="CB353" s="357"/>
      <c r="CC353" s="357"/>
      <c r="CD353" s="357"/>
      <c r="CE353" s="357"/>
      <c r="CF353" s="357"/>
      <c r="CG353" s="357"/>
      <c r="CH353" s="357"/>
      <c r="CI353" s="362"/>
      <c r="CJ353" s="362"/>
      <c r="CK353" s="362"/>
      <c r="CL353" s="362"/>
      <c r="CM353" s="362"/>
      <c r="CN353" s="362"/>
      <c r="CO353" s="362"/>
      <c r="CP353" s="362"/>
      <c r="CQ353" s="362"/>
      <c r="CR353" s="362">
        <v>1</v>
      </c>
      <c r="CS353" s="362"/>
      <c r="CT353" s="362"/>
      <c r="CU353" s="362"/>
      <c r="CV353" s="362"/>
      <c r="CW353" s="362"/>
      <c r="CX353" s="362">
        <v>1</v>
      </c>
      <c r="CY353" s="362"/>
      <c r="CZ353" s="362"/>
      <c r="DA353" s="362"/>
      <c r="DB353" s="362"/>
      <c r="DC353" s="362"/>
      <c r="DD353" s="362"/>
      <c r="DE353" s="362"/>
      <c r="DF353" s="362"/>
      <c r="DG353" s="362"/>
      <c r="DH353" s="362"/>
      <c r="DI353" s="362"/>
      <c r="DJ353" s="362"/>
      <c r="DK353" s="362"/>
      <c r="DL353" s="362"/>
      <c r="DM353" s="362"/>
      <c r="DN353" s="362"/>
      <c r="DO353" s="360"/>
      <c r="DP353" s="310">
        <f>CG370</f>
        <v>0</v>
      </c>
      <c r="DQ353" s="310">
        <f>CG412</f>
        <v>5</v>
      </c>
      <c r="DR353" s="310">
        <f>CG460</f>
        <v>9</v>
      </c>
      <c r="DS353" s="310">
        <f>CG484</f>
        <v>0</v>
      </c>
      <c r="DT353" s="310"/>
      <c r="DU353" s="310">
        <f t="shared" si="81"/>
        <v>14</v>
      </c>
      <c r="DV353" s="309" t="s">
        <v>2069</v>
      </c>
      <c r="DW353" s="310"/>
      <c r="DX353" s="708">
        <f>ROUNDUP(CG300*4500,0)</f>
        <v>37497</v>
      </c>
    </row>
    <row r="354" spans="1:131" s="63" customFormat="1" ht="21.75">
      <c r="A354" s="454"/>
      <c r="B354" s="819" t="s">
        <v>1579</v>
      </c>
      <c r="C354" s="459"/>
      <c r="D354" s="459">
        <v>76</v>
      </c>
      <c r="E354" s="461"/>
      <c r="F354" s="461"/>
      <c r="G354" s="357"/>
      <c r="H354" s="357"/>
      <c r="I354" s="357"/>
      <c r="J354" s="357"/>
      <c r="K354" s="357"/>
      <c r="L354" s="357"/>
      <c r="M354" s="357"/>
      <c r="N354" s="357"/>
      <c r="O354" s="357"/>
      <c r="P354" s="362"/>
      <c r="Q354" s="362"/>
      <c r="R354" s="362"/>
      <c r="S354" s="362"/>
      <c r="T354" s="360"/>
      <c r="U354" s="453">
        <f>ROUND((38.6*5.4)-(BG300+CY300),0)</f>
        <v>200</v>
      </c>
      <c r="V354" s="453"/>
      <c r="W354" s="453"/>
      <c r="X354" s="357"/>
      <c r="Y354" s="357"/>
      <c r="Z354" s="357"/>
      <c r="AA354" s="357"/>
      <c r="AB354" s="357"/>
      <c r="AC354" s="357"/>
      <c r="AD354" s="357">
        <f>ROUND((38.61*5.45)-(BG300+CY300),0)</f>
        <v>201</v>
      </c>
      <c r="AE354" s="357"/>
      <c r="AF354" s="357"/>
      <c r="AG354" s="357"/>
      <c r="AH354" s="357"/>
      <c r="AI354" s="357"/>
      <c r="AJ354" s="357"/>
      <c r="AK354" s="357"/>
      <c r="AL354" s="357"/>
      <c r="AM354" s="357"/>
      <c r="AN354" s="357"/>
      <c r="AO354" s="357"/>
      <c r="AP354" s="357"/>
      <c r="AQ354" s="357">
        <f>BG302+CY302</f>
        <v>7</v>
      </c>
      <c r="AR354" s="357"/>
      <c r="AS354" s="362"/>
      <c r="AT354" s="360">
        <f>BG301+CY301</f>
        <v>12.700000000000001</v>
      </c>
      <c r="AU354" s="453"/>
      <c r="AV354" s="357"/>
      <c r="AW354" s="357"/>
      <c r="AX354" s="357"/>
      <c r="AY354" s="360"/>
      <c r="AZ354" s="363">
        <f t="shared" si="79"/>
        <v>201</v>
      </c>
      <c r="BA354" s="364">
        <f t="shared" si="80"/>
        <v>0</v>
      </c>
      <c r="BB354" s="395"/>
      <c r="BC354" s="365">
        <f t="shared" si="84"/>
        <v>0</v>
      </c>
      <c r="BD354" s="453"/>
      <c r="BE354" s="357"/>
      <c r="BF354" s="357"/>
      <c r="BG354" s="357">
        <v>1</v>
      </c>
      <c r="BH354" s="357"/>
      <c r="BI354" s="357"/>
      <c r="BJ354" s="357"/>
      <c r="BK354" s="357"/>
      <c r="BL354" s="357"/>
      <c r="BM354" s="357"/>
      <c r="BN354" s="357"/>
      <c r="BO354" s="357"/>
      <c r="BP354" s="357"/>
      <c r="BQ354" s="357"/>
      <c r="BR354" s="357"/>
      <c r="BS354" s="357"/>
      <c r="BT354" s="357"/>
      <c r="BU354" s="357"/>
      <c r="BV354" s="357"/>
      <c r="BW354" s="357"/>
      <c r="BX354" s="357"/>
      <c r="BY354" s="357"/>
      <c r="BZ354" s="357"/>
      <c r="CA354" s="357"/>
      <c r="CB354" s="357"/>
      <c r="CC354" s="357"/>
      <c r="CD354" s="357"/>
      <c r="CE354" s="357"/>
      <c r="CF354" s="357"/>
      <c r="CG354" s="357"/>
      <c r="CH354" s="357"/>
      <c r="CI354" s="362"/>
      <c r="CJ354" s="362"/>
      <c r="CK354" s="362"/>
      <c r="CL354" s="362"/>
      <c r="CM354" s="362"/>
      <c r="CN354" s="362"/>
      <c r="CO354" s="362"/>
      <c r="CP354" s="362"/>
      <c r="CQ354" s="362"/>
      <c r="CR354" s="362"/>
      <c r="CS354" s="362"/>
      <c r="CT354" s="362"/>
      <c r="CU354" s="362"/>
      <c r="CV354" s="362"/>
      <c r="CW354" s="362"/>
      <c r="CX354" s="362"/>
      <c r="CY354" s="362"/>
      <c r="CZ354" s="362"/>
      <c r="DA354" s="362"/>
      <c r="DB354" s="362"/>
      <c r="DC354" s="362"/>
      <c r="DD354" s="362"/>
      <c r="DE354" s="362"/>
      <c r="DF354" s="362"/>
      <c r="DG354" s="362"/>
      <c r="DH354" s="362"/>
      <c r="DI354" s="362"/>
      <c r="DJ354" s="362"/>
      <c r="DK354" s="362"/>
      <c r="DL354" s="362"/>
      <c r="DM354" s="362"/>
      <c r="DN354" s="362"/>
      <c r="DO354" s="360"/>
      <c r="DP354" s="310">
        <f>CH370</f>
        <v>11</v>
      </c>
      <c r="DQ354" s="310">
        <f>CH412</f>
        <v>0</v>
      </c>
      <c r="DR354" s="310">
        <f>CH460</f>
        <v>0</v>
      </c>
      <c r="DS354" s="310">
        <f>CH484</f>
        <v>0</v>
      </c>
      <c r="DT354" s="310"/>
      <c r="DU354" s="310">
        <f t="shared" si="81"/>
        <v>11</v>
      </c>
      <c r="DV354" s="309" t="s">
        <v>2070</v>
      </c>
      <c r="DW354" s="310"/>
      <c r="DX354" s="708">
        <f>ROUNDUP(CH300*4300,0)</f>
        <v>53729</v>
      </c>
      <c r="EA354" s="788">
        <f>ROUNDUP((((5.1*3)+(2.45*4))*1000)+((22*5.1)*250),0)</f>
        <v>53150</v>
      </c>
    </row>
    <row r="355" spans="1:131" s="63" customFormat="1" ht="18">
      <c r="A355" s="454"/>
      <c r="B355" s="819" t="s">
        <v>1580</v>
      </c>
      <c r="C355" s="459"/>
      <c r="D355" s="459">
        <v>50</v>
      </c>
      <c r="E355" s="461"/>
      <c r="F355" s="461"/>
      <c r="G355" s="357"/>
      <c r="H355" s="357"/>
      <c r="I355" s="357"/>
      <c r="J355" s="357"/>
      <c r="K355" s="357"/>
      <c r="L355" s="357"/>
      <c r="M355" s="357"/>
      <c r="N355" s="357"/>
      <c r="O355" s="357"/>
      <c r="P355" s="362"/>
      <c r="Q355" s="362"/>
      <c r="R355" s="362"/>
      <c r="S355" s="362"/>
      <c r="T355" s="360"/>
      <c r="U355" s="453">
        <f>ROUND((29.6*5.4)-(BF300+CY300),0)</f>
        <v>144</v>
      </c>
      <c r="V355" s="453"/>
      <c r="W355" s="453"/>
      <c r="X355" s="357"/>
      <c r="Y355" s="357"/>
      <c r="Z355" s="357"/>
      <c r="AA355" s="357"/>
      <c r="AB355" s="357"/>
      <c r="AC355" s="357"/>
      <c r="AD355" s="357">
        <f>ROUND((29.6*5.45)-(BF300+CY300),0)</f>
        <v>145</v>
      </c>
      <c r="AE355" s="357"/>
      <c r="AF355" s="357"/>
      <c r="AG355" s="357"/>
      <c r="AH355" s="357"/>
      <c r="AI355" s="357"/>
      <c r="AJ355" s="357"/>
      <c r="AK355" s="357"/>
      <c r="AL355" s="357"/>
      <c r="AM355" s="357"/>
      <c r="AN355" s="357"/>
      <c r="AO355" s="357"/>
      <c r="AP355" s="357"/>
      <c r="AQ355" s="357">
        <f>BF302+CY302</f>
        <v>10.4</v>
      </c>
      <c r="AR355" s="357"/>
      <c r="AS355" s="362"/>
      <c r="AT355" s="360">
        <f>BF301+CY301</f>
        <v>16.200000000000003</v>
      </c>
      <c r="AU355" s="453"/>
      <c r="AV355" s="357"/>
      <c r="AW355" s="357"/>
      <c r="AX355" s="357"/>
      <c r="AY355" s="360"/>
      <c r="AZ355" s="363">
        <f t="shared" si="79"/>
        <v>145</v>
      </c>
      <c r="BA355" s="364">
        <f t="shared" si="80"/>
        <v>0</v>
      </c>
      <c r="BB355" s="395"/>
      <c r="BC355" s="365">
        <f t="shared" si="84"/>
        <v>0</v>
      </c>
      <c r="BD355" s="453"/>
      <c r="BE355" s="357"/>
      <c r="BF355" s="357">
        <v>1</v>
      </c>
      <c r="BG355" s="357"/>
      <c r="BH355" s="357"/>
      <c r="BI355" s="357"/>
      <c r="BJ355" s="357"/>
      <c r="BK355" s="357"/>
      <c r="BL355" s="357"/>
      <c r="BM355" s="357"/>
      <c r="BN355" s="357"/>
      <c r="BO355" s="357"/>
      <c r="BP355" s="357"/>
      <c r="BQ355" s="357"/>
      <c r="BR355" s="357"/>
      <c r="BS355" s="357"/>
      <c r="BT355" s="357"/>
      <c r="BU355" s="357"/>
      <c r="BV355" s="357"/>
      <c r="BW355" s="357"/>
      <c r="BX355" s="357"/>
      <c r="BY355" s="357"/>
      <c r="BZ355" s="357"/>
      <c r="CA355" s="357"/>
      <c r="CB355" s="357"/>
      <c r="CC355" s="357"/>
      <c r="CD355" s="357"/>
      <c r="CE355" s="357"/>
      <c r="CF355" s="357"/>
      <c r="CG355" s="357"/>
      <c r="CH355" s="357"/>
      <c r="CI355" s="362"/>
      <c r="CJ355" s="362"/>
      <c r="CK355" s="362"/>
      <c r="CL355" s="362"/>
      <c r="CM355" s="362"/>
      <c r="CN355" s="362"/>
      <c r="CO355" s="362"/>
      <c r="CP355" s="362"/>
      <c r="CQ355" s="362"/>
      <c r="CR355" s="362"/>
      <c r="CS355" s="362"/>
      <c r="CT355" s="362"/>
      <c r="CU355" s="362"/>
      <c r="CV355" s="362"/>
      <c r="CW355" s="362"/>
      <c r="CX355" s="362"/>
      <c r="CY355" s="362">
        <v>1</v>
      </c>
      <c r="CZ355" s="362"/>
      <c r="DA355" s="362"/>
      <c r="DB355" s="362"/>
      <c r="DC355" s="362"/>
      <c r="DD355" s="362"/>
      <c r="DE355" s="362"/>
      <c r="DF355" s="362"/>
      <c r="DG355" s="362"/>
      <c r="DH355" s="362"/>
      <c r="DI355" s="362"/>
      <c r="DJ355" s="362"/>
      <c r="DK355" s="362"/>
      <c r="DL355" s="362"/>
      <c r="DM355" s="362"/>
      <c r="DN355" s="362"/>
      <c r="DO355" s="360"/>
      <c r="DP355" s="310">
        <f>CI370</f>
        <v>0</v>
      </c>
      <c r="DQ355" s="310">
        <f>CI412</f>
        <v>5</v>
      </c>
      <c r="DR355" s="310">
        <f>CI460</f>
        <v>1</v>
      </c>
      <c r="DS355" s="310">
        <f>CI484</f>
        <v>0</v>
      </c>
      <c r="DT355" s="310"/>
      <c r="DU355" s="310">
        <f t="shared" si="81"/>
        <v>6</v>
      </c>
      <c r="DV355" s="309" t="s">
        <v>2071</v>
      </c>
      <c r="DW355" s="310"/>
      <c r="DX355" s="708">
        <f>ROUNDUP(CI300*4500,0)</f>
        <v>37868</v>
      </c>
    </row>
    <row r="356" spans="1:131" s="63" customFormat="1" ht="18">
      <c r="A356" s="454"/>
      <c r="B356" s="819" t="s">
        <v>1581</v>
      </c>
      <c r="C356" s="459"/>
      <c r="D356" s="459">
        <v>50</v>
      </c>
      <c r="E356" s="461"/>
      <c r="F356" s="461"/>
      <c r="G356" s="357"/>
      <c r="H356" s="357"/>
      <c r="I356" s="357"/>
      <c r="J356" s="357"/>
      <c r="K356" s="357"/>
      <c r="L356" s="357"/>
      <c r="M356" s="357"/>
      <c r="N356" s="357"/>
      <c r="O356" s="357"/>
      <c r="P356" s="362"/>
      <c r="Q356" s="362"/>
      <c r="R356" s="362"/>
      <c r="S356" s="362"/>
      <c r="T356" s="360"/>
      <c r="U356" s="453">
        <f>U355</f>
        <v>144</v>
      </c>
      <c r="V356" s="453"/>
      <c r="W356" s="453"/>
      <c r="X356" s="357"/>
      <c r="Y356" s="357"/>
      <c r="Z356" s="357"/>
      <c r="AA356" s="357"/>
      <c r="AB356" s="357"/>
      <c r="AC356" s="357"/>
      <c r="AD356" s="357">
        <f>AD355</f>
        <v>145</v>
      </c>
      <c r="AE356" s="357"/>
      <c r="AF356" s="357"/>
      <c r="AG356" s="357"/>
      <c r="AH356" s="357"/>
      <c r="AI356" s="357"/>
      <c r="AJ356" s="357"/>
      <c r="AK356" s="357"/>
      <c r="AL356" s="357"/>
      <c r="AM356" s="357"/>
      <c r="AN356" s="357"/>
      <c r="AO356" s="357"/>
      <c r="AP356" s="357"/>
      <c r="AQ356" s="357">
        <f>AQ355</f>
        <v>10.4</v>
      </c>
      <c r="AR356" s="357"/>
      <c r="AS356" s="362"/>
      <c r="AT356" s="360">
        <f>AT355</f>
        <v>16.200000000000003</v>
      </c>
      <c r="AU356" s="453"/>
      <c r="AV356" s="357"/>
      <c r="AW356" s="357"/>
      <c r="AX356" s="357"/>
      <c r="AY356" s="360"/>
      <c r="AZ356" s="363">
        <f t="shared" si="79"/>
        <v>145</v>
      </c>
      <c r="BA356" s="364">
        <f t="shared" si="80"/>
        <v>0</v>
      </c>
      <c r="BB356" s="395"/>
      <c r="BC356" s="365">
        <f t="shared" si="84"/>
        <v>0</v>
      </c>
      <c r="BD356" s="453"/>
      <c r="BE356" s="357"/>
      <c r="BF356" s="357">
        <v>1</v>
      </c>
      <c r="BG356" s="357"/>
      <c r="BH356" s="357"/>
      <c r="BI356" s="357"/>
      <c r="BJ356" s="357"/>
      <c r="BK356" s="357"/>
      <c r="BL356" s="357"/>
      <c r="BM356" s="357"/>
      <c r="BN356" s="357"/>
      <c r="BO356" s="357"/>
      <c r="BP356" s="357"/>
      <c r="BQ356" s="357"/>
      <c r="BR356" s="357"/>
      <c r="BS356" s="357"/>
      <c r="BT356" s="357"/>
      <c r="BU356" s="357"/>
      <c r="BV356" s="357"/>
      <c r="BW356" s="357"/>
      <c r="BX356" s="357"/>
      <c r="BY356" s="357"/>
      <c r="BZ356" s="357"/>
      <c r="CA356" s="357"/>
      <c r="CB356" s="357"/>
      <c r="CC356" s="357"/>
      <c r="CD356" s="357"/>
      <c r="CE356" s="357"/>
      <c r="CF356" s="357"/>
      <c r="CG356" s="357"/>
      <c r="CH356" s="357"/>
      <c r="CI356" s="362"/>
      <c r="CJ356" s="362"/>
      <c r="CK356" s="362"/>
      <c r="CL356" s="362"/>
      <c r="CM356" s="362"/>
      <c r="CN356" s="362"/>
      <c r="CO356" s="362"/>
      <c r="CP356" s="362"/>
      <c r="CQ356" s="362"/>
      <c r="CR356" s="362"/>
      <c r="CS356" s="362"/>
      <c r="CT356" s="362"/>
      <c r="CU356" s="362"/>
      <c r="CV356" s="362"/>
      <c r="CW356" s="362"/>
      <c r="CX356" s="362"/>
      <c r="CY356" s="362">
        <v>1</v>
      </c>
      <c r="CZ356" s="362"/>
      <c r="DA356" s="362"/>
      <c r="DB356" s="362"/>
      <c r="DC356" s="362"/>
      <c r="DD356" s="362"/>
      <c r="DE356" s="362"/>
      <c r="DF356" s="362"/>
      <c r="DG356" s="362"/>
      <c r="DH356" s="362"/>
      <c r="DI356" s="362"/>
      <c r="DJ356" s="362"/>
      <c r="DK356" s="362"/>
      <c r="DL356" s="362"/>
      <c r="DM356" s="362"/>
      <c r="DN356" s="362"/>
      <c r="DO356" s="360"/>
      <c r="DP356" s="310">
        <f>CJ370</f>
        <v>4</v>
      </c>
      <c r="DQ356" s="310">
        <f>CJ412</f>
        <v>0</v>
      </c>
      <c r="DR356" s="310">
        <f>CJ460</f>
        <v>0</v>
      </c>
      <c r="DS356" s="310">
        <f>CJ484</f>
        <v>0</v>
      </c>
      <c r="DT356" s="310"/>
      <c r="DU356" s="310">
        <f t="shared" si="81"/>
        <v>4</v>
      </c>
      <c r="DV356" s="309" t="s">
        <v>2072</v>
      </c>
      <c r="DW356" s="310"/>
      <c r="DX356" s="708">
        <f>ROUNDUP(CJ300*4500,0)</f>
        <v>86063</v>
      </c>
    </row>
    <row r="357" spans="1:131" s="63" customFormat="1" ht="18">
      <c r="A357" s="454"/>
      <c r="B357" s="819" t="s">
        <v>1582</v>
      </c>
      <c r="C357" s="459"/>
      <c r="D357" s="459">
        <v>80</v>
      </c>
      <c r="E357" s="461"/>
      <c r="F357" s="461"/>
      <c r="G357" s="357"/>
      <c r="H357" s="357"/>
      <c r="I357" s="357"/>
      <c r="J357" s="357"/>
      <c r="K357" s="357"/>
      <c r="L357" s="357"/>
      <c r="M357" s="357"/>
      <c r="N357" s="357"/>
      <c r="O357" s="357"/>
      <c r="P357" s="362"/>
      <c r="Q357" s="362"/>
      <c r="R357" s="362"/>
      <c r="S357" s="362"/>
      <c r="T357" s="360"/>
      <c r="U357" s="361">
        <f>ROUND((24.9*5.4)-(BF300+CY300),0)</f>
        <v>118</v>
      </c>
      <c r="V357" s="361"/>
      <c r="W357" s="361"/>
      <c r="X357" s="357"/>
      <c r="Y357" s="357"/>
      <c r="Z357" s="357"/>
      <c r="AA357" s="357"/>
      <c r="AB357" s="357"/>
      <c r="AC357" s="357"/>
      <c r="AD357" s="357">
        <f>AD314</f>
        <v>170</v>
      </c>
      <c r="AE357" s="357"/>
      <c r="AF357" s="357"/>
      <c r="AG357" s="357"/>
      <c r="AH357" s="357"/>
      <c r="AI357" s="357"/>
      <c r="AJ357" s="357"/>
      <c r="AK357" s="357"/>
      <c r="AL357" s="357"/>
      <c r="AM357" s="357"/>
      <c r="AN357" s="357"/>
      <c r="AO357" s="357"/>
      <c r="AP357" s="357"/>
      <c r="AQ357" s="357">
        <f>ROUND(BF302+CY302,0)</f>
        <v>10</v>
      </c>
      <c r="AR357" s="357"/>
      <c r="AS357" s="362"/>
      <c r="AT357" s="360">
        <f>ROUND(BF301+CY301,0)</f>
        <v>16</v>
      </c>
      <c r="AU357" s="453"/>
      <c r="AV357" s="357"/>
      <c r="AW357" s="357"/>
      <c r="AX357" s="357"/>
      <c r="AY357" s="360"/>
      <c r="AZ357" s="363">
        <f t="shared" si="79"/>
        <v>170</v>
      </c>
      <c r="BA357" s="364">
        <f t="shared" si="80"/>
        <v>0</v>
      </c>
      <c r="BB357" s="395"/>
      <c r="BC357" s="365">
        <f t="shared" si="84"/>
        <v>0</v>
      </c>
      <c r="BD357" s="453"/>
      <c r="BE357" s="357"/>
      <c r="BF357" s="357">
        <v>1</v>
      </c>
      <c r="BG357" s="357"/>
      <c r="BH357" s="357"/>
      <c r="BI357" s="357"/>
      <c r="BJ357" s="357"/>
      <c r="BK357" s="357"/>
      <c r="BL357" s="357"/>
      <c r="BM357" s="357"/>
      <c r="BN357" s="357"/>
      <c r="BO357" s="357"/>
      <c r="BP357" s="357"/>
      <c r="BQ357" s="357"/>
      <c r="BR357" s="357"/>
      <c r="BS357" s="357"/>
      <c r="BT357" s="357"/>
      <c r="BU357" s="357"/>
      <c r="BV357" s="357"/>
      <c r="BW357" s="357"/>
      <c r="BX357" s="357"/>
      <c r="BY357" s="357"/>
      <c r="BZ357" s="357"/>
      <c r="CA357" s="357"/>
      <c r="CB357" s="357"/>
      <c r="CC357" s="357"/>
      <c r="CD357" s="357"/>
      <c r="CE357" s="357"/>
      <c r="CF357" s="357"/>
      <c r="CG357" s="357"/>
      <c r="CH357" s="357"/>
      <c r="CI357" s="362"/>
      <c r="CJ357" s="362"/>
      <c r="CK357" s="362"/>
      <c r="CL357" s="362"/>
      <c r="CM357" s="362"/>
      <c r="CN357" s="362"/>
      <c r="CO357" s="362"/>
      <c r="CP357" s="362"/>
      <c r="CQ357" s="362"/>
      <c r="CR357" s="362"/>
      <c r="CS357" s="362"/>
      <c r="CT357" s="362"/>
      <c r="CU357" s="362"/>
      <c r="CV357" s="362"/>
      <c r="CW357" s="362"/>
      <c r="CX357" s="362"/>
      <c r="CY357" s="362">
        <v>1</v>
      </c>
      <c r="CZ357" s="362"/>
      <c r="DA357" s="362"/>
      <c r="DB357" s="362"/>
      <c r="DC357" s="362"/>
      <c r="DD357" s="362"/>
      <c r="DE357" s="362"/>
      <c r="DF357" s="362"/>
      <c r="DG357" s="362"/>
      <c r="DH357" s="362"/>
      <c r="DI357" s="362"/>
      <c r="DJ357" s="362"/>
      <c r="DK357" s="362"/>
      <c r="DL357" s="362"/>
      <c r="DM357" s="362"/>
      <c r="DN357" s="362"/>
      <c r="DO357" s="360"/>
      <c r="DP357" s="310">
        <f>CK370</f>
        <v>1</v>
      </c>
      <c r="DQ357" s="310">
        <f>CK412</f>
        <v>0</v>
      </c>
      <c r="DR357" s="310">
        <f>CK460</f>
        <v>0</v>
      </c>
      <c r="DS357" s="310">
        <f>CK484</f>
        <v>0</v>
      </c>
      <c r="DT357" s="310"/>
      <c r="DU357" s="310">
        <f t="shared" si="81"/>
        <v>1</v>
      </c>
      <c r="DV357" s="309" t="s">
        <v>2073</v>
      </c>
      <c r="DW357" s="310"/>
      <c r="DX357" s="708">
        <f>ROUNDUP(CK300*4500,0)</f>
        <v>30207</v>
      </c>
    </row>
    <row r="358" spans="1:131" s="63" customFormat="1" ht="18">
      <c r="A358" s="454"/>
      <c r="B358" s="819" t="s">
        <v>270</v>
      </c>
      <c r="C358" s="459"/>
      <c r="D358" s="459"/>
      <c r="E358" s="461"/>
      <c r="F358" s="461"/>
      <c r="G358" s="357">
        <v>2740</v>
      </c>
      <c r="H358" s="357"/>
      <c r="I358" s="357"/>
      <c r="J358" s="357"/>
      <c r="K358" s="357"/>
      <c r="L358" s="357"/>
      <c r="M358" s="357"/>
      <c r="N358" s="357"/>
      <c r="O358" s="357"/>
      <c r="P358" s="362"/>
      <c r="Q358" s="362"/>
      <c r="R358" s="362"/>
      <c r="S358" s="362"/>
      <c r="T358" s="360"/>
      <c r="U358" s="453"/>
      <c r="V358" s="453"/>
      <c r="W358" s="453"/>
      <c r="X358" s="357"/>
      <c r="Y358" s="357"/>
      <c r="Z358" s="357"/>
      <c r="AA358" s="357"/>
      <c r="AB358" s="357"/>
      <c r="AC358" s="357"/>
      <c r="AD358" s="357">
        <f>ROUND((304.9*9.5)-(448+(BF300*22)+(BE300*2)+(BG300*2)+(BI300*2)+(BJ300*3)),0)</f>
        <v>2067</v>
      </c>
      <c r="AE358" s="357"/>
      <c r="AF358" s="357"/>
      <c r="AG358" s="357"/>
      <c r="AH358" s="357"/>
      <c r="AI358" s="357"/>
      <c r="AJ358" s="357"/>
      <c r="AK358" s="357"/>
      <c r="AL358" s="357"/>
      <c r="AM358" s="357"/>
      <c r="AN358" s="357"/>
      <c r="AO358" s="357"/>
      <c r="AP358" s="357"/>
      <c r="AQ358" s="357"/>
      <c r="AR358" s="357"/>
      <c r="AS358" s="362"/>
      <c r="AT358" s="360"/>
      <c r="AU358" s="453"/>
      <c r="AV358" s="357"/>
      <c r="AW358" s="357"/>
      <c r="AX358" s="357"/>
      <c r="AY358" s="360"/>
      <c r="AZ358" s="363">
        <f t="shared" si="79"/>
        <v>2067</v>
      </c>
      <c r="BA358" s="364">
        <f t="shared" si="80"/>
        <v>0</v>
      </c>
      <c r="BB358" s="395"/>
      <c r="BC358" s="365">
        <f t="shared" si="84"/>
        <v>0</v>
      </c>
      <c r="BD358" s="453"/>
      <c r="BE358" s="357"/>
      <c r="BF358" s="357"/>
      <c r="BG358" s="357"/>
      <c r="BH358" s="357"/>
      <c r="BI358" s="357"/>
      <c r="BJ358" s="357"/>
      <c r="BK358" s="357"/>
      <c r="BL358" s="357"/>
      <c r="BM358" s="357"/>
      <c r="BN358" s="357"/>
      <c r="BO358" s="357"/>
      <c r="BP358" s="357"/>
      <c r="BQ358" s="357"/>
      <c r="BR358" s="357"/>
      <c r="BS358" s="357"/>
      <c r="BT358" s="357"/>
      <c r="BU358" s="357"/>
      <c r="BV358" s="357"/>
      <c r="BW358" s="357"/>
      <c r="BX358" s="357"/>
      <c r="BY358" s="357"/>
      <c r="BZ358" s="357"/>
      <c r="CA358" s="357"/>
      <c r="CB358" s="357"/>
      <c r="CC358" s="357"/>
      <c r="CD358" s="357"/>
      <c r="CE358" s="357"/>
      <c r="CF358" s="357"/>
      <c r="CG358" s="357"/>
      <c r="CH358" s="357"/>
      <c r="CI358" s="362"/>
      <c r="CJ358" s="362"/>
      <c r="CK358" s="362"/>
      <c r="CL358" s="362"/>
      <c r="CM358" s="362"/>
      <c r="CN358" s="362"/>
      <c r="CO358" s="362"/>
      <c r="CP358" s="362"/>
      <c r="CQ358" s="362"/>
      <c r="CR358" s="362"/>
      <c r="CS358" s="362"/>
      <c r="CT358" s="362"/>
      <c r="CU358" s="362"/>
      <c r="CV358" s="362"/>
      <c r="CW358" s="362"/>
      <c r="CX358" s="362"/>
      <c r="CY358" s="362"/>
      <c r="CZ358" s="362"/>
      <c r="DA358" s="362"/>
      <c r="DB358" s="362"/>
      <c r="DC358" s="362"/>
      <c r="DD358" s="362"/>
      <c r="DE358" s="362"/>
      <c r="DF358" s="362"/>
      <c r="DG358" s="362"/>
      <c r="DH358" s="362"/>
      <c r="DI358" s="362"/>
      <c r="DJ358" s="362"/>
      <c r="DK358" s="362"/>
      <c r="DL358" s="362"/>
      <c r="DM358" s="362"/>
      <c r="DN358" s="362"/>
      <c r="DO358" s="360"/>
      <c r="DP358" s="310">
        <f>CL370</f>
        <v>0</v>
      </c>
      <c r="DQ358" s="310">
        <f>CL412</f>
        <v>1</v>
      </c>
      <c r="DR358" s="310">
        <f>CL460</f>
        <v>1</v>
      </c>
      <c r="DS358" s="310">
        <f>CL484</f>
        <v>0</v>
      </c>
      <c r="DT358" s="310"/>
      <c r="DU358" s="310">
        <f t="shared" si="81"/>
        <v>2</v>
      </c>
      <c r="DV358" s="309" t="s">
        <v>2074</v>
      </c>
      <c r="DW358" s="310"/>
      <c r="DX358" s="708">
        <f>ROUNDUP(CL300*4500,0)</f>
        <v>13291</v>
      </c>
    </row>
    <row r="359" spans="1:131" s="63" customFormat="1" ht="18">
      <c r="A359" s="454"/>
      <c r="B359" s="819" t="s">
        <v>1583</v>
      </c>
      <c r="C359" s="459"/>
      <c r="D359" s="459"/>
      <c r="E359" s="461"/>
      <c r="F359" s="461"/>
      <c r="G359" s="357"/>
      <c r="H359" s="357"/>
      <c r="I359" s="357"/>
      <c r="J359" s="357"/>
      <c r="K359" s="357"/>
      <c r="L359" s="357"/>
      <c r="M359" s="357"/>
      <c r="N359" s="357"/>
      <c r="O359" s="357"/>
      <c r="P359" s="362"/>
      <c r="Q359" s="362"/>
      <c r="R359" s="362"/>
      <c r="S359" s="362">
        <f>ROUNDUP(((0.3*1.5)*60)+((2.05*1.5)*2),0)</f>
        <v>34</v>
      </c>
      <c r="T359" s="360"/>
      <c r="U359" s="453"/>
      <c r="V359" s="453"/>
      <c r="W359" s="453"/>
      <c r="X359" s="357"/>
      <c r="Y359" s="357"/>
      <c r="Z359" s="357"/>
      <c r="AA359" s="357"/>
      <c r="AB359" s="357"/>
      <c r="AC359" s="357"/>
      <c r="AD359" s="357"/>
      <c r="AE359" s="357"/>
      <c r="AF359" s="357"/>
      <c r="AG359" s="357"/>
      <c r="AH359" s="357"/>
      <c r="AI359" s="357"/>
      <c r="AJ359" s="357"/>
      <c r="AK359" s="357"/>
      <c r="AL359" s="357"/>
      <c r="AM359" s="357"/>
      <c r="AN359" s="357"/>
      <c r="AO359" s="357"/>
      <c r="AP359" s="357"/>
      <c r="AQ359" s="357"/>
      <c r="AR359" s="357"/>
      <c r="AS359" s="362"/>
      <c r="AT359" s="360"/>
      <c r="AU359" s="453"/>
      <c r="AV359" s="357"/>
      <c r="AW359" s="357"/>
      <c r="AX359" s="357"/>
      <c r="AY359" s="360"/>
      <c r="AZ359" s="363">
        <f t="shared" si="79"/>
        <v>0</v>
      </c>
      <c r="BA359" s="364">
        <f t="shared" si="80"/>
        <v>0</v>
      </c>
      <c r="BB359" s="395"/>
      <c r="BC359" s="365">
        <f t="shared" si="84"/>
        <v>0</v>
      </c>
      <c r="BD359" s="453"/>
      <c r="BE359" s="357"/>
      <c r="BF359" s="357"/>
      <c r="BG359" s="357"/>
      <c r="BH359" s="357"/>
      <c r="BI359" s="357"/>
      <c r="BJ359" s="357"/>
      <c r="BK359" s="357"/>
      <c r="BL359" s="357"/>
      <c r="BM359" s="357"/>
      <c r="BN359" s="357"/>
      <c r="BO359" s="357"/>
      <c r="BP359" s="357"/>
      <c r="BQ359" s="357"/>
      <c r="BR359" s="357"/>
      <c r="BS359" s="357"/>
      <c r="BT359" s="357"/>
      <c r="BU359" s="357"/>
      <c r="BV359" s="357"/>
      <c r="BW359" s="357"/>
      <c r="BX359" s="357"/>
      <c r="BY359" s="357"/>
      <c r="BZ359" s="357"/>
      <c r="CA359" s="357"/>
      <c r="CB359" s="357"/>
      <c r="CC359" s="357"/>
      <c r="CD359" s="357"/>
      <c r="CE359" s="357"/>
      <c r="CF359" s="357"/>
      <c r="CG359" s="357"/>
      <c r="CH359" s="357"/>
      <c r="CI359" s="362"/>
      <c r="CJ359" s="362"/>
      <c r="CK359" s="362"/>
      <c r="CL359" s="362"/>
      <c r="CM359" s="362"/>
      <c r="CN359" s="362"/>
      <c r="CO359" s="362"/>
      <c r="CP359" s="362"/>
      <c r="CQ359" s="362"/>
      <c r="CR359" s="362"/>
      <c r="CS359" s="362"/>
      <c r="CT359" s="362"/>
      <c r="CU359" s="362"/>
      <c r="CV359" s="362"/>
      <c r="CW359" s="362"/>
      <c r="CX359" s="362"/>
      <c r="CY359" s="362"/>
      <c r="CZ359" s="362"/>
      <c r="DA359" s="362"/>
      <c r="DB359" s="362"/>
      <c r="DC359" s="362"/>
      <c r="DD359" s="362"/>
      <c r="DE359" s="362"/>
      <c r="DF359" s="362"/>
      <c r="DG359" s="362"/>
      <c r="DH359" s="362"/>
      <c r="DI359" s="362"/>
      <c r="DJ359" s="362"/>
      <c r="DK359" s="362"/>
      <c r="DL359" s="362"/>
      <c r="DM359" s="362"/>
      <c r="DN359" s="362"/>
      <c r="DO359" s="360"/>
      <c r="DP359" s="310">
        <f>CM370</f>
        <v>0</v>
      </c>
      <c r="DQ359" s="310">
        <f>CM412</f>
        <v>0</v>
      </c>
      <c r="DR359" s="310">
        <f>CM460</f>
        <v>0</v>
      </c>
      <c r="DS359" s="310">
        <f>CM484</f>
        <v>1</v>
      </c>
      <c r="DT359" s="310"/>
      <c r="DU359" s="310">
        <f t="shared" si="81"/>
        <v>1</v>
      </c>
      <c r="DV359" s="309" t="s">
        <v>2075</v>
      </c>
      <c r="DW359" s="310"/>
      <c r="DX359" s="708">
        <f>ROUNDUP(CM300*4500,0)</f>
        <v>8458</v>
      </c>
    </row>
    <row r="360" spans="1:131" s="63" customFormat="1" ht="18">
      <c r="A360" s="373"/>
      <c r="B360" s="819" t="s">
        <v>1599</v>
      </c>
      <c r="C360" s="459"/>
      <c r="D360" s="461">
        <f>ROUNDUP(((0.25*2)*26)+(2.8*2)+((0.18*2)*28),0)</f>
        <v>29</v>
      </c>
      <c r="E360" s="461"/>
      <c r="F360" s="461"/>
      <c r="G360" s="357"/>
      <c r="H360" s="357"/>
      <c r="I360" s="357"/>
      <c r="J360" s="357"/>
      <c r="K360" s="357"/>
      <c r="L360" s="357"/>
      <c r="M360" s="357"/>
      <c r="N360" s="357"/>
      <c r="O360" s="357"/>
      <c r="P360" s="357"/>
      <c r="Q360" s="357"/>
      <c r="R360" s="362"/>
      <c r="S360" s="362"/>
      <c r="T360" s="360"/>
      <c r="U360" s="361"/>
      <c r="V360" s="361"/>
      <c r="W360" s="361"/>
      <c r="X360" s="357"/>
      <c r="Y360" s="357"/>
      <c r="Z360" s="357"/>
      <c r="AA360" s="357"/>
      <c r="AB360" s="357"/>
      <c r="AC360" s="357"/>
      <c r="AD360" s="357"/>
      <c r="AE360" s="357"/>
      <c r="AF360" s="357"/>
      <c r="AG360" s="357"/>
      <c r="AH360" s="357"/>
      <c r="AI360" s="357"/>
      <c r="AJ360" s="357"/>
      <c r="AK360" s="357"/>
      <c r="AL360" s="357"/>
      <c r="AM360" s="357"/>
      <c r="AN360" s="357"/>
      <c r="AO360" s="357"/>
      <c r="AP360" s="357"/>
      <c r="AQ360" s="357"/>
      <c r="AR360" s="357"/>
      <c r="AS360" s="362"/>
      <c r="AT360" s="360"/>
      <c r="AU360" s="361"/>
      <c r="AV360" s="357"/>
      <c r="AW360" s="357"/>
      <c r="AX360" s="357"/>
      <c r="AY360" s="360"/>
      <c r="AZ360" s="363">
        <f t="shared" si="79"/>
        <v>0</v>
      </c>
      <c r="BA360" s="364">
        <f t="shared" si="80"/>
        <v>0</v>
      </c>
      <c r="BB360" s="395"/>
      <c r="BC360" s="365">
        <f t="shared" si="84"/>
        <v>0</v>
      </c>
      <c r="BD360" s="380"/>
      <c r="BE360" s="357"/>
      <c r="BF360" s="381"/>
      <c r="BG360" s="381"/>
      <c r="BH360" s="381"/>
      <c r="BI360" s="381"/>
      <c r="BJ360" s="381"/>
      <c r="BK360" s="381"/>
      <c r="BL360" s="381"/>
      <c r="BM360" s="381"/>
      <c r="BN360" s="381"/>
      <c r="BO360" s="381"/>
      <c r="BP360" s="381"/>
      <c r="BQ360" s="381"/>
      <c r="BR360" s="381"/>
      <c r="BS360" s="381"/>
      <c r="BT360" s="381"/>
      <c r="BU360" s="381"/>
      <c r="BV360" s="381"/>
      <c r="BW360" s="381"/>
      <c r="BX360" s="381"/>
      <c r="BY360" s="381"/>
      <c r="BZ360" s="381"/>
      <c r="CA360" s="381"/>
      <c r="CB360" s="381"/>
      <c r="CC360" s="381"/>
      <c r="CD360" s="381"/>
      <c r="CE360" s="381"/>
      <c r="CF360" s="381"/>
      <c r="CG360" s="381"/>
      <c r="CH360" s="381"/>
      <c r="CI360" s="382"/>
      <c r="CJ360" s="382"/>
      <c r="CK360" s="382"/>
      <c r="CL360" s="382"/>
      <c r="CM360" s="382"/>
      <c r="CN360" s="382"/>
      <c r="CO360" s="382"/>
      <c r="CP360" s="382"/>
      <c r="CQ360" s="382"/>
      <c r="CR360" s="382"/>
      <c r="CS360" s="382"/>
      <c r="CT360" s="382"/>
      <c r="CU360" s="382"/>
      <c r="CV360" s="382"/>
      <c r="CW360" s="382"/>
      <c r="CX360" s="382"/>
      <c r="CY360" s="382"/>
      <c r="CZ360" s="382"/>
      <c r="DA360" s="382"/>
      <c r="DB360" s="382"/>
      <c r="DC360" s="382"/>
      <c r="DD360" s="382"/>
      <c r="DE360" s="382"/>
      <c r="DF360" s="382"/>
      <c r="DG360" s="382"/>
      <c r="DH360" s="382"/>
      <c r="DI360" s="382"/>
      <c r="DJ360" s="382"/>
      <c r="DK360" s="382"/>
      <c r="DL360" s="382"/>
      <c r="DM360" s="382"/>
      <c r="DN360" s="382"/>
      <c r="DO360" s="383"/>
      <c r="DP360" s="310">
        <f>CN370</f>
        <v>2</v>
      </c>
      <c r="DQ360" s="310">
        <f>CN412</f>
        <v>0</v>
      </c>
      <c r="DR360" s="310">
        <f>CN460</f>
        <v>0</v>
      </c>
      <c r="DS360" s="310">
        <f>CN484</f>
        <v>0</v>
      </c>
      <c r="DT360" s="310"/>
      <c r="DU360" s="310">
        <f t="shared" si="81"/>
        <v>2</v>
      </c>
      <c r="DV360" s="309" t="s">
        <v>2076</v>
      </c>
      <c r="DW360" s="310"/>
      <c r="DX360" s="708">
        <f>ROUNDUP(CN300*4500,0)</f>
        <v>6728</v>
      </c>
    </row>
    <row r="361" spans="1:131" s="63" customFormat="1" ht="18">
      <c r="A361" s="373"/>
      <c r="B361" s="819" t="s">
        <v>1334</v>
      </c>
      <c r="C361" s="357">
        <f>ROUNDUP(((0.5*11.6)*3)+((0.15*11.6)*4),0)</f>
        <v>25</v>
      </c>
      <c r="D361" s="357"/>
      <c r="E361" s="357"/>
      <c r="F361" s="357"/>
      <c r="G361" s="357"/>
      <c r="H361" s="357"/>
      <c r="I361" s="357"/>
      <c r="J361" s="357"/>
      <c r="K361" s="357"/>
      <c r="L361" s="357"/>
      <c r="M361" s="357"/>
      <c r="N361" s="357"/>
      <c r="O361" s="357"/>
      <c r="P361" s="362"/>
      <c r="Q361" s="357"/>
      <c r="R361" s="362"/>
      <c r="S361" s="362"/>
      <c r="T361" s="360"/>
      <c r="U361" s="361"/>
      <c r="V361" s="361"/>
      <c r="W361" s="361"/>
      <c r="X361" s="357"/>
      <c r="Y361" s="357"/>
      <c r="Z361" s="357"/>
      <c r="AA361" s="357"/>
      <c r="AB361" s="357"/>
      <c r="AC361" s="357"/>
      <c r="AD361" s="357"/>
      <c r="AE361" s="357"/>
      <c r="AF361" s="357"/>
      <c r="AG361" s="357"/>
      <c r="AH361" s="357"/>
      <c r="AI361" s="357"/>
      <c r="AJ361" s="357"/>
      <c r="AK361" s="357"/>
      <c r="AL361" s="357"/>
      <c r="AM361" s="357"/>
      <c r="AN361" s="357"/>
      <c r="AO361" s="357"/>
      <c r="AP361" s="357"/>
      <c r="AQ361" s="357"/>
      <c r="AR361" s="357"/>
      <c r="AS361" s="362"/>
      <c r="AT361" s="360"/>
      <c r="AU361" s="361"/>
      <c r="AV361" s="357"/>
      <c r="AW361" s="357"/>
      <c r="AX361" s="357"/>
      <c r="AY361" s="360"/>
      <c r="AZ361" s="363">
        <f t="shared" si="79"/>
        <v>0</v>
      </c>
      <c r="BA361" s="364">
        <f t="shared" si="80"/>
        <v>0</v>
      </c>
      <c r="BB361" s="395"/>
      <c r="BC361" s="365">
        <f t="shared" si="84"/>
        <v>0</v>
      </c>
      <c r="BD361" s="380"/>
      <c r="BE361" s="357"/>
      <c r="BF361" s="381"/>
      <c r="BG361" s="381"/>
      <c r="BH361" s="381"/>
      <c r="BI361" s="381"/>
      <c r="BJ361" s="381"/>
      <c r="BK361" s="381"/>
      <c r="BL361" s="381"/>
      <c r="BM361" s="381"/>
      <c r="BN361" s="381"/>
      <c r="BO361" s="381"/>
      <c r="BP361" s="381"/>
      <c r="BQ361" s="381"/>
      <c r="BR361" s="381"/>
      <c r="BS361" s="381"/>
      <c r="BT361" s="381"/>
      <c r="BU361" s="381"/>
      <c r="BV361" s="381"/>
      <c r="BW361" s="381"/>
      <c r="BX361" s="381"/>
      <c r="BY361" s="381"/>
      <c r="BZ361" s="381"/>
      <c r="CA361" s="381"/>
      <c r="CB361" s="381"/>
      <c r="CC361" s="381"/>
      <c r="CD361" s="381"/>
      <c r="CE361" s="381"/>
      <c r="CF361" s="381"/>
      <c r="CG361" s="381"/>
      <c r="CH361" s="381"/>
      <c r="CI361" s="382"/>
      <c r="CJ361" s="382"/>
      <c r="CK361" s="382"/>
      <c r="CL361" s="382"/>
      <c r="CM361" s="382"/>
      <c r="CN361" s="382"/>
      <c r="CO361" s="382"/>
      <c r="CP361" s="382"/>
      <c r="CQ361" s="382"/>
      <c r="CR361" s="382"/>
      <c r="CS361" s="382"/>
      <c r="CT361" s="382"/>
      <c r="CU361" s="382"/>
      <c r="CV361" s="382"/>
      <c r="CW361" s="382"/>
      <c r="CX361" s="382"/>
      <c r="CY361" s="382"/>
      <c r="CZ361" s="382"/>
      <c r="DA361" s="382"/>
      <c r="DB361" s="382"/>
      <c r="DC361" s="382"/>
      <c r="DD361" s="382"/>
      <c r="DE361" s="382"/>
      <c r="DF361" s="382"/>
      <c r="DG361" s="382"/>
      <c r="DH361" s="382"/>
      <c r="DI361" s="382"/>
      <c r="DJ361" s="382"/>
      <c r="DK361" s="382"/>
      <c r="DL361" s="382"/>
      <c r="DM361" s="382"/>
      <c r="DN361" s="382"/>
      <c r="DO361" s="383"/>
      <c r="DP361" s="310">
        <f>CO370</f>
        <v>1</v>
      </c>
      <c r="DQ361" s="310">
        <f>CO412</f>
        <v>0</v>
      </c>
      <c r="DR361" s="310">
        <f>CO460</f>
        <v>0</v>
      </c>
      <c r="DS361" s="310">
        <f>CO484</f>
        <v>0</v>
      </c>
      <c r="DT361" s="310"/>
      <c r="DU361" s="310">
        <f t="shared" si="81"/>
        <v>1</v>
      </c>
      <c r="DV361" s="309" t="s">
        <v>2077</v>
      </c>
      <c r="DW361" s="310"/>
      <c r="DX361" s="708">
        <f>ROUNDUP(CO300*4500,0)</f>
        <v>3452</v>
      </c>
    </row>
    <row r="362" spans="1:131" s="63" customFormat="1" ht="18">
      <c r="A362" s="373"/>
      <c r="B362" s="819" t="s">
        <v>1600</v>
      </c>
      <c r="C362" s="357">
        <f>ROUNDUP(((0.25*1.5)*30)+((0.17*1.5)*32)+(1.8*3.2),0)</f>
        <v>26</v>
      </c>
      <c r="D362" s="357"/>
      <c r="E362" s="357"/>
      <c r="F362" s="357"/>
      <c r="G362" s="357"/>
      <c r="H362" s="357"/>
      <c r="I362" s="357"/>
      <c r="J362" s="357"/>
      <c r="K362" s="357"/>
      <c r="L362" s="357"/>
      <c r="M362" s="357"/>
      <c r="N362" s="357"/>
      <c r="O362" s="357"/>
      <c r="P362" s="362"/>
      <c r="Q362" s="362"/>
      <c r="R362" s="357"/>
      <c r="S362" s="362"/>
      <c r="T362" s="360"/>
      <c r="U362" s="361"/>
      <c r="V362" s="361"/>
      <c r="W362" s="361"/>
      <c r="X362" s="357"/>
      <c r="Y362" s="357"/>
      <c r="Z362" s="357"/>
      <c r="AA362" s="357"/>
      <c r="AB362" s="357"/>
      <c r="AC362" s="357"/>
      <c r="AD362" s="357">
        <f>ROUND((22*5.3)-BU300,0)</f>
        <v>114</v>
      </c>
      <c r="AE362" s="357"/>
      <c r="AF362" s="357"/>
      <c r="AG362" s="357"/>
      <c r="AH362" s="357"/>
      <c r="AI362" s="357"/>
      <c r="AJ362" s="357"/>
      <c r="AK362" s="357"/>
      <c r="AL362" s="357"/>
      <c r="AM362" s="357"/>
      <c r="AN362" s="357"/>
      <c r="AO362" s="357"/>
      <c r="AP362" s="357"/>
      <c r="AQ362" s="357"/>
      <c r="AR362" s="357"/>
      <c r="AS362" s="362"/>
      <c r="AT362" s="360"/>
      <c r="AU362" s="361"/>
      <c r="AV362" s="357"/>
      <c r="AW362" s="357"/>
      <c r="AX362" s="357"/>
      <c r="AY362" s="360"/>
      <c r="AZ362" s="363">
        <f t="shared" si="79"/>
        <v>114</v>
      </c>
      <c r="BA362" s="364">
        <f t="shared" si="80"/>
        <v>0</v>
      </c>
      <c r="BB362" s="395"/>
      <c r="BC362" s="365">
        <f t="shared" si="84"/>
        <v>0</v>
      </c>
      <c r="BD362" s="380"/>
      <c r="BE362" s="381"/>
      <c r="BF362" s="381"/>
      <c r="BG362" s="381"/>
      <c r="BH362" s="381"/>
      <c r="BI362" s="381"/>
      <c r="BJ362" s="381"/>
      <c r="BK362" s="381"/>
      <c r="BL362" s="381"/>
      <c r="BM362" s="381"/>
      <c r="BN362" s="381"/>
      <c r="BO362" s="381"/>
      <c r="BP362" s="381"/>
      <c r="BQ362" s="381"/>
      <c r="BR362" s="381"/>
      <c r="BS362" s="381"/>
      <c r="BT362" s="381"/>
      <c r="BU362" s="381"/>
      <c r="BV362" s="381"/>
      <c r="BW362" s="381"/>
      <c r="BX362" s="381"/>
      <c r="BY362" s="381"/>
      <c r="BZ362" s="381"/>
      <c r="CA362" s="381"/>
      <c r="CB362" s="381"/>
      <c r="CC362" s="381"/>
      <c r="CD362" s="381"/>
      <c r="CE362" s="381"/>
      <c r="CF362" s="381"/>
      <c r="CG362" s="381"/>
      <c r="CH362" s="381"/>
      <c r="CI362" s="382"/>
      <c r="CJ362" s="382"/>
      <c r="CK362" s="382"/>
      <c r="CL362" s="382"/>
      <c r="CM362" s="382"/>
      <c r="CN362" s="382"/>
      <c r="CO362" s="382"/>
      <c r="CP362" s="382"/>
      <c r="CQ362" s="382"/>
      <c r="CR362" s="382"/>
      <c r="CS362" s="382"/>
      <c r="CT362" s="382"/>
      <c r="CU362" s="382"/>
      <c r="CV362" s="382"/>
      <c r="CW362" s="382"/>
      <c r="CX362" s="382"/>
      <c r="CY362" s="382"/>
      <c r="CZ362" s="382"/>
      <c r="DA362" s="382"/>
      <c r="DB362" s="382"/>
      <c r="DC362" s="382"/>
      <c r="DD362" s="382"/>
      <c r="DE362" s="382"/>
      <c r="DF362" s="382"/>
      <c r="DG362" s="382"/>
      <c r="DH362" s="382"/>
      <c r="DI362" s="382"/>
      <c r="DJ362" s="382"/>
      <c r="DK362" s="382"/>
      <c r="DL362" s="382"/>
      <c r="DM362" s="382"/>
      <c r="DN362" s="382"/>
      <c r="DO362" s="383"/>
      <c r="DP362" s="310">
        <f>CP370</f>
        <v>0</v>
      </c>
      <c r="DQ362" s="310">
        <f>CP412</f>
        <v>2</v>
      </c>
      <c r="DR362" s="310">
        <f>CP460</f>
        <v>2</v>
      </c>
      <c r="DS362" s="310">
        <f>CP484</f>
        <v>0</v>
      </c>
      <c r="DT362" s="310"/>
      <c r="DU362" s="310">
        <f t="shared" si="81"/>
        <v>4</v>
      </c>
      <c r="DV362" s="309" t="s">
        <v>2078</v>
      </c>
      <c r="DW362" s="310"/>
      <c r="DX362" s="708">
        <f>ROUNDUP(CP300*4500,0)</f>
        <v>8798</v>
      </c>
    </row>
    <row r="363" spans="1:131" s="63" customFormat="1" ht="18">
      <c r="A363" s="373"/>
      <c r="B363" s="819" t="s">
        <v>1601</v>
      </c>
      <c r="C363" s="357"/>
      <c r="D363" s="357"/>
      <c r="E363" s="357"/>
      <c r="F363" s="357"/>
      <c r="G363" s="357"/>
      <c r="H363" s="357"/>
      <c r="I363" s="357"/>
      <c r="J363" s="357"/>
      <c r="K363" s="357"/>
      <c r="L363" s="357"/>
      <c r="M363" s="357"/>
      <c r="N363" s="357"/>
      <c r="O363" s="357"/>
      <c r="P363" s="362"/>
      <c r="Q363" s="362"/>
      <c r="R363" s="362"/>
      <c r="S363" s="357"/>
      <c r="T363" s="360"/>
      <c r="U363" s="361">
        <f>ROUND(5.9*5.8,0)</f>
        <v>34</v>
      </c>
      <c r="V363" s="361">
        <f>ROUND((22*4.7)-BU300,0)</f>
        <v>101</v>
      </c>
      <c r="W363" s="361"/>
      <c r="X363" s="357"/>
      <c r="Y363" s="357"/>
      <c r="Z363" s="357"/>
      <c r="AA363" s="357"/>
      <c r="AB363" s="357"/>
      <c r="AC363" s="357"/>
      <c r="AD363" s="357"/>
      <c r="AE363" s="357"/>
      <c r="AF363" s="357"/>
      <c r="AG363" s="357"/>
      <c r="AH363" s="357"/>
      <c r="AI363" s="357"/>
      <c r="AJ363" s="357"/>
      <c r="AK363" s="357"/>
      <c r="AL363" s="357"/>
      <c r="AM363" s="357"/>
      <c r="AN363" s="357"/>
      <c r="AO363" s="357"/>
      <c r="AP363" s="357"/>
      <c r="AQ363" s="357">
        <f>(2*5.8)+BU302</f>
        <v>15.7</v>
      </c>
      <c r="AR363" s="357">
        <f>2*5.8</f>
        <v>11.6</v>
      </c>
      <c r="AS363" s="362"/>
      <c r="AT363" s="360">
        <f>BU301</f>
        <v>1.1000000000000001</v>
      </c>
      <c r="AU363" s="361"/>
      <c r="AV363" s="357"/>
      <c r="AW363" s="357">
        <v>25</v>
      </c>
      <c r="AX363" s="357"/>
      <c r="AY363" s="360"/>
      <c r="AZ363" s="363">
        <f t="shared" si="79"/>
        <v>0</v>
      </c>
      <c r="BA363" s="364">
        <f t="shared" si="80"/>
        <v>0</v>
      </c>
      <c r="BB363" s="395"/>
      <c r="BC363" s="365">
        <f t="shared" si="84"/>
        <v>25</v>
      </c>
      <c r="BD363" s="380"/>
      <c r="BE363" s="381"/>
      <c r="BF363" s="381"/>
      <c r="BG363" s="381"/>
      <c r="BH363" s="381"/>
      <c r="BI363" s="381"/>
      <c r="BJ363" s="381"/>
      <c r="BK363" s="381"/>
      <c r="BL363" s="381"/>
      <c r="BM363" s="381"/>
      <c r="BN363" s="381"/>
      <c r="BO363" s="381"/>
      <c r="BP363" s="381"/>
      <c r="BQ363" s="381"/>
      <c r="BR363" s="381"/>
      <c r="BS363" s="381"/>
      <c r="BT363" s="381"/>
      <c r="BU363" s="381">
        <v>1</v>
      </c>
      <c r="BV363" s="381"/>
      <c r="BW363" s="381"/>
      <c r="BX363" s="381"/>
      <c r="BY363" s="381"/>
      <c r="BZ363" s="381"/>
      <c r="CA363" s="381"/>
      <c r="CB363" s="381"/>
      <c r="CC363" s="381"/>
      <c r="CD363" s="381"/>
      <c r="CE363" s="381"/>
      <c r="CF363" s="381"/>
      <c r="CG363" s="381"/>
      <c r="CH363" s="381"/>
      <c r="CI363" s="382"/>
      <c r="CJ363" s="382"/>
      <c r="CK363" s="382"/>
      <c r="CL363" s="382"/>
      <c r="CM363" s="382"/>
      <c r="CN363" s="382"/>
      <c r="CO363" s="382"/>
      <c r="CP363" s="382"/>
      <c r="CQ363" s="382"/>
      <c r="CR363" s="382"/>
      <c r="CS363" s="382"/>
      <c r="CT363" s="382"/>
      <c r="CU363" s="382"/>
      <c r="CV363" s="382"/>
      <c r="CW363" s="382"/>
      <c r="CX363" s="382"/>
      <c r="CY363" s="382"/>
      <c r="CZ363" s="382"/>
      <c r="DA363" s="382"/>
      <c r="DB363" s="382"/>
      <c r="DC363" s="382"/>
      <c r="DD363" s="382"/>
      <c r="DE363" s="382"/>
      <c r="DF363" s="382"/>
      <c r="DG363" s="382"/>
      <c r="DH363" s="382"/>
      <c r="DI363" s="382"/>
      <c r="DJ363" s="382"/>
      <c r="DK363" s="382"/>
      <c r="DL363" s="382"/>
      <c r="DM363" s="382"/>
      <c r="DN363" s="382"/>
      <c r="DO363" s="383"/>
      <c r="DP363" s="310">
        <f>CQ370</f>
        <v>0</v>
      </c>
      <c r="DQ363" s="310">
        <f>CQ412</f>
        <v>1</v>
      </c>
      <c r="DR363" s="310">
        <f>CQ460</f>
        <v>1</v>
      </c>
      <c r="DS363" s="310">
        <f>CQ484</f>
        <v>0</v>
      </c>
      <c r="DT363" s="310"/>
      <c r="DU363" s="310">
        <f t="shared" si="81"/>
        <v>2</v>
      </c>
      <c r="DV363" s="309" t="s">
        <v>2079</v>
      </c>
      <c r="DW363" s="310"/>
      <c r="DX363" s="708">
        <f>ROUNDUP(CQ300*4500,0)</f>
        <v>4514</v>
      </c>
    </row>
    <row r="364" spans="1:131" s="63" customFormat="1" ht="18">
      <c r="A364" s="373"/>
      <c r="B364" s="819" t="s">
        <v>1602</v>
      </c>
      <c r="C364" s="357"/>
      <c r="D364" s="357">
        <f>ROUNDUP(((0.25*2.1)*26)+(4.5*2)+((0.18*2.1)*28),0)</f>
        <v>34</v>
      </c>
      <c r="E364" s="357"/>
      <c r="F364" s="357"/>
      <c r="G364" s="357"/>
      <c r="H364" s="357"/>
      <c r="I364" s="357"/>
      <c r="J364" s="357"/>
      <c r="K364" s="357"/>
      <c r="L364" s="357"/>
      <c r="M364" s="357"/>
      <c r="N364" s="357"/>
      <c r="O364" s="357"/>
      <c r="P364" s="362"/>
      <c r="Q364" s="362"/>
      <c r="R364" s="362"/>
      <c r="S364" s="362"/>
      <c r="T364" s="360"/>
      <c r="U364" s="361">
        <f>ROUND((14.7*5.8)-(BO300+CK300),0)</f>
        <v>73</v>
      </c>
      <c r="V364" s="361"/>
      <c r="W364" s="361"/>
      <c r="X364" s="357"/>
      <c r="Y364" s="357"/>
      <c r="Z364" s="357"/>
      <c r="AA364" s="357"/>
      <c r="AB364" s="357"/>
      <c r="AC364" s="357"/>
      <c r="AD364" s="357"/>
      <c r="AE364" s="357"/>
      <c r="AF364" s="357"/>
      <c r="AG364" s="357"/>
      <c r="AH364" s="357"/>
      <c r="AI364" s="357"/>
      <c r="AJ364" s="357"/>
      <c r="AK364" s="357"/>
      <c r="AL364" s="357"/>
      <c r="AM364" s="357"/>
      <c r="AN364" s="357"/>
      <c r="AO364" s="357"/>
      <c r="AP364" s="357"/>
      <c r="AQ364" s="357"/>
      <c r="AR364" s="357"/>
      <c r="AS364" s="362"/>
      <c r="AT364" s="360"/>
      <c r="AU364" s="361"/>
      <c r="AV364" s="357"/>
      <c r="AW364" s="357"/>
      <c r="AX364" s="357"/>
      <c r="AY364" s="360"/>
      <c r="AZ364" s="363">
        <f t="shared" si="79"/>
        <v>0</v>
      </c>
      <c r="BA364" s="364">
        <f t="shared" si="80"/>
        <v>0</v>
      </c>
      <c r="BB364" s="395"/>
      <c r="BC364" s="365">
        <f t="shared" si="84"/>
        <v>0</v>
      </c>
      <c r="BD364" s="380"/>
      <c r="BE364" s="381"/>
      <c r="BF364" s="381"/>
      <c r="BG364" s="381"/>
      <c r="BH364" s="381"/>
      <c r="BI364" s="381"/>
      <c r="BJ364" s="381"/>
      <c r="BK364" s="381"/>
      <c r="BL364" s="381"/>
      <c r="BM364" s="381"/>
      <c r="BN364" s="381"/>
      <c r="BO364" s="381"/>
      <c r="BP364" s="381"/>
      <c r="BQ364" s="381"/>
      <c r="BR364" s="381"/>
      <c r="BS364" s="381"/>
      <c r="BT364" s="381"/>
      <c r="BU364" s="381"/>
      <c r="BV364" s="381"/>
      <c r="BW364" s="381"/>
      <c r="BX364" s="381"/>
      <c r="BY364" s="381"/>
      <c r="BZ364" s="381"/>
      <c r="CA364" s="381"/>
      <c r="CB364" s="381"/>
      <c r="CC364" s="381"/>
      <c r="CD364" s="381"/>
      <c r="CE364" s="381"/>
      <c r="CF364" s="381"/>
      <c r="CG364" s="381"/>
      <c r="CH364" s="381"/>
      <c r="CI364" s="382"/>
      <c r="CJ364" s="382"/>
      <c r="CK364" s="382"/>
      <c r="CL364" s="382"/>
      <c r="CM364" s="382"/>
      <c r="CN364" s="382"/>
      <c r="CO364" s="382"/>
      <c r="CP364" s="382"/>
      <c r="CQ364" s="382"/>
      <c r="CR364" s="382"/>
      <c r="CS364" s="382"/>
      <c r="CT364" s="382"/>
      <c r="CU364" s="382"/>
      <c r="CV364" s="382"/>
      <c r="CW364" s="382"/>
      <c r="CX364" s="382"/>
      <c r="CY364" s="382"/>
      <c r="CZ364" s="382"/>
      <c r="DA364" s="382"/>
      <c r="DB364" s="382"/>
      <c r="DC364" s="382"/>
      <c r="DD364" s="382"/>
      <c r="DE364" s="382"/>
      <c r="DF364" s="382"/>
      <c r="DG364" s="382"/>
      <c r="DH364" s="382"/>
      <c r="DI364" s="382"/>
      <c r="DJ364" s="382"/>
      <c r="DK364" s="382"/>
      <c r="DL364" s="382"/>
      <c r="DM364" s="382"/>
      <c r="DN364" s="382"/>
      <c r="DO364" s="383"/>
      <c r="DP364" s="310">
        <f>CR370</f>
        <v>10</v>
      </c>
      <c r="DQ364" s="310">
        <f>CR412</f>
        <v>0</v>
      </c>
      <c r="DR364" s="310">
        <f>CR460</f>
        <v>0</v>
      </c>
      <c r="DS364" s="310">
        <f>CR484</f>
        <v>0</v>
      </c>
      <c r="DT364" s="310"/>
      <c r="DU364" s="310">
        <f t="shared" si="81"/>
        <v>10</v>
      </c>
      <c r="DV364" s="309" t="s">
        <v>2080</v>
      </c>
      <c r="DW364" s="310"/>
      <c r="DX364" s="708">
        <f>ROUNDUP(CR300*4500,0)</f>
        <v>19845</v>
      </c>
    </row>
    <row r="365" spans="1:131" s="63" customFormat="1" ht="18">
      <c r="A365" s="373"/>
      <c r="B365" s="819" t="s">
        <v>1603</v>
      </c>
      <c r="C365" s="357"/>
      <c r="D365" s="357"/>
      <c r="E365" s="357"/>
      <c r="F365" s="357"/>
      <c r="G365" s="357"/>
      <c r="H365" s="357"/>
      <c r="I365" s="357"/>
      <c r="J365" s="357"/>
      <c r="K365" s="357"/>
      <c r="L365" s="357"/>
      <c r="M365" s="357"/>
      <c r="N365" s="357"/>
      <c r="O365" s="357"/>
      <c r="P365" s="362"/>
      <c r="Q365" s="362"/>
      <c r="R365" s="362"/>
      <c r="S365" s="362"/>
      <c r="T365" s="360"/>
      <c r="U365" s="361"/>
      <c r="V365" s="361"/>
      <c r="W365" s="361"/>
      <c r="X365" s="357"/>
      <c r="Y365" s="357"/>
      <c r="Z365" s="357"/>
      <c r="AA365" s="357"/>
      <c r="AB365" s="357"/>
      <c r="AC365" s="357"/>
      <c r="AD365" s="357">
        <f>ROUND((24*5.4)-(BO300+CK300),0)</f>
        <v>117</v>
      </c>
      <c r="AE365" s="357"/>
      <c r="AF365" s="357"/>
      <c r="AG365" s="357"/>
      <c r="AH365" s="357"/>
      <c r="AI365" s="357"/>
      <c r="AJ365" s="357"/>
      <c r="AK365" s="357"/>
      <c r="AL365" s="357"/>
      <c r="AM365" s="357"/>
      <c r="AN365" s="357"/>
      <c r="AO365" s="357"/>
      <c r="AP365" s="357"/>
      <c r="AQ365" s="357">
        <f>(2*5.8)+(BO302+CK302)</f>
        <v>24.799999999999997</v>
      </c>
      <c r="AR365" s="357"/>
      <c r="AS365" s="362"/>
      <c r="AT365" s="360">
        <f>BO301+CK301</f>
        <v>5.68</v>
      </c>
      <c r="AU365" s="361"/>
      <c r="AV365" s="357"/>
      <c r="AW365" s="357">
        <v>35</v>
      </c>
      <c r="AX365" s="357"/>
      <c r="AY365" s="360"/>
      <c r="AZ365" s="363">
        <f t="shared" si="79"/>
        <v>117</v>
      </c>
      <c r="BA365" s="364">
        <f t="shared" si="80"/>
        <v>0</v>
      </c>
      <c r="BB365" s="395"/>
      <c r="BC365" s="365">
        <f t="shared" si="84"/>
        <v>35</v>
      </c>
      <c r="BD365" s="380"/>
      <c r="BE365" s="381"/>
      <c r="BF365" s="381"/>
      <c r="BG365" s="381"/>
      <c r="BH365" s="381"/>
      <c r="BI365" s="381"/>
      <c r="BJ365" s="381"/>
      <c r="BK365" s="381"/>
      <c r="BL365" s="381"/>
      <c r="BM365" s="381"/>
      <c r="BN365" s="381"/>
      <c r="BO365" s="381">
        <v>1</v>
      </c>
      <c r="BP365" s="381"/>
      <c r="BQ365" s="381"/>
      <c r="BR365" s="381"/>
      <c r="BS365" s="381"/>
      <c r="BT365" s="381"/>
      <c r="BU365" s="381"/>
      <c r="BV365" s="381"/>
      <c r="BW365" s="381"/>
      <c r="BX365" s="381"/>
      <c r="BY365" s="381"/>
      <c r="BZ365" s="381"/>
      <c r="CA365" s="381"/>
      <c r="CB365" s="381"/>
      <c r="CC365" s="381"/>
      <c r="CD365" s="381"/>
      <c r="CE365" s="381"/>
      <c r="CF365" s="381"/>
      <c r="CG365" s="381"/>
      <c r="CH365" s="381"/>
      <c r="CI365" s="382"/>
      <c r="CJ365" s="382"/>
      <c r="CK365" s="382">
        <v>1</v>
      </c>
      <c r="CL365" s="382"/>
      <c r="CM365" s="382"/>
      <c r="CN365" s="382"/>
      <c r="CO365" s="382"/>
      <c r="CP365" s="382"/>
      <c r="CQ365" s="382"/>
      <c r="CR365" s="382"/>
      <c r="CS365" s="382"/>
      <c r="CT365" s="382"/>
      <c r="CU365" s="382"/>
      <c r="CV365" s="382"/>
      <c r="CW365" s="382"/>
      <c r="CX365" s="382"/>
      <c r="CY365" s="382"/>
      <c r="CZ365" s="382"/>
      <c r="DA365" s="382"/>
      <c r="DB365" s="382"/>
      <c r="DC365" s="382"/>
      <c r="DD365" s="382"/>
      <c r="DE365" s="382"/>
      <c r="DF365" s="382"/>
      <c r="DG365" s="382"/>
      <c r="DH365" s="382"/>
      <c r="DI365" s="382"/>
      <c r="DJ365" s="382"/>
      <c r="DK365" s="382"/>
      <c r="DL365" s="382"/>
      <c r="DM365" s="382"/>
      <c r="DN365" s="382"/>
      <c r="DO365" s="383"/>
      <c r="DP365" s="310">
        <f>CS370</f>
        <v>2</v>
      </c>
      <c r="DQ365" s="310">
        <f>CS412</f>
        <v>0</v>
      </c>
      <c r="DR365" s="310">
        <f>CS460</f>
        <v>0</v>
      </c>
      <c r="DS365" s="310">
        <f>CS484</f>
        <v>0</v>
      </c>
      <c r="DT365" s="310"/>
      <c r="DU365" s="310">
        <f t="shared" si="81"/>
        <v>2</v>
      </c>
      <c r="DV365" s="309" t="s">
        <v>2081</v>
      </c>
      <c r="DW365" s="310"/>
      <c r="DX365" s="708">
        <f>ROUNDUP(CS300*4500,0)</f>
        <v>6966</v>
      </c>
    </row>
    <row r="366" spans="1:131" s="63" customFormat="1" ht="18">
      <c r="A366" s="373"/>
      <c r="B366" s="819" t="s">
        <v>1342</v>
      </c>
      <c r="C366" s="357"/>
      <c r="D366" s="357"/>
      <c r="E366" s="357"/>
      <c r="F366" s="357">
        <f>ROUNDUP(((1*4.9)*3)+((0.15*4.9)*4)+29.05,0)</f>
        <v>47</v>
      </c>
      <c r="G366" s="357"/>
      <c r="H366" s="357"/>
      <c r="I366" s="357"/>
      <c r="J366" s="357"/>
      <c r="K366" s="357"/>
      <c r="L366" s="357"/>
      <c r="M366" s="357"/>
      <c r="N366" s="357"/>
      <c r="O366" s="357"/>
      <c r="P366" s="362"/>
      <c r="Q366" s="362"/>
      <c r="R366" s="362"/>
      <c r="S366" s="362"/>
      <c r="T366" s="360"/>
      <c r="U366" s="361"/>
      <c r="V366" s="361"/>
      <c r="W366" s="361"/>
      <c r="X366" s="357"/>
      <c r="Y366" s="357"/>
      <c r="Z366" s="357"/>
      <c r="AA366" s="357"/>
      <c r="AB366" s="357"/>
      <c r="AC366" s="357"/>
      <c r="AD366" s="357"/>
      <c r="AE366" s="357"/>
      <c r="AF366" s="357"/>
      <c r="AG366" s="357"/>
      <c r="AH366" s="357"/>
      <c r="AI366" s="357"/>
      <c r="AJ366" s="357"/>
      <c r="AK366" s="357"/>
      <c r="AL366" s="357"/>
      <c r="AM366" s="357"/>
      <c r="AN366" s="357"/>
      <c r="AO366" s="357"/>
      <c r="AP366" s="357"/>
      <c r="AQ366" s="357"/>
      <c r="AR366" s="357"/>
      <c r="AS366" s="362"/>
      <c r="AT366" s="360"/>
      <c r="AU366" s="361"/>
      <c r="AV366" s="357"/>
      <c r="AW366" s="357"/>
      <c r="AX366" s="357"/>
      <c r="AY366" s="360"/>
      <c r="AZ366" s="363">
        <f t="shared" si="79"/>
        <v>0</v>
      </c>
      <c r="BA366" s="364">
        <f t="shared" si="80"/>
        <v>0</v>
      </c>
      <c r="BB366" s="395"/>
      <c r="BC366" s="365">
        <f t="shared" si="84"/>
        <v>0</v>
      </c>
      <c r="BD366" s="380"/>
      <c r="BE366" s="381"/>
      <c r="BF366" s="381"/>
      <c r="BG366" s="381"/>
      <c r="BH366" s="381"/>
      <c r="BI366" s="381"/>
      <c r="BJ366" s="381"/>
      <c r="BK366" s="381"/>
      <c r="BL366" s="381"/>
      <c r="BM366" s="381"/>
      <c r="BN366" s="381"/>
      <c r="BO366" s="381"/>
      <c r="BP366" s="381"/>
      <c r="BQ366" s="381"/>
      <c r="BR366" s="381"/>
      <c r="BS366" s="381"/>
      <c r="BT366" s="381"/>
      <c r="BU366" s="381"/>
      <c r="BV366" s="381"/>
      <c r="BW366" s="381"/>
      <c r="BX366" s="381"/>
      <c r="BY366" s="381"/>
      <c r="BZ366" s="381"/>
      <c r="CA366" s="381"/>
      <c r="CB366" s="381"/>
      <c r="CC366" s="381"/>
      <c r="CD366" s="381"/>
      <c r="CE366" s="381"/>
      <c r="CF366" s="381"/>
      <c r="CG366" s="381"/>
      <c r="CH366" s="381"/>
      <c r="CI366" s="382"/>
      <c r="CJ366" s="382"/>
      <c r="CK366" s="382"/>
      <c r="CL366" s="382"/>
      <c r="CM366" s="382"/>
      <c r="CN366" s="382"/>
      <c r="CO366" s="382"/>
      <c r="CP366" s="382"/>
      <c r="CQ366" s="382"/>
      <c r="CR366" s="382"/>
      <c r="CS366" s="382"/>
      <c r="CT366" s="382"/>
      <c r="CU366" s="382"/>
      <c r="CV366" s="382"/>
      <c r="CW366" s="382"/>
      <c r="CX366" s="382"/>
      <c r="CY366" s="382"/>
      <c r="CZ366" s="382"/>
      <c r="DA366" s="382"/>
      <c r="DB366" s="382"/>
      <c r="DC366" s="382"/>
      <c r="DD366" s="382"/>
      <c r="DE366" s="382"/>
      <c r="DF366" s="382"/>
      <c r="DG366" s="382"/>
      <c r="DH366" s="382"/>
      <c r="DI366" s="382"/>
      <c r="DJ366" s="382"/>
      <c r="DK366" s="382"/>
      <c r="DL366" s="382"/>
      <c r="DM366" s="382"/>
      <c r="DN366" s="382"/>
      <c r="DO366" s="383"/>
      <c r="DP366" s="310">
        <f>CT370</f>
        <v>1</v>
      </c>
      <c r="DQ366" s="310">
        <f>CT412</f>
        <v>0</v>
      </c>
      <c r="DR366" s="310">
        <f>CT460</f>
        <v>0</v>
      </c>
      <c r="DS366" s="310">
        <f>CT484</f>
        <v>0</v>
      </c>
      <c r="DT366" s="310"/>
      <c r="DU366" s="310">
        <f t="shared" si="81"/>
        <v>1</v>
      </c>
      <c r="DV366" s="309" t="s">
        <v>2082</v>
      </c>
      <c r="DW366" s="310"/>
      <c r="DX366" s="708">
        <f>ROUNDUP(CT300*4500,0)</f>
        <v>11502</v>
      </c>
    </row>
    <row r="367" spans="1:131" s="63" customFormat="1">
      <c r="A367" s="373"/>
      <c r="B367" s="361" t="s">
        <v>1645</v>
      </c>
      <c r="C367" s="357"/>
      <c r="D367" s="357"/>
      <c r="E367" s="357"/>
      <c r="F367" s="357"/>
      <c r="G367" s="357"/>
      <c r="H367" s="357"/>
      <c r="I367" s="357"/>
      <c r="J367" s="357"/>
      <c r="K367" s="357"/>
      <c r="L367" s="357"/>
      <c r="M367" s="357"/>
      <c r="N367" s="357"/>
      <c r="O367" s="357"/>
      <c r="P367" s="362"/>
      <c r="Q367" s="362"/>
      <c r="R367" s="362"/>
      <c r="S367" s="362"/>
      <c r="T367" s="360"/>
      <c r="U367" s="361">
        <f>ROUNDUP(87.5,0)</f>
        <v>88</v>
      </c>
      <c r="V367" s="361"/>
      <c r="W367" s="361"/>
      <c r="X367" s="357"/>
      <c r="Y367" s="357"/>
      <c r="Z367" s="357"/>
      <c r="AA367" s="357"/>
      <c r="AB367" s="357"/>
      <c r="AC367" s="357"/>
      <c r="AD367" s="357">
        <f>ROUND((87.5*0.85)*2,0)</f>
        <v>149</v>
      </c>
      <c r="AE367" s="357"/>
      <c r="AF367" s="357"/>
      <c r="AG367" s="357"/>
      <c r="AH367" s="357"/>
      <c r="AI367" s="357"/>
      <c r="AJ367" s="357"/>
      <c r="AK367" s="357"/>
      <c r="AL367" s="357"/>
      <c r="AM367" s="357"/>
      <c r="AN367" s="357"/>
      <c r="AO367" s="357"/>
      <c r="AP367" s="357"/>
      <c r="AQ367" s="357"/>
      <c r="AR367" s="357"/>
      <c r="AS367" s="362"/>
      <c r="AT367" s="361">
        <f>ROUNDUP(87.5,0)</f>
        <v>88</v>
      </c>
      <c r="AU367" s="361"/>
      <c r="AV367" s="357"/>
      <c r="AW367" s="357"/>
      <c r="AX367" s="357"/>
      <c r="AY367" s="360"/>
      <c r="AZ367" s="363">
        <f t="shared" si="79"/>
        <v>149</v>
      </c>
      <c r="BA367" s="364">
        <f t="shared" si="80"/>
        <v>0</v>
      </c>
      <c r="BB367" s="395"/>
      <c r="BC367" s="365">
        <f t="shared" si="84"/>
        <v>0</v>
      </c>
      <c r="BD367" s="380"/>
      <c r="BE367" s="381"/>
      <c r="BF367" s="381"/>
      <c r="BG367" s="381"/>
      <c r="BH367" s="381"/>
      <c r="BI367" s="381"/>
      <c r="BJ367" s="381"/>
      <c r="BK367" s="381"/>
      <c r="BL367" s="381"/>
      <c r="BM367" s="381"/>
      <c r="BN367" s="381"/>
      <c r="BO367" s="381"/>
      <c r="BP367" s="381"/>
      <c r="BQ367" s="381"/>
      <c r="BR367" s="381"/>
      <c r="BS367" s="381"/>
      <c r="BT367" s="381"/>
      <c r="BU367" s="381"/>
      <c r="BV367" s="381"/>
      <c r="BW367" s="381"/>
      <c r="BX367" s="381"/>
      <c r="BY367" s="381"/>
      <c r="BZ367" s="381"/>
      <c r="CA367" s="381"/>
      <c r="CB367" s="381"/>
      <c r="CC367" s="381"/>
      <c r="CD367" s="381"/>
      <c r="CE367" s="381"/>
      <c r="CF367" s="381"/>
      <c r="CG367" s="381"/>
      <c r="CH367" s="381"/>
      <c r="CI367" s="382"/>
      <c r="CJ367" s="382"/>
      <c r="CK367" s="382"/>
      <c r="CL367" s="382"/>
      <c r="CM367" s="382"/>
      <c r="CN367" s="382"/>
      <c r="CO367" s="382"/>
      <c r="CP367" s="382"/>
      <c r="CQ367" s="382"/>
      <c r="CR367" s="382"/>
      <c r="CS367" s="382"/>
      <c r="CT367" s="382"/>
      <c r="CU367" s="382"/>
      <c r="CV367" s="382"/>
      <c r="CW367" s="382"/>
      <c r="CX367" s="382"/>
      <c r="CY367" s="382"/>
      <c r="CZ367" s="382"/>
      <c r="DA367" s="382"/>
      <c r="DB367" s="382"/>
      <c r="DC367" s="382"/>
      <c r="DD367" s="382"/>
      <c r="DE367" s="382"/>
      <c r="DF367" s="382"/>
      <c r="DG367" s="382"/>
      <c r="DH367" s="382"/>
      <c r="DI367" s="382"/>
      <c r="DJ367" s="382"/>
      <c r="DK367" s="382"/>
      <c r="DL367" s="382"/>
      <c r="DM367" s="382"/>
      <c r="DN367" s="382"/>
      <c r="DO367" s="383"/>
      <c r="DP367" s="310">
        <f>CU370</f>
        <v>0</v>
      </c>
      <c r="DQ367" s="310">
        <f>CU412</f>
        <v>1</v>
      </c>
      <c r="DR367" s="310">
        <f>CU460</f>
        <v>0</v>
      </c>
      <c r="DS367" s="310">
        <f>CU484</f>
        <v>0</v>
      </c>
      <c r="DT367" s="310"/>
      <c r="DU367" s="310">
        <f t="shared" si="81"/>
        <v>1</v>
      </c>
      <c r="DV367" s="309" t="s">
        <v>2083</v>
      </c>
      <c r="DW367" s="310"/>
      <c r="DX367" s="708">
        <f>ROUNDUP(CU300*4500,0)</f>
        <v>13365</v>
      </c>
    </row>
    <row r="368" spans="1:131" s="63" customFormat="1" ht="18">
      <c r="A368" s="373"/>
      <c r="B368" s="819" t="s">
        <v>1833</v>
      </c>
      <c r="C368" s="408"/>
      <c r="D368" s="408"/>
      <c r="E368" s="408"/>
      <c r="F368" s="409"/>
      <c r="G368" s="409"/>
      <c r="H368" s="409"/>
      <c r="I368" s="409"/>
      <c r="J368" s="409"/>
      <c r="K368" s="409"/>
      <c r="L368" s="409"/>
      <c r="M368" s="409"/>
      <c r="N368" s="409"/>
      <c r="O368" s="409"/>
      <c r="P368" s="410"/>
      <c r="Q368" s="410"/>
      <c r="R368" s="410"/>
      <c r="S368" s="410"/>
      <c r="T368" s="413"/>
      <c r="U368" s="405"/>
      <c r="V368" s="405"/>
      <c r="W368" s="405"/>
      <c r="X368" s="408"/>
      <c r="Y368" s="408"/>
      <c r="Z368" s="408"/>
      <c r="AA368" s="408">
        <f>ROUNDUP((((16.44*2)+5.24)*8)+(((12.62*2)+5.28)*7),0)</f>
        <v>519</v>
      </c>
      <c r="AB368" s="408"/>
      <c r="AC368" s="408"/>
      <c r="AD368" s="408"/>
      <c r="AE368" s="408"/>
      <c r="AF368" s="408"/>
      <c r="AG368" s="408"/>
      <c r="AH368" s="408">
        <f>ROUNDUP(203+155+166+70,0)</f>
        <v>594</v>
      </c>
      <c r="AI368" s="408">
        <f>AA368</f>
        <v>519</v>
      </c>
      <c r="AJ368" s="408"/>
      <c r="AK368" s="357"/>
      <c r="AL368" s="357"/>
      <c r="AM368" s="357"/>
      <c r="AN368" s="357"/>
      <c r="AO368" s="357"/>
      <c r="AP368" s="357"/>
      <c r="AQ368" s="357"/>
      <c r="AR368" s="357"/>
      <c r="AS368" s="362"/>
      <c r="AT368" s="360"/>
      <c r="AU368" s="361"/>
      <c r="AV368" s="357"/>
      <c r="AW368" s="357"/>
      <c r="AX368" s="357"/>
      <c r="AY368" s="360"/>
      <c r="AZ368" s="361"/>
      <c r="BA368" s="364">
        <f t="shared" si="80"/>
        <v>0</v>
      </c>
      <c r="BB368" s="395">
        <f>AI368</f>
        <v>519</v>
      </c>
      <c r="BC368" s="360"/>
      <c r="BD368" s="380"/>
      <c r="BE368" s="381"/>
      <c r="BF368" s="381"/>
      <c r="BG368" s="381"/>
      <c r="BH368" s="381"/>
      <c r="BI368" s="381"/>
      <c r="BJ368" s="381"/>
      <c r="BK368" s="381"/>
      <c r="BL368" s="381"/>
      <c r="BM368" s="381"/>
      <c r="BN368" s="381"/>
      <c r="BO368" s="381"/>
      <c r="BP368" s="381"/>
      <c r="BQ368" s="381"/>
      <c r="BR368" s="381"/>
      <c r="BS368" s="381"/>
      <c r="BT368" s="381"/>
      <c r="BU368" s="381"/>
      <c r="BV368" s="381"/>
      <c r="BW368" s="381"/>
      <c r="BX368" s="381"/>
      <c r="BY368" s="381"/>
      <c r="BZ368" s="381"/>
      <c r="CA368" s="381"/>
      <c r="CB368" s="381"/>
      <c r="CC368" s="381"/>
      <c r="CD368" s="381"/>
      <c r="CE368" s="381"/>
      <c r="CF368" s="381"/>
      <c r="CG368" s="381"/>
      <c r="CH368" s="381"/>
      <c r="CI368" s="382"/>
      <c r="CJ368" s="382"/>
      <c r="CK368" s="382"/>
      <c r="CL368" s="382"/>
      <c r="CM368" s="382"/>
      <c r="CN368" s="382"/>
      <c r="CO368" s="382"/>
      <c r="CP368" s="382"/>
      <c r="CQ368" s="382"/>
      <c r="CR368" s="382"/>
      <c r="CS368" s="382"/>
      <c r="CT368" s="382"/>
      <c r="CU368" s="382"/>
      <c r="CV368" s="382"/>
      <c r="CW368" s="382"/>
      <c r="CX368" s="382"/>
      <c r="CY368" s="382"/>
      <c r="CZ368" s="382"/>
      <c r="DA368" s="382"/>
      <c r="DB368" s="382"/>
      <c r="DC368" s="382"/>
      <c r="DD368" s="382"/>
      <c r="DE368" s="382"/>
      <c r="DF368" s="382"/>
      <c r="DG368" s="382"/>
      <c r="DH368" s="382"/>
      <c r="DI368" s="382"/>
      <c r="DJ368" s="382"/>
      <c r="DK368" s="382"/>
      <c r="DL368" s="382"/>
      <c r="DM368" s="382"/>
      <c r="DN368" s="382"/>
      <c r="DO368" s="383"/>
      <c r="DP368" s="310">
        <f>CV370</f>
        <v>0</v>
      </c>
      <c r="DQ368" s="310">
        <f>CV412</f>
        <v>1</v>
      </c>
      <c r="DR368" s="310">
        <f>CV460</f>
        <v>0</v>
      </c>
      <c r="DS368" s="310">
        <f>CV484</f>
        <v>0</v>
      </c>
      <c r="DT368" s="310"/>
      <c r="DU368" s="310">
        <f t="shared" si="81"/>
        <v>1</v>
      </c>
      <c r="DV368" s="309" t="s">
        <v>2084</v>
      </c>
      <c r="DW368" s="310"/>
      <c r="DX368" s="708">
        <f>ROUNDUP(CV300*4500,0)</f>
        <v>18563</v>
      </c>
    </row>
    <row r="369" spans="1:131">
      <c r="A369" s="384"/>
      <c r="B369" s="361"/>
      <c r="C369" s="357"/>
      <c r="D369" s="357"/>
      <c r="E369" s="357"/>
      <c r="F369" s="357"/>
      <c r="G369" s="357"/>
      <c r="H369" s="357"/>
      <c r="I369" s="357"/>
      <c r="J369" s="357"/>
      <c r="K369" s="357"/>
      <c r="L369" s="357"/>
      <c r="M369" s="357"/>
      <c r="N369" s="357"/>
      <c r="O369" s="357"/>
      <c r="P369" s="362"/>
      <c r="Q369" s="362"/>
      <c r="R369" s="362"/>
      <c r="S369" s="362"/>
      <c r="T369" s="360">
        <f>SUM(C369:O369)</f>
        <v>0</v>
      </c>
      <c r="U369" s="361"/>
      <c r="V369" s="361"/>
      <c r="W369" s="361"/>
      <c r="X369" s="357"/>
      <c r="Y369" s="357"/>
      <c r="Z369" s="357"/>
      <c r="AA369" s="357"/>
      <c r="AB369" s="357"/>
      <c r="AC369" s="357"/>
      <c r="AD369" s="357"/>
      <c r="AE369" s="357"/>
      <c r="AF369" s="357"/>
      <c r="AG369" s="357"/>
      <c r="AH369" s="357"/>
      <c r="AI369" s="357"/>
      <c r="AJ369" s="357"/>
      <c r="AK369" s="357"/>
      <c r="AL369" s="357"/>
      <c r="AM369" s="357"/>
      <c r="AN369" s="357"/>
      <c r="AO369" s="357"/>
      <c r="AP369" s="357"/>
      <c r="AQ369" s="357"/>
      <c r="AR369" s="357"/>
      <c r="AS369" s="362"/>
      <c r="AT369" s="360"/>
      <c r="AU369" s="361"/>
      <c r="AV369" s="357"/>
      <c r="AW369" s="357"/>
      <c r="AX369" s="357"/>
      <c r="AY369" s="360"/>
      <c r="AZ369" s="361"/>
      <c r="BA369" s="357"/>
      <c r="BB369" s="362"/>
      <c r="BC369" s="360"/>
      <c r="BD369" s="380"/>
      <c r="BE369" s="381"/>
      <c r="BF369" s="381"/>
      <c r="BG369" s="381"/>
      <c r="BH369" s="381"/>
      <c r="BI369" s="381"/>
      <c r="BJ369" s="381"/>
      <c r="BK369" s="381"/>
      <c r="BL369" s="381"/>
      <c r="BM369" s="381"/>
      <c r="BN369" s="381"/>
      <c r="BO369" s="381"/>
      <c r="BP369" s="381"/>
      <c r="BQ369" s="381"/>
      <c r="BR369" s="381"/>
      <c r="BS369" s="381"/>
      <c r="BT369" s="381"/>
      <c r="BU369" s="381"/>
      <c r="BV369" s="381"/>
      <c r="BW369" s="381"/>
      <c r="BX369" s="381"/>
      <c r="BY369" s="381"/>
      <c r="BZ369" s="381"/>
      <c r="CA369" s="381"/>
      <c r="CB369" s="381"/>
      <c r="CC369" s="381"/>
      <c r="CD369" s="381"/>
      <c r="CE369" s="381"/>
      <c r="CF369" s="381"/>
      <c r="CG369" s="381"/>
      <c r="CH369" s="381"/>
      <c r="CI369" s="382"/>
      <c r="CJ369" s="382"/>
      <c r="CK369" s="382"/>
      <c r="CL369" s="382"/>
      <c r="CM369" s="382"/>
      <c r="CN369" s="382"/>
      <c r="CO369" s="382"/>
      <c r="CP369" s="382"/>
      <c r="CQ369" s="382"/>
      <c r="CR369" s="382"/>
      <c r="CS369" s="382"/>
      <c r="CT369" s="382"/>
      <c r="CU369" s="382"/>
      <c r="CV369" s="382"/>
      <c r="CW369" s="382"/>
      <c r="CX369" s="382"/>
      <c r="CY369" s="382"/>
      <c r="CZ369" s="382"/>
      <c r="DA369" s="382"/>
      <c r="DB369" s="382"/>
      <c r="DC369" s="382"/>
      <c r="DD369" s="382"/>
      <c r="DE369" s="382"/>
      <c r="DF369" s="382"/>
      <c r="DG369" s="382"/>
      <c r="DH369" s="382"/>
      <c r="DI369" s="382"/>
      <c r="DJ369" s="382"/>
      <c r="DK369" s="382"/>
      <c r="DL369" s="382"/>
      <c r="DM369" s="382"/>
      <c r="DN369" s="382"/>
      <c r="DO369" s="383"/>
      <c r="DP369" s="310">
        <f>CW370</f>
        <v>0</v>
      </c>
      <c r="DQ369" s="310">
        <f>CW412</f>
        <v>0</v>
      </c>
      <c r="DR369" s="310">
        <f>CW460</f>
        <v>1</v>
      </c>
      <c r="DS369" s="310">
        <f>CW484</f>
        <v>0</v>
      </c>
      <c r="DU369" s="310">
        <f t="shared" si="81"/>
        <v>1</v>
      </c>
      <c r="DV369" s="309" t="s">
        <v>2085</v>
      </c>
      <c r="DX369" s="708">
        <f>ROUNDUP(CW300*4500,0)</f>
        <v>11138</v>
      </c>
    </row>
    <row r="370" spans="1:131" ht="21.75">
      <c r="A370" s="384"/>
      <c r="B370" s="385" t="s">
        <v>182</v>
      </c>
      <c r="C370" s="386">
        <f>SUM(C307:C369)</f>
        <v>1341</v>
      </c>
      <c r="D370" s="386">
        <f>SUM(D307:D369)</f>
        <v>2593</v>
      </c>
      <c r="E370" s="386">
        <f t="shared" ref="E370:BP370" si="85">SUM(E307:E369)</f>
        <v>144</v>
      </c>
      <c r="F370" s="386">
        <f t="shared" si="85"/>
        <v>106</v>
      </c>
      <c r="G370" s="386">
        <f t="shared" si="85"/>
        <v>2740</v>
      </c>
      <c r="H370" s="386">
        <f t="shared" si="85"/>
        <v>47</v>
      </c>
      <c r="I370" s="386">
        <f t="shared" si="85"/>
        <v>0</v>
      </c>
      <c r="J370" s="386">
        <f t="shared" si="85"/>
        <v>0</v>
      </c>
      <c r="K370" s="386">
        <f t="shared" si="85"/>
        <v>0</v>
      </c>
      <c r="L370" s="386">
        <f t="shared" si="85"/>
        <v>0</v>
      </c>
      <c r="M370" s="386">
        <f t="shared" si="85"/>
        <v>0</v>
      </c>
      <c r="N370" s="386">
        <f t="shared" si="85"/>
        <v>0</v>
      </c>
      <c r="O370" s="386">
        <f t="shared" si="85"/>
        <v>0</v>
      </c>
      <c r="P370" s="386">
        <f t="shared" si="85"/>
        <v>0</v>
      </c>
      <c r="Q370" s="386">
        <f t="shared" si="85"/>
        <v>0</v>
      </c>
      <c r="R370" s="386">
        <f t="shared" si="85"/>
        <v>0</v>
      </c>
      <c r="S370" s="386">
        <f t="shared" si="85"/>
        <v>34</v>
      </c>
      <c r="T370" s="386">
        <f t="shared" si="85"/>
        <v>144</v>
      </c>
      <c r="U370" s="386">
        <f t="shared" si="85"/>
        <v>5006</v>
      </c>
      <c r="V370" s="386">
        <f t="shared" si="85"/>
        <v>2553</v>
      </c>
      <c r="W370" s="386">
        <f t="shared" si="85"/>
        <v>0</v>
      </c>
      <c r="X370" s="386">
        <f t="shared" si="85"/>
        <v>0</v>
      </c>
      <c r="Y370" s="386">
        <f t="shared" si="85"/>
        <v>0</v>
      </c>
      <c r="Z370" s="386">
        <f t="shared" si="85"/>
        <v>0</v>
      </c>
      <c r="AA370" s="386">
        <f t="shared" si="85"/>
        <v>519</v>
      </c>
      <c r="AB370" s="386">
        <f t="shared" si="85"/>
        <v>0</v>
      </c>
      <c r="AC370" s="386">
        <f t="shared" si="85"/>
        <v>0</v>
      </c>
      <c r="AD370" s="386">
        <f t="shared" si="85"/>
        <v>13737</v>
      </c>
      <c r="AE370" s="386">
        <f t="shared" si="85"/>
        <v>226</v>
      </c>
      <c r="AF370" s="386">
        <f t="shared" si="85"/>
        <v>0</v>
      </c>
      <c r="AG370" s="386">
        <f t="shared" si="85"/>
        <v>657</v>
      </c>
      <c r="AH370" s="386">
        <f t="shared" si="85"/>
        <v>594</v>
      </c>
      <c r="AI370" s="386">
        <f t="shared" si="85"/>
        <v>519</v>
      </c>
      <c r="AJ370" s="386">
        <f t="shared" si="85"/>
        <v>0</v>
      </c>
      <c r="AK370" s="386">
        <f t="shared" si="85"/>
        <v>0</v>
      </c>
      <c r="AL370" s="386">
        <f t="shared" si="85"/>
        <v>0</v>
      </c>
      <c r="AM370" s="386">
        <f t="shared" si="85"/>
        <v>0</v>
      </c>
      <c r="AN370" s="386">
        <f t="shared" si="85"/>
        <v>0</v>
      </c>
      <c r="AO370" s="386">
        <f t="shared" si="85"/>
        <v>0</v>
      </c>
      <c r="AP370" s="386">
        <f t="shared" si="85"/>
        <v>0</v>
      </c>
      <c r="AQ370" s="386">
        <f>ROUND(SUM(AQ307:AQ369),0)</f>
        <v>800</v>
      </c>
      <c r="AR370" s="386">
        <f>ROUND(SUM(AR307:AR369),0)</f>
        <v>152</v>
      </c>
      <c r="AS370" s="386">
        <f>ROUND(SUM(AS307:AS369),0)</f>
        <v>0</v>
      </c>
      <c r="AT370" s="386">
        <f>ROUND(SUM(AT307:AT369),0)</f>
        <v>679</v>
      </c>
      <c r="AU370" s="386">
        <f t="shared" si="85"/>
        <v>123</v>
      </c>
      <c r="AV370" s="386">
        <f t="shared" si="85"/>
        <v>144</v>
      </c>
      <c r="AW370" s="386">
        <f t="shared" si="85"/>
        <v>1969</v>
      </c>
      <c r="AX370" s="386">
        <f t="shared" si="85"/>
        <v>0</v>
      </c>
      <c r="AY370" s="386">
        <f t="shared" si="85"/>
        <v>0</v>
      </c>
      <c r="AZ370" s="386">
        <f t="shared" si="85"/>
        <v>13684</v>
      </c>
      <c r="BA370" s="386">
        <f t="shared" si="85"/>
        <v>0</v>
      </c>
      <c r="BB370" s="386">
        <f t="shared" si="85"/>
        <v>519</v>
      </c>
      <c r="BC370" s="386">
        <f t="shared" si="85"/>
        <v>2236</v>
      </c>
      <c r="BD370" s="386">
        <f t="shared" si="85"/>
        <v>1</v>
      </c>
      <c r="BE370" s="386">
        <f t="shared" si="85"/>
        <v>1</v>
      </c>
      <c r="BF370" s="386">
        <f t="shared" si="85"/>
        <v>21</v>
      </c>
      <c r="BG370" s="386">
        <f t="shared" si="85"/>
        <v>3</v>
      </c>
      <c r="BH370" s="386">
        <f t="shared" si="85"/>
        <v>0</v>
      </c>
      <c r="BI370" s="386">
        <f t="shared" si="85"/>
        <v>2</v>
      </c>
      <c r="BJ370" s="386">
        <f t="shared" si="85"/>
        <v>3</v>
      </c>
      <c r="BK370" s="386">
        <f t="shared" si="85"/>
        <v>3</v>
      </c>
      <c r="BL370" s="386">
        <f t="shared" si="85"/>
        <v>4</v>
      </c>
      <c r="BM370" s="386">
        <f t="shared" si="85"/>
        <v>1</v>
      </c>
      <c r="BN370" s="386">
        <f t="shared" si="85"/>
        <v>0</v>
      </c>
      <c r="BO370" s="386">
        <f t="shared" si="85"/>
        <v>1</v>
      </c>
      <c r="BP370" s="386">
        <f t="shared" si="85"/>
        <v>0</v>
      </c>
      <c r="BQ370" s="386">
        <f t="shared" ref="BQ370:DO370" si="86">SUM(BQ307:BQ369)</f>
        <v>5</v>
      </c>
      <c r="BR370" s="386">
        <f t="shared" si="86"/>
        <v>4</v>
      </c>
      <c r="BS370" s="386">
        <f t="shared" si="86"/>
        <v>1</v>
      </c>
      <c r="BT370" s="386">
        <f t="shared" si="86"/>
        <v>1</v>
      </c>
      <c r="BU370" s="386">
        <f t="shared" si="86"/>
        <v>1</v>
      </c>
      <c r="BV370" s="386">
        <f t="shared" si="86"/>
        <v>0</v>
      </c>
      <c r="BW370" s="386">
        <f t="shared" si="86"/>
        <v>0</v>
      </c>
      <c r="BX370" s="386">
        <f t="shared" si="86"/>
        <v>0</v>
      </c>
      <c r="BY370" s="386">
        <f t="shared" si="86"/>
        <v>0</v>
      </c>
      <c r="BZ370" s="386">
        <f t="shared" si="86"/>
        <v>0</v>
      </c>
      <c r="CA370" s="386">
        <f t="shared" si="86"/>
        <v>0</v>
      </c>
      <c r="CB370" s="386">
        <f t="shared" si="86"/>
        <v>0</v>
      </c>
      <c r="CC370" s="386">
        <f t="shared" si="86"/>
        <v>0</v>
      </c>
      <c r="CD370" s="386">
        <f t="shared" si="86"/>
        <v>1</v>
      </c>
      <c r="CE370" s="386">
        <f t="shared" si="86"/>
        <v>13</v>
      </c>
      <c r="CF370" s="386">
        <f t="shared" si="86"/>
        <v>0</v>
      </c>
      <c r="CG370" s="386">
        <f t="shared" si="86"/>
        <v>0</v>
      </c>
      <c r="CH370" s="386">
        <f t="shared" si="86"/>
        <v>11</v>
      </c>
      <c r="CI370" s="386">
        <f t="shared" si="86"/>
        <v>0</v>
      </c>
      <c r="CJ370" s="386">
        <f t="shared" si="86"/>
        <v>4</v>
      </c>
      <c r="CK370" s="386">
        <f t="shared" si="86"/>
        <v>1</v>
      </c>
      <c r="CL370" s="386">
        <f t="shared" si="86"/>
        <v>0</v>
      </c>
      <c r="CM370" s="386">
        <f t="shared" si="86"/>
        <v>0</v>
      </c>
      <c r="CN370" s="386">
        <f t="shared" si="86"/>
        <v>2</v>
      </c>
      <c r="CO370" s="386">
        <f t="shared" si="86"/>
        <v>1</v>
      </c>
      <c r="CP370" s="386">
        <f t="shared" si="86"/>
        <v>0</v>
      </c>
      <c r="CQ370" s="386">
        <f t="shared" si="86"/>
        <v>0</v>
      </c>
      <c r="CR370" s="386">
        <f t="shared" si="86"/>
        <v>10</v>
      </c>
      <c r="CS370" s="386">
        <f t="shared" si="86"/>
        <v>2</v>
      </c>
      <c r="CT370" s="386">
        <f t="shared" si="86"/>
        <v>1</v>
      </c>
      <c r="CU370" s="386">
        <f t="shared" si="86"/>
        <v>0</v>
      </c>
      <c r="CV370" s="386">
        <f t="shared" si="86"/>
        <v>0</v>
      </c>
      <c r="CW370" s="386">
        <f t="shared" si="86"/>
        <v>0</v>
      </c>
      <c r="CX370" s="386">
        <f t="shared" si="86"/>
        <v>5</v>
      </c>
      <c r="CY370" s="386">
        <f t="shared" si="86"/>
        <v>9</v>
      </c>
      <c r="CZ370" s="386">
        <f t="shared" ref="CZ370:DE370" si="87">SUM(CZ307:CZ369)</f>
        <v>1</v>
      </c>
      <c r="DA370" s="386">
        <f t="shared" si="87"/>
        <v>0</v>
      </c>
      <c r="DB370" s="386">
        <f t="shared" si="87"/>
        <v>0</v>
      </c>
      <c r="DC370" s="386">
        <f t="shared" si="87"/>
        <v>0</v>
      </c>
      <c r="DD370" s="386">
        <f t="shared" si="87"/>
        <v>0</v>
      </c>
      <c r="DE370" s="386">
        <f t="shared" si="87"/>
        <v>0</v>
      </c>
      <c r="DF370" s="386">
        <f t="shared" si="86"/>
        <v>0</v>
      </c>
      <c r="DG370" s="386">
        <f t="shared" si="86"/>
        <v>0</v>
      </c>
      <c r="DH370" s="386">
        <f t="shared" si="86"/>
        <v>0</v>
      </c>
      <c r="DI370" s="386">
        <f t="shared" si="86"/>
        <v>0</v>
      </c>
      <c r="DJ370" s="386">
        <f t="shared" si="86"/>
        <v>0</v>
      </c>
      <c r="DK370" s="386">
        <f t="shared" si="86"/>
        <v>0</v>
      </c>
      <c r="DL370" s="386">
        <f t="shared" si="86"/>
        <v>0</v>
      </c>
      <c r="DM370" s="386">
        <f t="shared" si="86"/>
        <v>0</v>
      </c>
      <c r="DN370" s="386">
        <f t="shared" si="86"/>
        <v>0</v>
      </c>
      <c r="DO370" s="386">
        <f t="shared" si="86"/>
        <v>0</v>
      </c>
      <c r="DP370" s="310">
        <f>CX370</f>
        <v>5</v>
      </c>
      <c r="DQ370" s="310">
        <f>CX412</f>
        <v>0</v>
      </c>
      <c r="DR370" s="310">
        <f>CX460</f>
        <v>0</v>
      </c>
      <c r="DS370" s="310">
        <f>CX484</f>
        <v>0</v>
      </c>
      <c r="DU370" s="310">
        <f t="shared" si="81"/>
        <v>5</v>
      </c>
      <c r="DV370" s="309" t="s">
        <v>2086</v>
      </c>
      <c r="DX370" s="708">
        <f>ROUNDUP(CX300*3680,0)</f>
        <v>60678</v>
      </c>
      <c r="EA370" s="788">
        <f>ROUNDUP((((6.73*3)+(2.45*5))*1000)+((22*5.1)*250),0)</f>
        <v>60490</v>
      </c>
    </row>
    <row r="371" spans="1:131" ht="18.75">
      <c r="A371" s="384"/>
      <c r="B371" s="385"/>
      <c r="C371" s="386"/>
      <c r="D371" s="386"/>
      <c r="E371" s="386"/>
      <c r="F371" s="386"/>
      <c r="G371" s="386"/>
      <c r="H371" s="386"/>
      <c r="I371" s="386"/>
      <c r="J371" s="386"/>
      <c r="K371" s="386"/>
      <c r="L371" s="386"/>
      <c r="M371" s="386"/>
      <c r="N371" s="386"/>
      <c r="O371" s="386"/>
      <c r="P371" s="387"/>
      <c r="Q371" s="387"/>
      <c r="R371" s="387"/>
      <c r="S371" s="387"/>
      <c r="T371" s="388"/>
      <c r="U371" s="389"/>
      <c r="V371" s="389"/>
      <c r="W371" s="389"/>
      <c r="X371" s="386"/>
      <c r="Y371" s="386"/>
      <c r="Z371" s="386"/>
      <c r="AA371" s="386"/>
      <c r="AB371" s="386"/>
      <c r="AC371" s="386"/>
      <c r="AD371" s="386"/>
      <c r="AE371" s="386"/>
      <c r="AF371" s="386"/>
      <c r="AG371" s="386"/>
      <c r="AH371" s="386"/>
      <c r="AI371" s="386"/>
      <c r="AJ371" s="386"/>
      <c r="AK371" s="386"/>
      <c r="AL371" s="386"/>
      <c r="AM371" s="386"/>
      <c r="AN371" s="386"/>
      <c r="AO371" s="386"/>
      <c r="AP371" s="386"/>
      <c r="AQ371" s="386"/>
      <c r="AR371" s="386"/>
      <c r="AS371" s="387"/>
      <c r="AT371" s="388"/>
      <c r="AU371" s="389"/>
      <c r="AV371" s="386"/>
      <c r="AW371" s="386"/>
      <c r="AX371" s="387"/>
      <c r="AY371" s="388"/>
      <c r="AZ371" s="389"/>
      <c r="BA371" s="386"/>
      <c r="BB371" s="387"/>
      <c r="BC371" s="388"/>
      <c r="BD371" s="327" t="s">
        <v>215</v>
      </c>
      <c r="BE371" s="327" t="s">
        <v>214</v>
      </c>
      <c r="BF371" s="327" t="s">
        <v>213</v>
      </c>
      <c r="BG371" s="327" t="s">
        <v>1505</v>
      </c>
      <c r="BH371" s="327" t="s">
        <v>1506</v>
      </c>
      <c r="BI371" s="327" t="s">
        <v>212</v>
      </c>
      <c r="BJ371" s="327" t="s">
        <v>352</v>
      </c>
      <c r="BK371" s="327" t="s">
        <v>353</v>
      </c>
      <c r="BL371" s="327" t="s">
        <v>354</v>
      </c>
      <c r="BM371" s="327" t="s">
        <v>355</v>
      </c>
      <c r="BN371" s="327" t="s">
        <v>1507</v>
      </c>
      <c r="BO371" s="327" t="s">
        <v>356</v>
      </c>
      <c r="BP371" s="327" t="s">
        <v>1328</v>
      </c>
      <c r="BQ371" s="327" t="s">
        <v>357</v>
      </c>
      <c r="BR371" s="327" t="s">
        <v>358</v>
      </c>
      <c r="BS371" s="327" t="s">
        <v>359</v>
      </c>
      <c r="BT371" s="327" t="s">
        <v>360</v>
      </c>
      <c r="BU371" s="327" t="s">
        <v>361</v>
      </c>
      <c r="BV371" s="327" t="s">
        <v>377</v>
      </c>
      <c r="BW371" s="327" t="s">
        <v>378</v>
      </c>
      <c r="BX371" s="327" t="s">
        <v>379</v>
      </c>
      <c r="BY371" s="327" t="s">
        <v>380</v>
      </c>
      <c r="BZ371" s="327" t="s">
        <v>1272</v>
      </c>
      <c r="CA371" s="327" t="s">
        <v>1273</v>
      </c>
      <c r="CB371" s="327" t="s">
        <v>1508</v>
      </c>
      <c r="CC371" s="327" t="s">
        <v>1509</v>
      </c>
      <c r="CD371" s="327" t="s">
        <v>1510</v>
      </c>
      <c r="CE371" s="315" t="s">
        <v>211</v>
      </c>
      <c r="CF371" s="315" t="s">
        <v>210</v>
      </c>
      <c r="CG371" s="315" t="s">
        <v>1511</v>
      </c>
      <c r="CH371" s="315" t="s">
        <v>209</v>
      </c>
      <c r="CI371" s="315" t="s">
        <v>208</v>
      </c>
      <c r="CJ371" s="315" t="s">
        <v>207</v>
      </c>
      <c r="CK371" s="315" t="s">
        <v>206</v>
      </c>
      <c r="CL371" s="315" t="s">
        <v>1280</v>
      </c>
      <c r="CM371" s="315" t="s">
        <v>1512</v>
      </c>
      <c r="CN371" s="315" t="s">
        <v>205</v>
      </c>
      <c r="CO371" s="315" t="s">
        <v>1281</v>
      </c>
      <c r="CP371" s="315" t="s">
        <v>1513</v>
      </c>
      <c r="CQ371" s="315" t="s">
        <v>1514</v>
      </c>
      <c r="CR371" s="315" t="s">
        <v>204</v>
      </c>
      <c r="CS371" s="315" t="s">
        <v>203</v>
      </c>
      <c r="CT371" s="315" t="s">
        <v>1515</v>
      </c>
      <c r="CU371" s="315" t="s">
        <v>202</v>
      </c>
      <c r="CV371" s="315" t="s">
        <v>201</v>
      </c>
      <c r="CW371" s="315" t="s">
        <v>200</v>
      </c>
      <c r="CX371" s="315" t="s">
        <v>199</v>
      </c>
      <c r="CY371" s="315" t="s">
        <v>198</v>
      </c>
      <c r="CZ371" s="315" t="s">
        <v>197</v>
      </c>
      <c r="DA371" s="315" t="s">
        <v>1274</v>
      </c>
      <c r="DB371" s="315" t="s">
        <v>1275</v>
      </c>
      <c r="DC371" s="315" t="s">
        <v>1516</v>
      </c>
      <c r="DD371" s="315" t="s">
        <v>1517</v>
      </c>
      <c r="DE371" s="315" t="s">
        <v>1518</v>
      </c>
      <c r="DF371" s="392"/>
      <c r="DG371" s="392"/>
      <c r="DH371" s="392"/>
      <c r="DI371" s="392"/>
      <c r="DJ371" s="392"/>
      <c r="DK371" s="392"/>
      <c r="DL371" s="392"/>
      <c r="DM371" s="392"/>
      <c r="DN371" s="392"/>
      <c r="DO371" s="393"/>
      <c r="DP371" s="310">
        <f>CY370</f>
        <v>9</v>
      </c>
      <c r="DQ371" s="310">
        <f>CY412</f>
        <v>0</v>
      </c>
      <c r="DR371" s="310">
        <f>CY460</f>
        <v>0</v>
      </c>
      <c r="DS371" s="310">
        <f>CY484</f>
        <v>0</v>
      </c>
      <c r="DU371" s="310">
        <f t="shared" si="81"/>
        <v>9</v>
      </c>
      <c r="DV371" s="309" t="s">
        <v>2087</v>
      </c>
      <c r="DX371" s="708">
        <f>ROUNDUP(CY300*4500,0)</f>
        <v>15795</v>
      </c>
    </row>
    <row r="372" spans="1:131">
      <c r="A372" s="384"/>
      <c r="B372" s="394" t="s">
        <v>184</v>
      </c>
      <c r="C372" s="357"/>
      <c r="D372" s="357"/>
      <c r="E372" s="357"/>
      <c r="F372" s="357"/>
      <c r="G372" s="357"/>
      <c r="H372" s="357"/>
      <c r="I372" s="357"/>
      <c r="J372" s="357"/>
      <c r="K372" s="357"/>
      <c r="L372" s="357"/>
      <c r="M372" s="357"/>
      <c r="N372" s="357"/>
      <c r="O372" s="357"/>
      <c r="P372" s="362"/>
      <c r="Q372" s="362"/>
      <c r="R372" s="362"/>
      <c r="S372" s="362"/>
      <c r="T372" s="367"/>
      <c r="U372" s="361"/>
      <c r="V372" s="361"/>
      <c r="W372" s="361"/>
      <c r="X372" s="357"/>
      <c r="Y372" s="357"/>
      <c r="Z372" s="357"/>
      <c r="AA372" s="357"/>
      <c r="AB372" s="357"/>
      <c r="AC372" s="357"/>
      <c r="AD372" s="357"/>
      <c r="AE372" s="357"/>
      <c r="AF372" s="357"/>
      <c r="AG372" s="357"/>
      <c r="AH372" s="357"/>
      <c r="AI372" s="357"/>
      <c r="AJ372" s="357"/>
      <c r="AK372" s="357"/>
      <c r="AL372" s="357"/>
      <c r="AM372" s="357"/>
      <c r="AN372" s="357"/>
      <c r="AO372" s="357"/>
      <c r="AP372" s="357"/>
      <c r="AQ372" s="357"/>
      <c r="AR372" s="357"/>
      <c r="AS372" s="362"/>
      <c r="AT372" s="360"/>
      <c r="AU372" s="363"/>
      <c r="AV372" s="364"/>
      <c r="AW372" s="364"/>
      <c r="AX372" s="395"/>
      <c r="AY372" s="365"/>
      <c r="AZ372" s="361"/>
      <c r="BA372" s="357"/>
      <c r="BB372" s="362"/>
      <c r="BC372" s="360"/>
      <c r="BD372" s="380"/>
      <c r="BE372" s="381"/>
      <c r="BF372" s="381"/>
      <c r="BG372" s="381"/>
      <c r="BH372" s="381"/>
      <c r="BI372" s="381"/>
      <c r="BJ372" s="381"/>
      <c r="BK372" s="381"/>
      <c r="BL372" s="381"/>
      <c r="BM372" s="381"/>
      <c r="BN372" s="381"/>
      <c r="BO372" s="381"/>
      <c r="BP372" s="381"/>
      <c r="BQ372" s="381"/>
      <c r="BR372" s="381"/>
      <c r="BS372" s="381"/>
      <c r="BT372" s="381"/>
      <c r="BU372" s="381"/>
      <c r="BV372" s="381"/>
      <c r="BW372" s="381"/>
      <c r="BX372" s="381"/>
      <c r="BY372" s="381"/>
      <c r="BZ372" s="381"/>
      <c r="CA372" s="381"/>
      <c r="CB372" s="381"/>
      <c r="CC372" s="381"/>
      <c r="CD372" s="381"/>
      <c r="CE372" s="381"/>
      <c r="CF372" s="381"/>
      <c r="CG372" s="381"/>
      <c r="CH372" s="381"/>
      <c r="CI372" s="382"/>
      <c r="CJ372" s="382"/>
      <c r="CK372" s="382"/>
      <c r="CL372" s="382"/>
      <c r="CM372" s="382"/>
      <c r="CN372" s="382"/>
      <c r="CO372" s="382"/>
      <c r="CP372" s="382"/>
      <c r="CQ372" s="382"/>
      <c r="CR372" s="382"/>
      <c r="CS372" s="382"/>
      <c r="CT372" s="382"/>
      <c r="CU372" s="382"/>
      <c r="CV372" s="382"/>
      <c r="CW372" s="382"/>
      <c r="CX372" s="382"/>
      <c r="CY372" s="382"/>
      <c r="CZ372" s="382"/>
      <c r="DA372" s="382"/>
      <c r="DB372" s="382"/>
      <c r="DC372" s="382"/>
      <c r="DD372" s="382"/>
      <c r="DE372" s="382"/>
      <c r="DF372" s="382"/>
      <c r="DG372" s="382"/>
      <c r="DH372" s="382"/>
      <c r="DI372" s="382"/>
      <c r="DJ372" s="382"/>
      <c r="DK372" s="382"/>
      <c r="DL372" s="382"/>
      <c r="DM372" s="382"/>
      <c r="DN372" s="382"/>
      <c r="DO372" s="383"/>
      <c r="DP372" s="310">
        <f>CZ370</f>
        <v>1</v>
      </c>
      <c r="DQ372" s="310">
        <f>CZ412</f>
        <v>0</v>
      </c>
      <c r="DR372" s="310">
        <f>CZ460</f>
        <v>0</v>
      </c>
      <c r="DS372" s="310">
        <f>CZ484</f>
        <v>0</v>
      </c>
      <c r="DU372" s="310">
        <f t="shared" si="81"/>
        <v>1</v>
      </c>
      <c r="DV372" s="309" t="s">
        <v>2088</v>
      </c>
      <c r="DX372" s="708">
        <f>ROUNDUP(CZ300*4500,0)</f>
        <v>96188</v>
      </c>
    </row>
    <row r="373" spans="1:131" s="64" customFormat="1">
      <c r="A373" s="396"/>
      <c r="B373" s="366"/>
      <c r="C373" s="357"/>
      <c r="D373" s="357"/>
      <c r="E373" s="357"/>
      <c r="F373" s="357"/>
      <c r="G373" s="357"/>
      <c r="H373" s="357"/>
      <c r="I373" s="357"/>
      <c r="J373" s="357"/>
      <c r="K373" s="357"/>
      <c r="L373" s="357"/>
      <c r="M373" s="357"/>
      <c r="N373" s="357"/>
      <c r="O373" s="357"/>
      <c r="P373" s="362"/>
      <c r="Q373" s="362"/>
      <c r="R373" s="362"/>
      <c r="S373" s="362"/>
      <c r="T373" s="360"/>
      <c r="U373" s="361"/>
      <c r="V373" s="361"/>
      <c r="W373" s="361"/>
      <c r="X373" s="357"/>
      <c r="Y373" s="357"/>
      <c r="Z373" s="357"/>
      <c r="AA373" s="357"/>
      <c r="AB373" s="357"/>
      <c r="AC373" s="357"/>
      <c r="AD373" s="357"/>
      <c r="AE373" s="357"/>
      <c r="AF373" s="357"/>
      <c r="AG373" s="357"/>
      <c r="AH373" s="357"/>
      <c r="AI373" s="357"/>
      <c r="AJ373" s="357"/>
      <c r="AK373" s="357"/>
      <c r="AL373" s="357"/>
      <c r="AM373" s="357"/>
      <c r="AN373" s="357"/>
      <c r="AO373" s="357"/>
      <c r="AP373" s="357"/>
      <c r="AQ373" s="357"/>
      <c r="AR373" s="357"/>
      <c r="AS373" s="362"/>
      <c r="AT373" s="360"/>
      <c r="AU373" s="397"/>
      <c r="AV373" s="370"/>
      <c r="AW373" s="370"/>
      <c r="AX373" s="398"/>
      <c r="AY373" s="399"/>
      <c r="AZ373" s="361"/>
      <c r="BA373" s="357"/>
      <c r="BB373" s="362"/>
      <c r="BC373" s="360"/>
      <c r="BD373" s="371"/>
      <c r="BE373" s="369"/>
      <c r="BF373" s="369"/>
      <c r="BG373" s="369"/>
      <c r="BH373" s="369"/>
      <c r="BI373" s="369"/>
      <c r="BJ373" s="369"/>
      <c r="BK373" s="369"/>
      <c r="BL373" s="369"/>
      <c r="BM373" s="369"/>
      <c r="BN373" s="369"/>
      <c r="BO373" s="369"/>
      <c r="BP373" s="369"/>
      <c r="BQ373" s="369"/>
      <c r="BR373" s="369"/>
      <c r="BS373" s="369"/>
      <c r="BT373" s="369"/>
      <c r="BU373" s="369"/>
      <c r="BV373" s="369"/>
      <c r="BW373" s="369"/>
      <c r="BX373" s="369"/>
      <c r="BY373" s="369"/>
      <c r="BZ373" s="369"/>
      <c r="CA373" s="369"/>
      <c r="CB373" s="369"/>
      <c r="CC373" s="369"/>
      <c r="CD373" s="369"/>
      <c r="CE373" s="369"/>
      <c r="CF373" s="369"/>
      <c r="CG373" s="369"/>
      <c r="CH373" s="369"/>
      <c r="CI373" s="400"/>
      <c r="CJ373" s="400"/>
      <c r="CK373" s="400"/>
      <c r="CL373" s="400"/>
      <c r="CM373" s="400"/>
      <c r="CN373" s="400"/>
      <c r="CO373" s="400"/>
      <c r="CP373" s="400"/>
      <c r="CQ373" s="400"/>
      <c r="CR373" s="400"/>
      <c r="CS373" s="400"/>
      <c r="CT373" s="400"/>
      <c r="CU373" s="400"/>
      <c r="CV373" s="400"/>
      <c r="CW373" s="400"/>
      <c r="CX373" s="400"/>
      <c r="CY373" s="400"/>
      <c r="CZ373" s="400"/>
      <c r="DA373" s="400"/>
      <c r="DB373" s="400"/>
      <c r="DC373" s="400"/>
      <c r="DD373" s="400"/>
      <c r="DE373" s="400"/>
      <c r="DF373" s="400"/>
      <c r="DG373" s="400"/>
      <c r="DH373" s="400"/>
      <c r="DI373" s="400"/>
      <c r="DJ373" s="400"/>
      <c r="DK373" s="400"/>
      <c r="DL373" s="400"/>
      <c r="DM373" s="400"/>
      <c r="DN373" s="400"/>
      <c r="DO373" s="401"/>
      <c r="DP373" s="433">
        <f>DA370</f>
        <v>0</v>
      </c>
      <c r="DQ373" s="433">
        <f>DA412</f>
        <v>1</v>
      </c>
      <c r="DR373" s="433">
        <f>DA460</f>
        <v>0</v>
      </c>
      <c r="DS373" s="433">
        <f>DA484</f>
        <v>0</v>
      </c>
      <c r="DT373" s="402"/>
      <c r="DU373" s="310">
        <f t="shared" si="81"/>
        <v>1</v>
      </c>
      <c r="DV373" s="309" t="s">
        <v>2089</v>
      </c>
      <c r="DW373" s="402"/>
      <c r="DX373" s="708">
        <f>ROUNDUP(DA300*4500,0)</f>
        <v>4950</v>
      </c>
    </row>
    <row r="374" spans="1:131" ht="18">
      <c r="A374" s="355"/>
      <c r="B374" s="821" t="s">
        <v>1585</v>
      </c>
      <c r="C374" s="459"/>
      <c r="D374" s="459">
        <v>895</v>
      </c>
      <c r="E374" s="358"/>
      <c r="F374" s="375"/>
      <c r="G374" s="358"/>
      <c r="H374" s="358"/>
      <c r="I374" s="358"/>
      <c r="J374" s="369"/>
      <c r="K374" s="358"/>
      <c r="L374" s="358"/>
      <c r="M374" s="358"/>
      <c r="N374" s="358"/>
      <c r="O374" s="358"/>
      <c r="P374" s="359"/>
      <c r="Q374" s="359"/>
      <c r="R374" s="359"/>
      <c r="S374" s="359"/>
      <c r="T374" s="360"/>
      <c r="U374" s="361">
        <f>ROUND(((3.8+7.6+2.81+5.6+2.7+1.9)*3.6)-(CG300+CU300+CV300+DE300),0)</f>
        <v>57</v>
      </c>
      <c r="V374" s="361"/>
      <c r="W374" s="361"/>
      <c r="X374" s="357"/>
      <c r="Y374" s="357"/>
      <c r="Z374" s="357"/>
      <c r="AA374" s="357"/>
      <c r="AB374" s="357"/>
      <c r="AC374" s="357"/>
      <c r="AD374" s="375">
        <f>ROUND((218.57*3.6),0)</f>
        <v>787</v>
      </c>
      <c r="AE374" s="357">
        <f>ROUND((2.4*3.6)*18,0)</f>
        <v>156</v>
      </c>
      <c r="AF374" s="357"/>
      <c r="AG374" s="357"/>
      <c r="AH374" s="357"/>
      <c r="AI374" s="357"/>
      <c r="AJ374" s="357"/>
      <c r="AK374" s="357"/>
      <c r="AL374" s="357"/>
      <c r="AM374" s="357"/>
      <c r="AN374" s="357"/>
      <c r="AO374" s="357"/>
      <c r="AP374" s="357"/>
      <c r="AQ374" s="357">
        <f>CG302+CU302+CV302+DE302</f>
        <v>14.099999999999998</v>
      </c>
      <c r="AR374" s="357"/>
      <c r="AS374" s="362"/>
      <c r="AT374" s="360">
        <f>CG301+CU301+CV301+DE301</f>
        <v>33.5</v>
      </c>
      <c r="AU374" s="397"/>
      <c r="AV374" s="364"/>
      <c r="AW374" s="370">
        <f>D374-166</f>
        <v>729</v>
      </c>
      <c r="AX374" s="364"/>
      <c r="AY374" s="365"/>
      <c r="AZ374" s="363">
        <f>AD374+AE374</f>
        <v>943</v>
      </c>
      <c r="BA374" s="364"/>
      <c r="BB374" s="395"/>
      <c r="BC374" s="365">
        <f t="shared" ref="BC374:BC404" si="88">SUM(AU374:AW374)</f>
        <v>729</v>
      </c>
      <c r="BD374" s="371"/>
      <c r="BE374" s="358"/>
      <c r="BF374" s="358"/>
      <c r="BG374" s="358"/>
      <c r="BH374" s="358"/>
      <c r="BI374" s="358"/>
      <c r="BJ374" s="358"/>
      <c r="BK374" s="358"/>
      <c r="BL374" s="358"/>
      <c r="BM374" s="358"/>
      <c r="BN374" s="358"/>
      <c r="BO374" s="358"/>
      <c r="BP374" s="358"/>
      <c r="BQ374" s="358"/>
      <c r="BR374" s="358"/>
      <c r="BS374" s="358"/>
      <c r="BT374" s="358"/>
      <c r="BU374" s="358"/>
      <c r="BV374" s="358">
        <v>2</v>
      </c>
      <c r="BW374" s="358"/>
      <c r="BX374" s="358"/>
      <c r="BY374" s="358"/>
      <c r="BZ374" s="358"/>
      <c r="CA374" s="358"/>
      <c r="CB374" s="358"/>
      <c r="CC374" s="358"/>
      <c r="CD374" s="358"/>
      <c r="CE374" s="358"/>
      <c r="CF374" s="358"/>
      <c r="CG374" s="358">
        <v>1</v>
      </c>
      <c r="CH374" s="369"/>
      <c r="CI374" s="400"/>
      <c r="CJ374" s="359"/>
      <c r="CK374" s="359"/>
      <c r="CL374" s="359"/>
      <c r="CM374" s="359"/>
      <c r="CN374" s="359"/>
      <c r="CO374" s="359"/>
      <c r="CP374" s="359"/>
      <c r="CQ374" s="359"/>
      <c r="CR374" s="359"/>
      <c r="CS374" s="359"/>
      <c r="CT374" s="359"/>
      <c r="CU374" s="359">
        <v>1</v>
      </c>
      <c r="CV374" s="359">
        <v>1</v>
      </c>
      <c r="CW374" s="359"/>
      <c r="CX374" s="359"/>
      <c r="CY374" s="359"/>
      <c r="CZ374" s="359"/>
      <c r="DA374" s="359"/>
      <c r="DB374" s="359"/>
      <c r="DC374" s="359"/>
      <c r="DD374" s="359"/>
      <c r="DE374" s="359">
        <v>1</v>
      </c>
      <c r="DF374" s="359"/>
      <c r="DG374" s="359"/>
      <c r="DH374" s="359"/>
      <c r="DI374" s="359"/>
      <c r="DJ374" s="359"/>
      <c r="DK374" s="359"/>
      <c r="DL374" s="359"/>
      <c r="DM374" s="359"/>
      <c r="DN374" s="359"/>
      <c r="DO374" s="367"/>
      <c r="DP374" s="310">
        <f>DB370</f>
        <v>0</v>
      </c>
      <c r="DQ374" s="310">
        <f>DB412</f>
        <v>0</v>
      </c>
      <c r="DR374" s="310">
        <f>DB460</f>
        <v>1</v>
      </c>
      <c r="DS374" s="310">
        <f>DB484</f>
        <v>0</v>
      </c>
      <c r="DU374" s="310">
        <f t="shared" si="81"/>
        <v>1</v>
      </c>
      <c r="DV374" s="309" t="s">
        <v>2090</v>
      </c>
      <c r="DX374" s="708">
        <f>ROUNDUP(DB300*4500,0)</f>
        <v>71438</v>
      </c>
    </row>
    <row r="375" spans="1:131" ht="18">
      <c r="A375" s="355"/>
      <c r="B375" s="819" t="s">
        <v>401</v>
      </c>
      <c r="C375" s="459"/>
      <c r="D375" s="459">
        <v>106</v>
      </c>
      <c r="E375" s="358"/>
      <c r="F375" s="375"/>
      <c r="G375" s="375"/>
      <c r="H375" s="358"/>
      <c r="I375" s="358"/>
      <c r="J375" s="369"/>
      <c r="K375" s="358"/>
      <c r="L375" s="358"/>
      <c r="M375" s="358"/>
      <c r="N375" s="358"/>
      <c r="O375" s="358"/>
      <c r="P375" s="359"/>
      <c r="Q375" s="359"/>
      <c r="R375" s="359"/>
      <c r="S375" s="359"/>
      <c r="T375" s="360"/>
      <c r="U375" s="361">
        <f>ROUND((60.7*3.5)-(BZ300+(CG300*4)),0)</f>
        <v>121</v>
      </c>
      <c r="V375" s="361"/>
      <c r="W375" s="361"/>
      <c r="X375" s="357"/>
      <c r="Y375" s="357"/>
      <c r="Z375" s="357"/>
      <c r="AA375" s="357"/>
      <c r="AB375" s="357"/>
      <c r="AC375" s="357"/>
      <c r="AD375" s="357">
        <f>ROUND((60.7*3.6)-(BZ300+(CG300*4)),0)</f>
        <v>127</v>
      </c>
      <c r="AE375" s="357"/>
      <c r="AF375" s="357"/>
      <c r="AG375" s="357"/>
      <c r="AH375" s="357"/>
      <c r="AI375" s="357"/>
      <c r="AJ375" s="357"/>
      <c r="AK375" s="357"/>
      <c r="AL375" s="357"/>
      <c r="AM375" s="357"/>
      <c r="AN375" s="357"/>
      <c r="AO375" s="357"/>
      <c r="AP375" s="357"/>
      <c r="AQ375" s="357">
        <f>ROUND(BZ302+(CG302*4)+(13*3.5),0)</f>
        <v>64</v>
      </c>
      <c r="AR375" s="357"/>
      <c r="AS375" s="362"/>
      <c r="AT375" s="360">
        <f>ROUND(BZ301+(CG301*2),0)</f>
        <v>43</v>
      </c>
      <c r="AU375" s="397">
        <f>D375</f>
        <v>106</v>
      </c>
      <c r="AV375" s="364"/>
      <c r="AW375" s="370"/>
      <c r="AX375" s="364"/>
      <c r="AY375" s="365"/>
      <c r="AZ375" s="363">
        <f t="shared" ref="AZ375:AZ388" si="89">AD375</f>
        <v>127</v>
      </c>
      <c r="BA375" s="364"/>
      <c r="BB375" s="395"/>
      <c r="BC375" s="365">
        <f t="shared" si="88"/>
        <v>106</v>
      </c>
      <c r="BD375" s="371"/>
      <c r="BE375" s="358"/>
      <c r="BF375" s="358"/>
      <c r="BG375" s="358"/>
      <c r="BH375" s="358"/>
      <c r="BI375" s="358"/>
      <c r="BJ375" s="358"/>
      <c r="BK375" s="358"/>
      <c r="BL375" s="358"/>
      <c r="BM375" s="358"/>
      <c r="BN375" s="358"/>
      <c r="BO375" s="358"/>
      <c r="BP375" s="358"/>
      <c r="BQ375" s="358"/>
      <c r="BR375" s="369"/>
      <c r="BS375" s="358"/>
      <c r="BT375" s="358"/>
      <c r="BU375" s="358"/>
      <c r="BV375" s="358"/>
      <c r="BW375" s="358"/>
      <c r="BX375" s="358"/>
      <c r="BY375" s="358"/>
      <c r="BZ375" s="358">
        <v>1</v>
      </c>
      <c r="CA375" s="358"/>
      <c r="CB375" s="358"/>
      <c r="CC375" s="358"/>
      <c r="CD375" s="358"/>
      <c r="CE375" s="358"/>
      <c r="CF375" s="358"/>
      <c r="CG375" s="358">
        <v>4</v>
      </c>
      <c r="CH375" s="369"/>
      <c r="CI375" s="400"/>
      <c r="CJ375" s="359"/>
      <c r="CK375" s="359"/>
      <c r="CL375" s="359"/>
      <c r="CM375" s="359"/>
      <c r="CN375" s="359"/>
      <c r="CO375" s="359"/>
      <c r="CP375" s="359"/>
      <c r="CQ375" s="359"/>
      <c r="CR375" s="359"/>
      <c r="CS375" s="359"/>
      <c r="CT375" s="359"/>
      <c r="CU375" s="359"/>
      <c r="CV375" s="359"/>
      <c r="CW375" s="359"/>
      <c r="CX375" s="359"/>
      <c r="CY375" s="359"/>
      <c r="CZ375" s="359"/>
      <c r="DA375" s="359"/>
      <c r="DB375" s="359"/>
      <c r="DC375" s="359"/>
      <c r="DD375" s="359"/>
      <c r="DE375" s="359"/>
      <c r="DF375" s="359"/>
      <c r="DG375" s="359"/>
      <c r="DH375" s="359"/>
      <c r="DI375" s="359"/>
      <c r="DJ375" s="359"/>
      <c r="DK375" s="359"/>
      <c r="DL375" s="359"/>
      <c r="DM375" s="359"/>
      <c r="DN375" s="359"/>
      <c r="DO375" s="367"/>
      <c r="DP375" s="310">
        <f>DC370</f>
        <v>0</v>
      </c>
      <c r="DQ375" s="310">
        <f>DC412</f>
        <v>0</v>
      </c>
      <c r="DR375" s="310">
        <f>DC460</f>
        <v>1</v>
      </c>
      <c r="DS375" s="310">
        <f>DC484</f>
        <v>0</v>
      </c>
      <c r="DU375" s="310">
        <f t="shared" si="81"/>
        <v>1</v>
      </c>
      <c r="DV375" s="309" t="s">
        <v>2091</v>
      </c>
      <c r="DX375" s="708">
        <f>ROUNDUP(DC300*4500,0)</f>
        <v>135000</v>
      </c>
    </row>
    <row r="376" spans="1:131" ht="18">
      <c r="A376" s="355"/>
      <c r="B376" s="819" t="s">
        <v>406</v>
      </c>
      <c r="C376" s="459">
        <v>96</v>
      </c>
      <c r="D376" s="459"/>
      <c r="E376" s="358"/>
      <c r="F376" s="375"/>
      <c r="G376" s="375"/>
      <c r="H376" s="358"/>
      <c r="I376" s="358"/>
      <c r="J376" s="369"/>
      <c r="K376" s="358"/>
      <c r="L376" s="358"/>
      <c r="M376" s="358"/>
      <c r="N376" s="358"/>
      <c r="O376" s="358"/>
      <c r="P376" s="359"/>
      <c r="Q376" s="359"/>
      <c r="R376" s="359"/>
      <c r="S376" s="359"/>
      <c r="T376" s="360"/>
      <c r="U376" s="361">
        <f>ROUND((52.1*3.5)-(BH300+(CI300*4)),0)</f>
        <v>143</v>
      </c>
      <c r="V376" s="361"/>
      <c r="W376" s="361"/>
      <c r="X376" s="357"/>
      <c r="Y376" s="357"/>
      <c r="Z376" s="357"/>
      <c r="AA376" s="357"/>
      <c r="AB376" s="357"/>
      <c r="AC376" s="357"/>
      <c r="AD376" s="357">
        <f>ROUND((56.1*3.6)-(BH300+(CI300*4)),0)</f>
        <v>163</v>
      </c>
      <c r="AE376" s="357"/>
      <c r="AF376" s="357"/>
      <c r="AG376" s="357"/>
      <c r="AH376" s="357"/>
      <c r="AI376" s="357"/>
      <c r="AJ376" s="357"/>
      <c r="AK376" s="357"/>
      <c r="AL376" s="357"/>
      <c r="AM376" s="357"/>
      <c r="AN376" s="357"/>
      <c r="AO376" s="357"/>
      <c r="AP376" s="357"/>
      <c r="AQ376" s="357">
        <f>ROUND(BH302+(CI302*4)+(11*3.5),0)</f>
        <v>57</v>
      </c>
      <c r="AR376" s="357"/>
      <c r="AS376" s="362"/>
      <c r="AT376" s="360">
        <f>ROUND(BH301+(CI301*2),0)</f>
        <v>22</v>
      </c>
      <c r="AU376" s="397"/>
      <c r="AV376" s="364"/>
      <c r="AW376" s="370">
        <f>C376</f>
        <v>96</v>
      </c>
      <c r="AX376" s="364"/>
      <c r="AY376" s="365"/>
      <c r="AZ376" s="363">
        <f t="shared" si="89"/>
        <v>163</v>
      </c>
      <c r="BA376" s="364"/>
      <c r="BB376" s="395"/>
      <c r="BC376" s="365">
        <f t="shared" si="88"/>
        <v>96</v>
      </c>
      <c r="BD376" s="371"/>
      <c r="BE376" s="358"/>
      <c r="BF376" s="358"/>
      <c r="BG376" s="358"/>
      <c r="BH376" s="358">
        <v>1</v>
      </c>
      <c r="BI376" s="358"/>
      <c r="BJ376" s="358"/>
      <c r="BK376" s="369"/>
      <c r="BL376" s="358"/>
      <c r="BM376" s="358"/>
      <c r="BN376" s="358"/>
      <c r="BO376" s="358"/>
      <c r="BP376" s="358"/>
      <c r="BQ376" s="358"/>
      <c r="BR376" s="369"/>
      <c r="BS376" s="358"/>
      <c r="BT376" s="358"/>
      <c r="BU376" s="358"/>
      <c r="BV376" s="358"/>
      <c r="BW376" s="358"/>
      <c r="BX376" s="358"/>
      <c r="BY376" s="358"/>
      <c r="BZ376" s="358"/>
      <c r="CA376" s="358"/>
      <c r="CB376" s="358"/>
      <c r="CC376" s="358"/>
      <c r="CD376" s="358"/>
      <c r="CE376" s="358"/>
      <c r="CF376" s="369"/>
      <c r="CG376" s="369"/>
      <c r="CH376" s="369"/>
      <c r="CI376" s="400">
        <v>4</v>
      </c>
      <c r="CJ376" s="359"/>
      <c r="CK376" s="359"/>
      <c r="CL376" s="359"/>
      <c r="CM376" s="359"/>
      <c r="CN376" s="359"/>
      <c r="CO376" s="359"/>
      <c r="CP376" s="359"/>
      <c r="CQ376" s="359"/>
      <c r="CR376" s="359"/>
      <c r="CS376" s="359"/>
      <c r="CT376" s="359"/>
      <c r="CU376" s="359"/>
      <c r="CV376" s="359"/>
      <c r="CW376" s="359"/>
      <c r="CX376" s="359"/>
      <c r="CY376" s="359"/>
      <c r="CZ376" s="359"/>
      <c r="DA376" s="359"/>
      <c r="DB376" s="359"/>
      <c r="DC376" s="359"/>
      <c r="DD376" s="359"/>
      <c r="DE376" s="359"/>
      <c r="DF376" s="359"/>
      <c r="DG376" s="359"/>
      <c r="DH376" s="359"/>
      <c r="DI376" s="359"/>
      <c r="DJ376" s="359"/>
      <c r="DK376" s="359"/>
      <c r="DL376" s="359"/>
      <c r="DM376" s="359"/>
      <c r="DN376" s="359"/>
      <c r="DO376" s="367"/>
      <c r="DP376" s="310">
        <f>DD370</f>
        <v>0</v>
      </c>
      <c r="DQ376" s="310">
        <f>DD412</f>
        <v>0</v>
      </c>
      <c r="DR376" s="310">
        <f>DD460</f>
        <v>3</v>
      </c>
      <c r="DS376" s="310">
        <f>DD484</f>
        <v>0</v>
      </c>
      <c r="DU376" s="310">
        <f t="shared" si="81"/>
        <v>3</v>
      </c>
      <c r="DV376" s="309" t="s">
        <v>2092</v>
      </c>
      <c r="DX376" s="708">
        <f>ROUNDUP(DD300*4500,0)</f>
        <v>60750</v>
      </c>
    </row>
    <row r="377" spans="1:131" ht="18">
      <c r="A377" s="355"/>
      <c r="B377" s="819" t="s">
        <v>1586</v>
      </c>
      <c r="C377" s="459">
        <v>32</v>
      </c>
      <c r="D377" s="358"/>
      <c r="E377" s="358"/>
      <c r="F377" s="375"/>
      <c r="G377" s="358"/>
      <c r="H377" s="358"/>
      <c r="I377" s="358"/>
      <c r="J377" s="369"/>
      <c r="K377" s="358"/>
      <c r="L377" s="358"/>
      <c r="M377" s="358"/>
      <c r="N377" s="358"/>
      <c r="O377" s="358"/>
      <c r="P377" s="359"/>
      <c r="Q377" s="359"/>
      <c r="R377" s="359"/>
      <c r="S377" s="359"/>
      <c r="T377" s="360"/>
      <c r="U377" s="361">
        <f>ROUND((16*3.5)-(BH300+BT300+BU300),0)</f>
        <v>46</v>
      </c>
      <c r="V377" s="361"/>
      <c r="W377" s="361"/>
      <c r="X377" s="357"/>
      <c r="Y377" s="357"/>
      <c r="Z377" s="357"/>
      <c r="AA377" s="357"/>
      <c r="AB377" s="357"/>
      <c r="AC377" s="357"/>
      <c r="AD377" s="357">
        <f>ROUND((26.38*3.6)-((BH300*2)+BT300+CI300),0)</f>
        <v>73</v>
      </c>
      <c r="AE377" s="357"/>
      <c r="AF377" s="357"/>
      <c r="AG377" s="357"/>
      <c r="AH377" s="357"/>
      <c r="AI377" s="357"/>
      <c r="AJ377" s="357"/>
      <c r="AK377" s="357"/>
      <c r="AL377" s="357"/>
      <c r="AM377" s="357"/>
      <c r="AN377" s="357"/>
      <c r="AO377" s="357"/>
      <c r="AP377" s="357"/>
      <c r="AQ377" s="357">
        <f>ROUND((2*3.5)+BH302+BT302+BU302,0)</f>
        <v>21</v>
      </c>
      <c r="AR377" s="357"/>
      <c r="AS377" s="362"/>
      <c r="AT377" s="360">
        <f>BH301+BT301+BU301</f>
        <v>4.0999999999999996</v>
      </c>
      <c r="AU377" s="397"/>
      <c r="AV377" s="364"/>
      <c r="AW377" s="370">
        <f>C377</f>
        <v>32</v>
      </c>
      <c r="AX377" s="364"/>
      <c r="AY377" s="365"/>
      <c r="AZ377" s="363">
        <f t="shared" si="89"/>
        <v>73</v>
      </c>
      <c r="BA377" s="364">
        <f>AC377</f>
        <v>0</v>
      </c>
      <c r="BB377" s="395"/>
      <c r="BC377" s="365">
        <f t="shared" si="88"/>
        <v>32</v>
      </c>
      <c r="BD377" s="371"/>
      <c r="BE377" s="358"/>
      <c r="BF377" s="358"/>
      <c r="BG377" s="358"/>
      <c r="BH377" s="358">
        <v>1</v>
      </c>
      <c r="BI377" s="358"/>
      <c r="BJ377" s="358"/>
      <c r="BK377" s="358"/>
      <c r="BL377" s="358"/>
      <c r="BM377" s="358"/>
      <c r="BN377" s="358"/>
      <c r="BO377" s="369"/>
      <c r="BP377" s="358"/>
      <c r="BQ377" s="358"/>
      <c r="BR377" s="358"/>
      <c r="BS377" s="358"/>
      <c r="BT377" s="358"/>
      <c r="BU377" s="358"/>
      <c r="BV377" s="358"/>
      <c r="BW377" s="358"/>
      <c r="BX377" s="358"/>
      <c r="BY377" s="358"/>
      <c r="BZ377" s="358"/>
      <c r="CA377" s="358"/>
      <c r="CB377" s="358"/>
      <c r="CC377" s="358"/>
      <c r="CD377" s="358"/>
      <c r="CE377" s="358"/>
      <c r="CF377" s="358"/>
      <c r="CG377" s="358"/>
      <c r="CH377" s="358"/>
      <c r="CI377" s="359">
        <v>1</v>
      </c>
      <c r="CJ377" s="359"/>
      <c r="CK377" s="359"/>
      <c r="CL377" s="359"/>
      <c r="CM377" s="359"/>
      <c r="CN377" s="359"/>
      <c r="CO377" s="359"/>
      <c r="CP377" s="359"/>
      <c r="CQ377" s="359"/>
      <c r="CR377" s="359"/>
      <c r="CS377" s="359"/>
      <c r="CT377" s="359"/>
      <c r="CU377" s="359"/>
      <c r="CV377" s="359"/>
      <c r="CW377" s="359"/>
      <c r="CX377" s="359"/>
      <c r="CY377" s="359"/>
      <c r="CZ377" s="359"/>
      <c r="DA377" s="359"/>
      <c r="DB377" s="359"/>
      <c r="DC377" s="359"/>
      <c r="DD377" s="359"/>
      <c r="DE377" s="359"/>
      <c r="DF377" s="359"/>
      <c r="DG377" s="359"/>
      <c r="DH377" s="359"/>
      <c r="DI377" s="359"/>
      <c r="DJ377" s="359"/>
      <c r="DK377" s="359"/>
      <c r="DL377" s="359"/>
      <c r="DM377" s="359"/>
      <c r="DN377" s="359"/>
      <c r="DO377" s="367"/>
      <c r="DP377" s="310">
        <f>DE370</f>
        <v>0</v>
      </c>
      <c r="DQ377" s="310">
        <f>DE412</f>
        <v>1</v>
      </c>
      <c r="DR377" s="310">
        <f>DE460</f>
        <v>1</v>
      </c>
      <c r="DS377" s="310">
        <f>DE484</f>
        <v>0</v>
      </c>
      <c r="DU377" s="310">
        <f t="shared" si="81"/>
        <v>2</v>
      </c>
      <c r="DV377" s="309" t="s">
        <v>2093</v>
      </c>
      <c r="DX377" s="708">
        <f>ROUNDUP(DE300*4500,0)</f>
        <v>69930</v>
      </c>
    </row>
    <row r="378" spans="1:131" s="63" customFormat="1" ht="18">
      <c r="A378" s="373"/>
      <c r="B378" s="819" t="s">
        <v>1596</v>
      </c>
      <c r="C378" s="462">
        <v>14</v>
      </c>
      <c r="D378" s="375"/>
      <c r="E378" s="462"/>
      <c r="F378" s="357"/>
      <c r="G378" s="357"/>
      <c r="H378" s="357"/>
      <c r="I378" s="357"/>
      <c r="J378" s="357"/>
      <c r="K378" s="357"/>
      <c r="L378" s="357"/>
      <c r="M378" s="357"/>
      <c r="N378" s="357"/>
      <c r="O378" s="357"/>
      <c r="P378" s="362"/>
      <c r="Q378" s="362"/>
      <c r="R378" s="362"/>
      <c r="S378" s="362"/>
      <c r="T378" s="360"/>
      <c r="U378" s="361">
        <f>ROUND((15.57*3.6)-BT300,0)</f>
        <v>54</v>
      </c>
      <c r="V378" s="361"/>
      <c r="W378" s="361"/>
      <c r="X378" s="357"/>
      <c r="Y378" s="357"/>
      <c r="Z378" s="357"/>
      <c r="AA378" s="357"/>
      <c r="AB378" s="357"/>
      <c r="AC378" s="357"/>
      <c r="AD378" s="357">
        <f>ROUND((15.57*3.5)-BT300,0)</f>
        <v>52</v>
      </c>
      <c r="AE378" s="357"/>
      <c r="AF378" s="357"/>
      <c r="AG378" s="357"/>
      <c r="AH378" s="357"/>
      <c r="AI378" s="357"/>
      <c r="AJ378" s="357"/>
      <c r="AK378" s="357"/>
      <c r="AL378" s="357"/>
      <c r="AM378" s="357"/>
      <c r="AN378" s="357"/>
      <c r="AO378" s="357"/>
      <c r="AP378" s="357"/>
      <c r="AQ378" s="357">
        <f>ROUND((3*3.6)+BT302,0)</f>
        <v>15</v>
      </c>
      <c r="AR378" s="357"/>
      <c r="AS378" s="362"/>
      <c r="AT378" s="360">
        <f>ROUND(BT301,0)</f>
        <v>1</v>
      </c>
      <c r="AU378" s="374"/>
      <c r="AV378" s="357"/>
      <c r="AW378" s="370">
        <f>C378</f>
        <v>14</v>
      </c>
      <c r="AX378" s="357"/>
      <c r="AY378" s="360"/>
      <c r="AZ378" s="363">
        <f t="shared" si="89"/>
        <v>52</v>
      </c>
      <c r="BA378" s="357"/>
      <c r="BB378" s="362"/>
      <c r="BC378" s="365">
        <f t="shared" si="88"/>
        <v>14</v>
      </c>
      <c r="BD378" s="361"/>
      <c r="BE378" s="357"/>
      <c r="BF378" s="357"/>
      <c r="BG378" s="357"/>
      <c r="BH378" s="357"/>
      <c r="BI378" s="357"/>
      <c r="BJ378" s="357"/>
      <c r="BK378" s="357"/>
      <c r="BL378" s="357"/>
      <c r="BM378" s="357"/>
      <c r="BN378" s="357"/>
      <c r="BO378" s="357"/>
      <c r="BP378" s="357"/>
      <c r="BQ378" s="357"/>
      <c r="BR378" s="357"/>
      <c r="BS378" s="375"/>
      <c r="BT378" s="375">
        <v>1</v>
      </c>
      <c r="BU378" s="375"/>
      <c r="BV378" s="357"/>
      <c r="BW378" s="357"/>
      <c r="BX378" s="357"/>
      <c r="BY378" s="357"/>
      <c r="BZ378" s="357"/>
      <c r="CA378" s="357"/>
      <c r="CB378" s="375"/>
      <c r="CC378" s="375"/>
      <c r="CD378" s="357"/>
      <c r="CE378" s="357"/>
      <c r="CF378" s="357"/>
      <c r="CG378" s="357"/>
      <c r="CH378" s="357"/>
      <c r="CI378" s="362"/>
      <c r="CJ378" s="362"/>
      <c r="CK378" s="362"/>
      <c r="CL378" s="362"/>
      <c r="CM378" s="362"/>
      <c r="CN378" s="362"/>
      <c r="CO378" s="362"/>
      <c r="CP378" s="362"/>
      <c r="CQ378" s="362"/>
      <c r="CR378" s="362"/>
      <c r="CS378" s="362"/>
      <c r="CT378" s="362"/>
      <c r="CU378" s="362"/>
      <c r="CV378" s="362"/>
      <c r="CW378" s="362"/>
      <c r="CX378" s="362"/>
      <c r="CY378" s="362"/>
      <c r="CZ378" s="362"/>
      <c r="DA378" s="362"/>
      <c r="DB378" s="362"/>
      <c r="DC378" s="362"/>
      <c r="DD378" s="362"/>
      <c r="DE378" s="362"/>
      <c r="DF378" s="362"/>
      <c r="DG378" s="362"/>
      <c r="DH378" s="362"/>
      <c r="DI378" s="362"/>
      <c r="DJ378" s="362"/>
      <c r="DK378" s="362"/>
      <c r="DL378" s="362"/>
      <c r="DM378" s="362"/>
      <c r="DN378" s="362"/>
      <c r="DO378" s="360"/>
      <c r="DP378" s="310"/>
      <c r="DQ378" s="310"/>
      <c r="DR378" s="310"/>
      <c r="DS378" s="310"/>
      <c r="DT378" s="310"/>
      <c r="DU378" s="310"/>
      <c r="DV378" s="310"/>
      <c r="DW378" s="310"/>
      <c r="DX378" s="310"/>
    </row>
    <row r="379" spans="1:131" s="63" customFormat="1" ht="18">
      <c r="A379" s="373"/>
      <c r="B379" s="819" t="s">
        <v>1587</v>
      </c>
      <c r="C379" s="462">
        <v>18</v>
      </c>
      <c r="D379" s="375"/>
      <c r="E379" s="462"/>
      <c r="F379" s="357"/>
      <c r="G379" s="357"/>
      <c r="H379" s="357"/>
      <c r="I379" s="357"/>
      <c r="J379" s="357"/>
      <c r="K379" s="357"/>
      <c r="L379" s="357"/>
      <c r="M379" s="357"/>
      <c r="N379" s="357"/>
      <c r="O379" s="357"/>
      <c r="P379" s="362"/>
      <c r="Q379" s="362"/>
      <c r="R379" s="362"/>
      <c r="S379" s="362"/>
      <c r="T379" s="360"/>
      <c r="U379" s="361">
        <f>ROUND((20.6*3.6)-DA300,0)</f>
        <v>73</v>
      </c>
      <c r="V379" s="361"/>
      <c r="W379" s="361"/>
      <c r="X379" s="357"/>
      <c r="Y379" s="357"/>
      <c r="Z379" s="357"/>
      <c r="AA379" s="357"/>
      <c r="AB379" s="357"/>
      <c r="AC379" s="357"/>
      <c r="AD379" s="357">
        <f>ROUND((19.2*3.5)-(BT300+DA300),0)</f>
        <v>64</v>
      </c>
      <c r="AE379" s="357"/>
      <c r="AF379" s="357"/>
      <c r="AG379" s="357"/>
      <c r="AH379" s="357"/>
      <c r="AI379" s="357"/>
      <c r="AJ379" s="357"/>
      <c r="AK379" s="357"/>
      <c r="AL379" s="357"/>
      <c r="AM379" s="357"/>
      <c r="AN379" s="357"/>
      <c r="AO379" s="357"/>
      <c r="AP379" s="357"/>
      <c r="AQ379" s="357">
        <f>ROUND((4*3.6)+DA302,0)</f>
        <v>15</v>
      </c>
      <c r="AR379" s="357"/>
      <c r="AS379" s="362"/>
      <c r="AT379" s="360">
        <f>ROUND(DA301,0)</f>
        <v>4</v>
      </c>
      <c r="AU379" s="374"/>
      <c r="AV379" s="357"/>
      <c r="AW379" s="370">
        <f>C379</f>
        <v>18</v>
      </c>
      <c r="AX379" s="357"/>
      <c r="AY379" s="360"/>
      <c r="AZ379" s="363">
        <f>AD379</f>
        <v>64</v>
      </c>
      <c r="BA379" s="357"/>
      <c r="BB379" s="362"/>
      <c r="BC379" s="365">
        <f t="shared" si="88"/>
        <v>18</v>
      </c>
      <c r="BD379" s="361"/>
      <c r="BE379" s="375"/>
      <c r="BF379" s="375"/>
      <c r="BG379" s="375"/>
      <c r="BH379" s="357"/>
      <c r="BI379" s="357"/>
      <c r="BJ379" s="357"/>
      <c r="BK379" s="357"/>
      <c r="BL379" s="357"/>
      <c r="BM379" s="357"/>
      <c r="BN379" s="357"/>
      <c r="BO379" s="357"/>
      <c r="BP379" s="357"/>
      <c r="BQ379" s="357"/>
      <c r="BR379" s="357"/>
      <c r="BS379" s="375"/>
      <c r="BT379" s="357">
        <v>1</v>
      </c>
      <c r="BU379" s="357"/>
      <c r="BV379" s="357"/>
      <c r="BW379" s="357"/>
      <c r="BX379" s="357"/>
      <c r="BY379" s="357"/>
      <c r="BZ379" s="357"/>
      <c r="CA379" s="357"/>
      <c r="CB379" s="375"/>
      <c r="CC379" s="375"/>
      <c r="CD379" s="375"/>
      <c r="CE379" s="357"/>
      <c r="CF379" s="357"/>
      <c r="CG379" s="357"/>
      <c r="CH379" s="357"/>
      <c r="CI379" s="362"/>
      <c r="CJ379" s="362"/>
      <c r="CK379" s="362"/>
      <c r="CL379" s="362"/>
      <c r="CM379" s="362"/>
      <c r="CN379" s="362"/>
      <c r="CO379" s="362"/>
      <c r="CP379" s="362"/>
      <c r="CQ379" s="362"/>
      <c r="CR379" s="362"/>
      <c r="CS379" s="362"/>
      <c r="CT379" s="362"/>
      <c r="CU379" s="362"/>
      <c r="CV379" s="362"/>
      <c r="CW379" s="362"/>
      <c r="CX379" s="362"/>
      <c r="CY379" s="362"/>
      <c r="CZ379" s="362"/>
      <c r="DA379" s="362">
        <v>1</v>
      </c>
      <c r="DB379" s="362"/>
      <c r="DC379" s="362"/>
      <c r="DD379" s="362"/>
      <c r="DE379" s="362"/>
      <c r="DF379" s="362"/>
      <c r="DG379" s="362"/>
      <c r="DH379" s="362"/>
      <c r="DI379" s="362"/>
      <c r="DJ379" s="362"/>
      <c r="DK379" s="362"/>
      <c r="DL379" s="362"/>
      <c r="DM379" s="362"/>
      <c r="DN379" s="362"/>
      <c r="DO379" s="360"/>
      <c r="DP379" s="310"/>
      <c r="DQ379" s="310"/>
      <c r="DR379" s="310"/>
      <c r="DS379" s="310"/>
      <c r="DT379" s="310"/>
      <c r="DU379" s="310"/>
      <c r="DV379" s="310"/>
      <c r="DW379" s="310"/>
      <c r="DX379" s="310"/>
    </row>
    <row r="380" spans="1:131" s="63" customFormat="1" ht="18">
      <c r="A380" s="373"/>
      <c r="B380" s="819" t="s">
        <v>1588</v>
      </c>
      <c r="C380" s="462"/>
      <c r="D380" s="460"/>
      <c r="E380" s="462">
        <v>40</v>
      </c>
      <c r="F380" s="357"/>
      <c r="G380" s="357"/>
      <c r="H380" s="357"/>
      <c r="I380" s="357"/>
      <c r="J380" s="357"/>
      <c r="K380" s="357"/>
      <c r="L380" s="357"/>
      <c r="M380" s="357"/>
      <c r="N380" s="357"/>
      <c r="O380" s="357"/>
      <c r="P380" s="362"/>
      <c r="Q380" s="362"/>
      <c r="R380" s="362"/>
      <c r="S380" s="362"/>
      <c r="T380" s="360">
        <f>SUM(C380:O380)</f>
        <v>40</v>
      </c>
      <c r="U380" s="361">
        <f>ROUND((34.77*3.6)-(BR300+CP300),0)</f>
        <v>120</v>
      </c>
      <c r="V380" s="361"/>
      <c r="W380" s="361"/>
      <c r="X380" s="357"/>
      <c r="Y380" s="357"/>
      <c r="Z380" s="357"/>
      <c r="AA380" s="357"/>
      <c r="AB380" s="357"/>
      <c r="AC380" s="357"/>
      <c r="AD380" s="357">
        <f>ROUND((34*3.5)-(BR300+CP300),0)</f>
        <v>114</v>
      </c>
      <c r="AE380" s="357"/>
      <c r="AF380" s="357"/>
      <c r="AG380" s="357">
        <f>AD380</f>
        <v>114</v>
      </c>
      <c r="AH380" s="357"/>
      <c r="AI380" s="357"/>
      <c r="AJ380" s="357"/>
      <c r="AK380" s="357"/>
      <c r="AL380" s="357"/>
      <c r="AM380" s="357"/>
      <c r="AN380" s="357"/>
      <c r="AO380" s="357"/>
      <c r="AP380" s="357"/>
      <c r="AQ380" s="357">
        <f>ROUND((16*4.7)+BR302+CP302,0)</f>
        <v>82</v>
      </c>
      <c r="AR380" s="357"/>
      <c r="AS380" s="362"/>
      <c r="AT380" s="360">
        <f>ROUND(BR301+CP301,0)</f>
        <v>6</v>
      </c>
      <c r="AU380" s="374"/>
      <c r="AV380" s="357">
        <f>E380</f>
        <v>40</v>
      </c>
      <c r="AW380" s="357"/>
      <c r="AX380" s="357"/>
      <c r="AY380" s="360"/>
      <c r="AZ380" s="363"/>
      <c r="BA380" s="357"/>
      <c r="BB380" s="362"/>
      <c r="BC380" s="365">
        <f t="shared" si="88"/>
        <v>40</v>
      </c>
      <c r="BD380" s="361"/>
      <c r="BE380" s="357"/>
      <c r="BF380" s="375"/>
      <c r="BG380" s="357"/>
      <c r="BH380" s="357"/>
      <c r="BI380" s="357"/>
      <c r="BJ380" s="357"/>
      <c r="BK380" s="357"/>
      <c r="BL380" s="357"/>
      <c r="BM380" s="357"/>
      <c r="BN380" s="357"/>
      <c r="BO380" s="357"/>
      <c r="BP380" s="357"/>
      <c r="BQ380" s="357"/>
      <c r="BR380" s="357">
        <v>1</v>
      </c>
      <c r="BS380" s="375"/>
      <c r="BT380" s="357"/>
      <c r="BU380" s="357"/>
      <c r="BV380" s="357"/>
      <c r="BW380" s="357"/>
      <c r="BX380" s="357"/>
      <c r="BY380" s="357"/>
      <c r="BZ380" s="357"/>
      <c r="CA380" s="357"/>
      <c r="CB380" s="375"/>
      <c r="CC380" s="375"/>
      <c r="CD380" s="375"/>
      <c r="CE380" s="357"/>
      <c r="CF380" s="357"/>
      <c r="CG380" s="357"/>
      <c r="CH380" s="357"/>
      <c r="CI380" s="362"/>
      <c r="CJ380" s="362"/>
      <c r="CK380" s="362"/>
      <c r="CL380" s="362"/>
      <c r="CM380" s="362"/>
      <c r="CN380" s="362"/>
      <c r="CO380" s="362"/>
      <c r="CP380" s="362">
        <v>1</v>
      </c>
      <c r="CQ380" s="362"/>
      <c r="CR380" s="362"/>
      <c r="CS380" s="362"/>
      <c r="CT380" s="362"/>
      <c r="CU380" s="362"/>
      <c r="CV380" s="362"/>
      <c r="CW380" s="362"/>
      <c r="CX380" s="362"/>
      <c r="CY380" s="362"/>
      <c r="CZ380" s="362"/>
      <c r="DA380" s="362"/>
      <c r="DB380" s="362"/>
      <c r="DC380" s="362"/>
      <c r="DD380" s="362"/>
      <c r="DE380" s="362"/>
      <c r="DF380" s="362"/>
      <c r="DG380" s="362"/>
      <c r="DH380" s="362"/>
      <c r="DI380" s="362"/>
      <c r="DJ380" s="362"/>
      <c r="DK380" s="362"/>
      <c r="DL380" s="362"/>
      <c r="DM380" s="362"/>
      <c r="DN380" s="362"/>
      <c r="DO380" s="360"/>
      <c r="DP380" s="310"/>
      <c r="DQ380" s="310"/>
      <c r="DR380" s="310"/>
      <c r="DS380" s="310"/>
      <c r="DT380" s="310"/>
      <c r="DU380" s="310"/>
      <c r="DV380" s="310"/>
      <c r="DW380" s="310"/>
      <c r="DX380" s="310"/>
    </row>
    <row r="381" spans="1:131" s="63" customFormat="1" ht="18">
      <c r="A381" s="373"/>
      <c r="B381" s="819" t="s">
        <v>1589</v>
      </c>
      <c r="C381" s="462"/>
      <c r="D381" s="460"/>
      <c r="E381" s="462">
        <v>18</v>
      </c>
      <c r="F381" s="357"/>
      <c r="G381" s="357"/>
      <c r="H381" s="357"/>
      <c r="I381" s="357"/>
      <c r="J381" s="357"/>
      <c r="K381" s="357"/>
      <c r="L381" s="357"/>
      <c r="M381" s="357"/>
      <c r="N381" s="357"/>
      <c r="O381" s="357"/>
      <c r="P381" s="362"/>
      <c r="Q381" s="362"/>
      <c r="R381" s="362"/>
      <c r="S381" s="362"/>
      <c r="T381" s="360">
        <f>SUM(C381:O381)</f>
        <v>18</v>
      </c>
      <c r="U381" s="361">
        <f>ROUND((17.2*3.6)-(BR300+CP300),0)</f>
        <v>57</v>
      </c>
      <c r="V381" s="361"/>
      <c r="W381" s="361"/>
      <c r="X381" s="357"/>
      <c r="Y381" s="357"/>
      <c r="Z381" s="357"/>
      <c r="AA381" s="357"/>
      <c r="AB381" s="357"/>
      <c r="AC381" s="357"/>
      <c r="AD381" s="357">
        <f>ROUND((18*3.5)-(BR300+CP300),0)</f>
        <v>58</v>
      </c>
      <c r="AE381" s="357"/>
      <c r="AF381" s="357"/>
      <c r="AG381" s="357">
        <f>AD381</f>
        <v>58</v>
      </c>
      <c r="AH381" s="357"/>
      <c r="AI381" s="357"/>
      <c r="AJ381" s="357"/>
      <c r="AK381" s="357"/>
      <c r="AL381" s="357"/>
      <c r="AM381" s="357"/>
      <c r="AN381" s="357"/>
      <c r="AO381" s="357"/>
      <c r="AP381" s="357"/>
      <c r="AQ381" s="357">
        <f>ROUND((3*4.7)+BR302+CP302,0)</f>
        <v>21</v>
      </c>
      <c r="AR381" s="357"/>
      <c r="AS381" s="362"/>
      <c r="AT381" s="360">
        <f>ROUND(BR301+CP301,0)</f>
        <v>6</v>
      </c>
      <c r="AU381" s="374"/>
      <c r="AV381" s="357">
        <f>E381</f>
        <v>18</v>
      </c>
      <c r="AW381" s="357"/>
      <c r="AX381" s="357"/>
      <c r="AY381" s="360"/>
      <c r="AZ381" s="363"/>
      <c r="BA381" s="357"/>
      <c r="BB381" s="362"/>
      <c r="BC381" s="365">
        <f t="shared" si="88"/>
        <v>18</v>
      </c>
      <c r="BD381" s="361"/>
      <c r="BE381" s="375"/>
      <c r="BF381" s="357"/>
      <c r="BG381" s="357"/>
      <c r="BH381" s="357"/>
      <c r="BI381" s="357"/>
      <c r="BJ381" s="357"/>
      <c r="BK381" s="357"/>
      <c r="BL381" s="357"/>
      <c r="BM381" s="357"/>
      <c r="BN381" s="357"/>
      <c r="BO381" s="357"/>
      <c r="BP381" s="357"/>
      <c r="BQ381" s="357"/>
      <c r="BR381" s="357">
        <v>1</v>
      </c>
      <c r="BS381" s="375"/>
      <c r="BT381" s="357"/>
      <c r="BU381" s="357"/>
      <c r="BV381" s="357"/>
      <c r="BW381" s="357"/>
      <c r="BX381" s="357"/>
      <c r="BY381" s="357"/>
      <c r="BZ381" s="357"/>
      <c r="CA381" s="357"/>
      <c r="CB381" s="375"/>
      <c r="CC381" s="375"/>
      <c r="CD381" s="375"/>
      <c r="CE381" s="375"/>
      <c r="CF381" s="357"/>
      <c r="CG381" s="357"/>
      <c r="CH381" s="357"/>
      <c r="CI381" s="362"/>
      <c r="CJ381" s="362"/>
      <c r="CK381" s="362"/>
      <c r="CL381" s="362"/>
      <c r="CM381" s="362"/>
      <c r="CN381" s="362"/>
      <c r="CO381" s="362"/>
      <c r="CP381" s="362">
        <v>1</v>
      </c>
      <c r="CQ381" s="362"/>
      <c r="CR381" s="362"/>
      <c r="CS381" s="362"/>
      <c r="CT381" s="362"/>
      <c r="CU381" s="362"/>
      <c r="CV381" s="362"/>
      <c r="CW381" s="362"/>
      <c r="CX381" s="362"/>
      <c r="CY381" s="362"/>
      <c r="CZ381" s="362"/>
      <c r="DA381" s="362"/>
      <c r="DB381" s="362"/>
      <c r="DC381" s="362"/>
      <c r="DD381" s="362"/>
      <c r="DE381" s="362"/>
      <c r="DF381" s="362"/>
      <c r="DG381" s="362"/>
      <c r="DH381" s="362"/>
      <c r="DI381" s="362"/>
      <c r="DJ381" s="362"/>
      <c r="DK381" s="362"/>
      <c r="DL381" s="362"/>
      <c r="DM381" s="362"/>
      <c r="DN381" s="362"/>
      <c r="DO381" s="360"/>
      <c r="DP381" s="310"/>
      <c r="DQ381" s="310"/>
      <c r="DR381" s="310"/>
      <c r="DS381" s="310"/>
      <c r="DT381" s="310"/>
      <c r="DU381" s="310"/>
      <c r="DV381" s="310"/>
      <c r="DW381" s="310"/>
      <c r="DX381" s="310"/>
    </row>
    <row r="382" spans="1:131" s="63" customFormat="1" ht="18">
      <c r="A382" s="376"/>
      <c r="B382" s="819" t="s">
        <v>1590</v>
      </c>
      <c r="C382" s="459"/>
      <c r="D382" s="459"/>
      <c r="E382" s="460">
        <v>6</v>
      </c>
      <c r="F382" s="357"/>
      <c r="G382" s="357"/>
      <c r="H382" s="357"/>
      <c r="I382" s="357"/>
      <c r="J382" s="357"/>
      <c r="K382" s="357"/>
      <c r="L382" s="357"/>
      <c r="M382" s="357"/>
      <c r="N382" s="357"/>
      <c r="O382" s="357"/>
      <c r="P382" s="362"/>
      <c r="Q382" s="362"/>
      <c r="R382" s="362"/>
      <c r="S382" s="362"/>
      <c r="T382" s="360">
        <f>SUM(C382:O382)</f>
        <v>6</v>
      </c>
      <c r="U382" s="361">
        <f>ROUND((5.4*3.6)-(BS300+CQ300),0)</f>
        <v>16</v>
      </c>
      <c r="V382" s="361"/>
      <c r="W382" s="361"/>
      <c r="X382" s="357"/>
      <c r="Y382" s="357"/>
      <c r="Z382" s="357"/>
      <c r="AA382" s="357"/>
      <c r="AB382" s="357"/>
      <c r="AC382" s="357"/>
      <c r="AD382" s="357">
        <f>ROUND((10*3.5)-(BS300+CQ300),0)</f>
        <v>31</v>
      </c>
      <c r="AE382" s="357"/>
      <c r="AF382" s="357"/>
      <c r="AG382" s="357">
        <f>AD382</f>
        <v>31</v>
      </c>
      <c r="AH382" s="357"/>
      <c r="AI382" s="357"/>
      <c r="AJ382" s="357"/>
      <c r="AK382" s="357"/>
      <c r="AL382" s="357"/>
      <c r="AM382" s="357"/>
      <c r="AN382" s="357"/>
      <c r="AO382" s="357"/>
      <c r="AP382" s="357"/>
      <c r="AQ382" s="357">
        <f>ROUND(BS302+CQ302,0)</f>
        <v>7</v>
      </c>
      <c r="AR382" s="357"/>
      <c r="AS382" s="362"/>
      <c r="AT382" s="360">
        <f>ROUND(BS301+CQ301,0)</f>
        <v>3</v>
      </c>
      <c r="AU382" s="374"/>
      <c r="AV382" s="357">
        <f>E382</f>
        <v>6</v>
      </c>
      <c r="AW382" s="357"/>
      <c r="AX382" s="357"/>
      <c r="AY382" s="360"/>
      <c r="AZ382" s="363"/>
      <c r="BA382" s="357"/>
      <c r="BB382" s="362"/>
      <c r="BC382" s="365">
        <f t="shared" si="88"/>
        <v>6</v>
      </c>
      <c r="BD382" s="361"/>
      <c r="BE382" s="357"/>
      <c r="BF382" s="357"/>
      <c r="BG382" s="357"/>
      <c r="BH382" s="357"/>
      <c r="BI382" s="357"/>
      <c r="BJ382" s="357"/>
      <c r="BK382" s="375"/>
      <c r="BL382" s="357"/>
      <c r="BM382" s="357"/>
      <c r="BN382" s="357"/>
      <c r="BO382" s="357"/>
      <c r="BP382" s="357"/>
      <c r="BQ382" s="357"/>
      <c r="BR382" s="357"/>
      <c r="BS382" s="375">
        <v>1</v>
      </c>
      <c r="BT382" s="357"/>
      <c r="BU382" s="357"/>
      <c r="BV382" s="357"/>
      <c r="BW382" s="357"/>
      <c r="BX382" s="357"/>
      <c r="BY382" s="357"/>
      <c r="BZ382" s="357"/>
      <c r="CA382" s="357"/>
      <c r="CB382" s="375"/>
      <c r="CC382" s="375"/>
      <c r="CD382" s="357"/>
      <c r="CE382" s="357"/>
      <c r="CF382" s="357"/>
      <c r="CG382" s="357"/>
      <c r="CH382" s="357"/>
      <c r="CI382" s="362"/>
      <c r="CJ382" s="362"/>
      <c r="CK382" s="362"/>
      <c r="CL382" s="362"/>
      <c r="CM382" s="362"/>
      <c r="CN382" s="362"/>
      <c r="CO382" s="362"/>
      <c r="CP382" s="362"/>
      <c r="CQ382" s="362">
        <v>1</v>
      </c>
      <c r="CR382" s="362"/>
      <c r="CS382" s="362"/>
      <c r="CT382" s="362"/>
      <c r="CU382" s="362"/>
      <c r="CV382" s="362"/>
      <c r="CW382" s="362"/>
      <c r="CX382" s="362"/>
      <c r="CY382" s="362"/>
      <c r="CZ382" s="362"/>
      <c r="DA382" s="362"/>
      <c r="DB382" s="362"/>
      <c r="DC382" s="362"/>
      <c r="DD382" s="362"/>
      <c r="DE382" s="362"/>
      <c r="DF382" s="362"/>
      <c r="DG382" s="362"/>
      <c r="DH382" s="362"/>
      <c r="DI382" s="362"/>
      <c r="DJ382" s="362"/>
      <c r="DK382" s="362"/>
      <c r="DL382" s="362"/>
      <c r="DM382" s="362"/>
      <c r="DN382" s="362"/>
      <c r="DO382" s="360"/>
      <c r="DP382" s="310"/>
      <c r="DQ382" s="310"/>
      <c r="DR382" s="310"/>
      <c r="DS382" s="310"/>
      <c r="DT382" s="310"/>
      <c r="DU382" s="310"/>
      <c r="DV382" s="310"/>
      <c r="DW382" s="310"/>
      <c r="DX382" s="310"/>
    </row>
    <row r="383" spans="1:131" s="63" customFormat="1" ht="18">
      <c r="A383" s="373"/>
      <c r="B383" s="819" t="s">
        <v>1561</v>
      </c>
      <c r="C383" s="463"/>
      <c r="D383" s="463">
        <v>80</v>
      </c>
      <c r="E383" s="375"/>
      <c r="F383" s="357"/>
      <c r="G383" s="357"/>
      <c r="H383" s="357"/>
      <c r="I383" s="357"/>
      <c r="J383" s="357"/>
      <c r="K383" s="357"/>
      <c r="L383" s="357"/>
      <c r="M383" s="357"/>
      <c r="N383" s="357"/>
      <c r="O383" s="357"/>
      <c r="P383" s="362"/>
      <c r="Q383" s="362"/>
      <c r="R383" s="362"/>
      <c r="S383" s="362"/>
      <c r="T383" s="360"/>
      <c r="U383" s="361">
        <f>ROUND((39.8*3.6)-((BY300*2)+CA300),0)</f>
        <v>132</v>
      </c>
      <c r="V383" s="361"/>
      <c r="W383" s="361"/>
      <c r="X383" s="357"/>
      <c r="Y383" s="357"/>
      <c r="Z383" s="357"/>
      <c r="AA383" s="357"/>
      <c r="AB383" s="357"/>
      <c r="AC383" s="357"/>
      <c r="AD383" s="357">
        <f>ROUND((39.8*3.6)-((BY300*2)+CA300),0)</f>
        <v>132</v>
      </c>
      <c r="AE383" s="357"/>
      <c r="AF383" s="357"/>
      <c r="AG383" s="357"/>
      <c r="AH383" s="357"/>
      <c r="AI383" s="357"/>
      <c r="AJ383" s="357"/>
      <c r="AK383" s="357"/>
      <c r="AL383" s="357"/>
      <c r="AM383" s="357"/>
      <c r="AN383" s="357"/>
      <c r="AO383" s="357"/>
      <c r="AP383" s="357"/>
      <c r="AQ383" s="357">
        <f>ROUND((BY302*2)+CA302,0)</f>
        <v>21</v>
      </c>
      <c r="AR383" s="357"/>
      <c r="AS383" s="362"/>
      <c r="AT383" s="360">
        <f>ROUND((BY301*2)+CA301,0)</f>
        <v>16</v>
      </c>
      <c r="AU383" s="374">
        <f>D383</f>
        <v>80</v>
      </c>
      <c r="AV383" s="357"/>
      <c r="AW383" s="357"/>
      <c r="AX383" s="357"/>
      <c r="AY383" s="360"/>
      <c r="AZ383" s="363">
        <f t="shared" si="89"/>
        <v>132</v>
      </c>
      <c r="BA383" s="357">
        <f t="shared" ref="BA383:BA389" si="90">AC383</f>
        <v>0</v>
      </c>
      <c r="BB383" s="362"/>
      <c r="BC383" s="365">
        <f t="shared" si="88"/>
        <v>80</v>
      </c>
      <c r="BD383" s="361"/>
      <c r="BE383" s="357"/>
      <c r="BF383" s="357"/>
      <c r="BG383" s="357"/>
      <c r="BH383" s="357"/>
      <c r="BI383" s="357"/>
      <c r="BJ383" s="357"/>
      <c r="BK383" s="375"/>
      <c r="BL383" s="357"/>
      <c r="BM383" s="357"/>
      <c r="BN383" s="357"/>
      <c r="BO383" s="357"/>
      <c r="BP383" s="357"/>
      <c r="BQ383" s="357"/>
      <c r="BR383" s="357"/>
      <c r="BS383" s="375"/>
      <c r="BT383" s="357"/>
      <c r="BU383" s="357"/>
      <c r="BV383" s="357"/>
      <c r="BW383" s="357"/>
      <c r="BX383" s="357"/>
      <c r="BY383" s="357">
        <v>2</v>
      </c>
      <c r="BZ383" s="357"/>
      <c r="CA383" s="357">
        <v>1</v>
      </c>
      <c r="CB383" s="375"/>
      <c r="CC383" s="375"/>
      <c r="CD383" s="357"/>
      <c r="CE383" s="357"/>
      <c r="CF383" s="357"/>
      <c r="CG383" s="357"/>
      <c r="CH383" s="357"/>
      <c r="CI383" s="362"/>
      <c r="CJ383" s="362"/>
      <c r="CK383" s="362"/>
      <c r="CL383" s="362"/>
      <c r="CM383" s="362"/>
      <c r="CN383" s="362"/>
      <c r="CO383" s="362"/>
      <c r="CP383" s="362"/>
      <c r="CQ383" s="362"/>
      <c r="CR383" s="362"/>
      <c r="CS383" s="362"/>
      <c r="CT383" s="362"/>
      <c r="CU383" s="362"/>
      <c r="CV383" s="362"/>
      <c r="CW383" s="362"/>
      <c r="CX383" s="362"/>
      <c r="CY383" s="362"/>
      <c r="CZ383" s="362"/>
      <c r="DA383" s="362"/>
      <c r="DB383" s="362"/>
      <c r="DC383" s="362"/>
      <c r="DD383" s="362"/>
      <c r="DE383" s="362"/>
      <c r="DF383" s="362"/>
      <c r="DG383" s="362"/>
      <c r="DH383" s="362"/>
      <c r="DI383" s="362"/>
      <c r="DJ383" s="362"/>
      <c r="DK383" s="362"/>
      <c r="DL383" s="362"/>
      <c r="DM383" s="362"/>
      <c r="DN383" s="362"/>
      <c r="DO383" s="360"/>
      <c r="DP383" s="310"/>
      <c r="DQ383" s="310"/>
      <c r="DR383" s="310"/>
      <c r="DS383" s="310"/>
      <c r="DT383" s="310"/>
      <c r="DU383" s="310"/>
      <c r="DV383" s="310"/>
      <c r="DW383" s="310"/>
      <c r="DX383" s="310"/>
    </row>
    <row r="384" spans="1:131" s="63" customFormat="1" ht="18">
      <c r="A384" s="373"/>
      <c r="B384" s="819" t="s">
        <v>1562</v>
      </c>
      <c r="C384" s="463"/>
      <c r="D384" s="463">
        <v>40</v>
      </c>
      <c r="E384" s="375"/>
      <c r="F384" s="357"/>
      <c r="G384" s="357"/>
      <c r="H384" s="357"/>
      <c r="I384" s="357"/>
      <c r="J384" s="357"/>
      <c r="K384" s="357"/>
      <c r="L384" s="357"/>
      <c r="M384" s="357"/>
      <c r="N384" s="357"/>
      <c r="O384" s="357"/>
      <c r="P384" s="362"/>
      <c r="Q384" s="362"/>
      <c r="R384" s="362"/>
      <c r="S384" s="362"/>
      <c r="T384" s="360"/>
      <c r="U384" s="361">
        <f>ROUND((25.3*3.6)-BY300,0)</f>
        <v>86</v>
      </c>
      <c r="V384" s="361"/>
      <c r="W384" s="361"/>
      <c r="X384" s="357"/>
      <c r="Y384" s="357"/>
      <c r="Z384" s="357"/>
      <c r="AA384" s="357"/>
      <c r="AB384" s="357"/>
      <c r="AC384" s="357"/>
      <c r="AD384" s="357">
        <f>ROUND((25.3*3.6)-BY300,0)</f>
        <v>86</v>
      </c>
      <c r="AE384" s="357"/>
      <c r="AF384" s="357"/>
      <c r="AG384" s="357"/>
      <c r="AH384" s="357"/>
      <c r="AI384" s="357"/>
      <c r="AJ384" s="357"/>
      <c r="AK384" s="357"/>
      <c r="AL384" s="357"/>
      <c r="AM384" s="357"/>
      <c r="AN384" s="357"/>
      <c r="AO384" s="357"/>
      <c r="AP384" s="357"/>
      <c r="AQ384" s="357">
        <f>ROUND(BY302,0)</f>
        <v>9</v>
      </c>
      <c r="AR384" s="357"/>
      <c r="AS384" s="362"/>
      <c r="AT384" s="360">
        <f>ROUND(BY301,0)</f>
        <v>7</v>
      </c>
      <c r="AU384" s="374">
        <f t="shared" ref="AU384:AU394" si="91">D384</f>
        <v>40</v>
      </c>
      <c r="AV384" s="357"/>
      <c r="AW384" s="357"/>
      <c r="AX384" s="357"/>
      <c r="AY384" s="360"/>
      <c r="AZ384" s="363">
        <f t="shared" si="89"/>
        <v>86</v>
      </c>
      <c r="BA384" s="357">
        <f t="shared" si="90"/>
        <v>0</v>
      </c>
      <c r="BB384" s="362"/>
      <c r="BC384" s="365">
        <f t="shared" si="88"/>
        <v>40</v>
      </c>
      <c r="BD384" s="361"/>
      <c r="BE384" s="357"/>
      <c r="BF384" s="357"/>
      <c r="BG384" s="357"/>
      <c r="BH384" s="357"/>
      <c r="BI384" s="357"/>
      <c r="BJ384" s="357"/>
      <c r="BK384" s="375"/>
      <c r="BL384" s="357"/>
      <c r="BM384" s="357"/>
      <c r="BN384" s="357"/>
      <c r="BO384" s="357"/>
      <c r="BP384" s="357"/>
      <c r="BQ384" s="357"/>
      <c r="BR384" s="357"/>
      <c r="BS384" s="375"/>
      <c r="BT384" s="357"/>
      <c r="BU384" s="357"/>
      <c r="BV384" s="357"/>
      <c r="BW384" s="357"/>
      <c r="BX384" s="357"/>
      <c r="BY384" s="357">
        <v>1</v>
      </c>
      <c r="BZ384" s="357"/>
      <c r="CA384" s="357"/>
      <c r="CB384" s="375"/>
      <c r="CC384" s="375"/>
      <c r="CD384" s="357"/>
      <c r="CE384" s="357"/>
      <c r="CF384" s="357"/>
      <c r="CG384" s="357"/>
      <c r="CH384" s="357"/>
      <c r="CI384" s="362"/>
      <c r="CJ384" s="362"/>
      <c r="CK384" s="362"/>
      <c r="CL384" s="362"/>
      <c r="CM384" s="362"/>
      <c r="CN384" s="362"/>
      <c r="CO384" s="362"/>
      <c r="CP384" s="362"/>
      <c r="CQ384" s="362"/>
      <c r="CR384" s="362"/>
      <c r="CS384" s="362"/>
      <c r="CT384" s="362"/>
      <c r="CU384" s="362"/>
      <c r="CV384" s="362"/>
      <c r="CW384" s="362"/>
      <c r="CX384" s="362"/>
      <c r="CY384" s="362"/>
      <c r="CZ384" s="362"/>
      <c r="DA384" s="362"/>
      <c r="DB384" s="362"/>
      <c r="DC384" s="362"/>
      <c r="DD384" s="362"/>
      <c r="DE384" s="362"/>
      <c r="DF384" s="362"/>
      <c r="DG384" s="362"/>
      <c r="DH384" s="362"/>
      <c r="DI384" s="362"/>
      <c r="DJ384" s="362"/>
      <c r="DK384" s="362"/>
      <c r="DL384" s="362"/>
      <c r="DM384" s="362"/>
      <c r="DN384" s="362"/>
      <c r="DO384" s="360"/>
      <c r="DP384" s="310"/>
      <c r="DQ384" s="310"/>
      <c r="DR384" s="310"/>
      <c r="DS384" s="310"/>
      <c r="DT384" s="310"/>
      <c r="DU384" s="310"/>
      <c r="DV384" s="310"/>
      <c r="DW384" s="310"/>
      <c r="DX384" s="310"/>
    </row>
    <row r="385" spans="1:128" s="63" customFormat="1" ht="18">
      <c r="A385" s="373"/>
      <c r="B385" s="819" t="s">
        <v>1563</v>
      </c>
      <c r="C385" s="463"/>
      <c r="D385" s="463">
        <v>80</v>
      </c>
      <c r="E385" s="375"/>
      <c r="F385" s="357"/>
      <c r="G385" s="357"/>
      <c r="H385" s="357"/>
      <c r="I385" s="357"/>
      <c r="J385" s="357"/>
      <c r="K385" s="357"/>
      <c r="L385" s="357"/>
      <c r="M385" s="357"/>
      <c r="N385" s="357"/>
      <c r="O385" s="357"/>
      <c r="P385" s="362"/>
      <c r="Q385" s="362"/>
      <c r="R385" s="362"/>
      <c r="S385" s="362"/>
      <c r="T385" s="360"/>
      <c r="U385" s="361">
        <f>U383</f>
        <v>132</v>
      </c>
      <c r="V385" s="361"/>
      <c r="W385" s="361"/>
      <c r="X385" s="357"/>
      <c r="Y385" s="357"/>
      <c r="Z385" s="357"/>
      <c r="AA385" s="357"/>
      <c r="AB385" s="357"/>
      <c r="AC385" s="357"/>
      <c r="AD385" s="357">
        <f>AD383</f>
        <v>132</v>
      </c>
      <c r="AE385" s="357"/>
      <c r="AF385" s="357"/>
      <c r="AG385" s="357"/>
      <c r="AH385" s="357"/>
      <c r="AI385" s="357"/>
      <c r="AJ385" s="357"/>
      <c r="AK385" s="357"/>
      <c r="AL385" s="357"/>
      <c r="AM385" s="357"/>
      <c r="AN385" s="357"/>
      <c r="AO385" s="357"/>
      <c r="AP385" s="357"/>
      <c r="AQ385" s="357">
        <f>AQ383</f>
        <v>21</v>
      </c>
      <c r="AR385" s="357"/>
      <c r="AS385" s="362"/>
      <c r="AT385" s="360">
        <f>AT383</f>
        <v>16</v>
      </c>
      <c r="AU385" s="374">
        <f t="shared" si="91"/>
        <v>80</v>
      </c>
      <c r="AV385" s="357"/>
      <c r="AW385" s="357"/>
      <c r="AX385" s="357"/>
      <c r="AY385" s="360"/>
      <c r="AZ385" s="363">
        <f t="shared" si="89"/>
        <v>132</v>
      </c>
      <c r="BA385" s="357">
        <f t="shared" si="90"/>
        <v>0</v>
      </c>
      <c r="BB385" s="362"/>
      <c r="BC385" s="365">
        <f t="shared" si="88"/>
        <v>80</v>
      </c>
      <c r="BD385" s="361"/>
      <c r="BE385" s="357"/>
      <c r="BF385" s="357"/>
      <c r="BG385" s="357"/>
      <c r="BH385" s="357"/>
      <c r="BI385" s="357"/>
      <c r="BJ385" s="357"/>
      <c r="BK385" s="375"/>
      <c r="BL385" s="357"/>
      <c r="BM385" s="357"/>
      <c r="BN385" s="357"/>
      <c r="BO385" s="357"/>
      <c r="BP385" s="357"/>
      <c r="BQ385" s="357"/>
      <c r="BR385" s="357"/>
      <c r="BS385" s="375"/>
      <c r="BT385" s="357"/>
      <c r="BU385" s="357"/>
      <c r="BV385" s="357"/>
      <c r="BW385" s="357"/>
      <c r="BX385" s="357"/>
      <c r="BY385" s="357">
        <v>2</v>
      </c>
      <c r="BZ385" s="357"/>
      <c r="CA385" s="357">
        <v>1</v>
      </c>
      <c r="CB385" s="375"/>
      <c r="CC385" s="375"/>
      <c r="CD385" s="357"/>
      <c r="CE385" s="357"/>
      <c r="CF385" s="357"/>
      <c r="CG385" s="357"/>
      <c r="CH385" s="357"/>
      <c r="CI385" s="362"/>
      <c r="CJ385" s="362"/>
      <c r="CK385" s="362"/>
      <c r="CL385" s="362"/>
      <c r="CM385" s="362"/>
      <c r="CN385" s="362"/>
      <c r="CO385" s="362"/>
      <c r="CP385" s="362"/>
      <c r="CQ385" s="362"/>
      <c r="CR385" s="362"/>
      <c r="CS385" s="362"/>
      <c r="CT385" s="362"/>
      <c r="CU385" s="362"/>
      <c r="CV385" s="362"/>
      <c r="CW385" s="362"/>
      <c r="CX385" s="362"/>
      <c r="CY385" s="362"/>
      <c r="CZ385" s="362"/>
      <c r="DA385" s="362"/>
      <c r="DB385" s="362"/>
      <c r="DC385" s="362"/>
      <c r="DD385" s="362"/>
      <c r="DE385" s="362"/>
      <c r="DF385" s="362"/>
      <c r="DG385" s="362"/>
      <c r="DH385" s="362"/>
      <c r="DI385" s="362"/>
      <c r="DJ385" s="362"/>
      <c r="DK385" s="362"/>
      <c r="DL385" s="362"/>
      <c r="DM385" s="362"/>
      <c r="DN385" s="362"/>
      <c r="DO385" s="360"/>
      <c r="DP385" s="310"/>
      <c r="DQ385" s="310"/>
      <c r="DR385" s="310"/>
      <c r="DS385" s="310"/>
      <c r="DT385" s="310"/>
      <c r="DU385" s="310"/>
      <c r="DV385" s="310"/>
      <c r="DW385" s="310"/>
      <c r="DX385" s="310"/>
    </row>
    <row r="386" spans="1:128" s="63" customFormat="1" ht="18">
      <c r="A386" s="376"/>
      <c r="B386" s="819" t="s">
        <v>1564</v>
      </c>
      <c r="C386" s="463"/>
      <c r="D386" s="463">
        <v>74</v>
      </c>
      <c r="E386" s="375"/>
      <c r="F386" s="357"/>
      <c r="G386" s="357"/>
      <c r="H386" s="357"/>
      <c r="I386" s="357"/>
      <c r="J386" s="357"/>
      <c r="K386" s="357"/>
      <c r="L386" s="357"/>
      <c r="M386" s="357"/>
      <c r="N386" s="357"/>
      <c r="O386" s="357"/>
      <c r="P386" s="362"/>
      <c r="Q386" s="362"/>
      <c r="R386" s="362"/>
      <c r="S386" s="362"/>
      <c r="T386" s="360"/>
      <c r="U386" s="361">
        <f>ROUND((38.59*3.6)-(BW300+CA300),0)</f>
        <v>128</v>
      </c>
      <c r="V386" s="361"/>
      <c r="W386" s="361"/>
      <c r="X386" s="357"/>
      <c r="Y386" s="357"/>
      <c r="Z386" s="357"/>
      <c r="AA386" s="357"/>
      <c r="AB386" s="357"/>
      <c r="AC386" s="357"/>
      <c r="AD386" s="357">
        <f>ROUND((38.59*3.6)-(BW300+CA300),0)</f>
        <v>128</v>
      </c>
      <c r="AE386" s="357"/>
      <c r="AF386" s="357"/>
      <c r="AG386" s="357"/>
      <c r="AH386" s="357"/>
      <c r="AI386" s="357"/>
      <c r="AJ386" s="357"/>
      <c r="AK386" s="357"/>
      <c r="AL386" s="357"/>
      <c r="AM386" s="357"/>
      <c r="AN386" s="357"/>
      <c r="AO386" s="357"/>
      <c r="AP386" s="357"/>
      <c r="AQ386" s="357">
        <f>ROUND((BW302+CA302)+(2*3.6),0)</f>
        <v>18</v>
      </c>
      <c r="AR386" s="357"/>
      <c r="AS386" s="362"/>
      <c r="AT386" s="360">
        <f>ROUND(BW301+CA301,0)</f>
        <v>8</v>
      </c>
      <c r="AU386" s="374">
        <f t="shared" si="91"/>
        <v>74</v>
      </c>
      <c r="AV386" s="357"/>
      <c r="AW386" s="357"/>
      <c r="AX386" s="357"/>
      <c r="AY386" s="360"/>
      <c r="AZ386" s="363">
        <f t="shared" si="89"/>
        <v>128</v>
      </c>
      <c r="BA386" s="357">
        <f t="shared" si="90"/>
        <v>0</v>
      </c>
      <c r="BB386" s="362"/>
      <c r="BC386" s="365">
        <f t="shared" si="88"/>
        <v>74</v>
      </c>
      <c r="BD386" s="361"/>
      <c r="BE386" s="357"/>
      <c r="BF386" s="357"/>
      <c r="BG386" s="357"/>
      <c r="BH386" s="357"/>
      <c r="BI386" s="357"/>
      <c r="BJ386" s="357"/>
      <c r="BK386" s="375"/>
      <c r="BL386" s="357"/>
      <c r="BM386" s="357"/>
      <c r="BN386" s="357"/>
      <c r="BO386" s="357"/>
      <c r="BP386" s="357"/>
      <c r="BQ386" s="357"/>
      <c r="BR386" s="357"/>
      <c r="BS386" s="375"/>
      <c r="BT386" s="357"/>
      <c r="BU386" s="357"/>
      <c r="BV386" s="357"/>
      <c r="BW386" s="357">
        <v>1</v>
      </c>
      <c r="BX386" s="357"/>
      <c r="BY386" s="357"/>
      <c r="BZ386" s="357"/>
      <c r="CA386" s="357"/>
      <c r="CB386" s="375"/>
      <c r="CC386" s="375"/>
      <c r="CD386" s="357"/>
      <c r="CE386" s="357"/>
      <c r="CF386" s="357"/>
      <c r="CG386" s="357"/>
      <c r="CH386" s="357"/>
      <c r="CI386" s="362"/>
      <c r="CJ386" s="362"/>
      <c r="CK386" s="362"/>
      <c r="CL386" s="362"/>
      <c r="CM386" s="362"/>
      <c r="CN386" s="362"/>
      <c r="CO386" s="362"/>
      <c r="CP386" s="362"/>
      <c r="CQ386" s="362"/>
      <c r="CR386" s="362"/>
      <c r="CS386" s="362"/>
      <c r="CT386" s="362"/>
      <c r="CU386" s="362"/>
      <c r="CV386" s="362"/>
      <c r="CW386" s="362"/>
      <c r="CX386" s="362"/>
      <c r="CY386" s="362"/>
      <c r="CZ386" s="362"/>
      <c r="DA386" s="362"/>
      <c r="DB386" s="362"/>
      <c r="DC386" s="362"/>
      <c r="DD386" s="362"/>
      <c r="DE386" s="362"/>
      <c r="DF386" s="362"/>
      <c r="DG386" s="362"/>
      <c r="DH386" s="362"/>
      <c r="DI386" s="362"/>
      <c r="DJ386" s="362"/>
      <c r="DK386" s="362"/>
      <c r="DL386" s="362"/>
      <c r="DM386" s="362"/>
      <c r="DN386" s="362"/>
      <c r="DO386" s="360"/>
      <c r="DP386" s="310"/>
      <c r="DQ386" s="310"/>
      <c r="DR386" s="310"/>
      <c r="DS386" s="310"/>
      <c r="DT386" s="310"/>
      <c r="DU386" s="310"/>
      <c r="DV386" s="310"/>
      <c r="DW386" s="310"/>
      <c r="DX386" s="310"/>
    </row>
    <row r="387" spans="1:128" s="63" customFormat="1" ht="18">
      <c r="A387" s="376"/>
      <c r="B387" s="819" t="s">
        <v>1565</v>
      </c>
      <c r="C387" s="463"/>
      <c r="D387" s="375">
        <v>40</v>
      </c>
      <c r="E387" s="375"/>
      <c r="F387" s="357"/>
      <c r="G387" s="357"/>
      <c r="H387" s="357"/>
      <c r="I387" s="357"/>
      <c r="J387" s="357"/>
      <c r="K387" s="357"/>
      <c r="L387" s="357"/>
      <c r="M387" s="357"/>
      <c r="N387" s="357"/>
      <c r="O387" s="357"/>
      <c r="P387" s="362"/>
      <c r="Q387" s="362"/>
      <c r="R387" s="362"/>
      <c r="S387" s="362"/>
      <c r="T387" s="360"/>
      <c r="U387" s="361">
        <f>ROUND((25.3*3.6)-BW300,0)</f>
        <v>82</v>
      </c>
      <c r="V387" s="361"/>
      <c r="W387" s="361"/>
      <c r="X387" s="357"/>
      <c r="Y387" s="357"/>
      <c r="Z387" s="357"/>
      <c r="AA387" s="357"/>
      <c r="AB387" s="357"/>
      <c r="AC387" s="357"/>
      <c r="AD387" s="357">
        <f>ROUND((24.09*3.6)-BW300,0)</f>
        <v>78</v>
      </c>
      <c r="AE387" s="357"/>
      <c r="AF387" s="357"/>
      <c r="AG387" s="357"/>
      <c r="AH387" s="357"/>
      <c r="AI387" s="357"/>
      <c r="AJ387" s="357"/>
      <c r="AK387" s="357"/>
      <c r="AL387" s="357"/>
      <c r="AM387" s="357"/>
      <c r="AN387" s="357"/>
      <c r="AO387" s="357"/>
      <c r="AP387" s="357"/>
      <c r="AQ387" s="357">
        <f>ROUND(BW302,0)</f>
        <v>9</v>
      </c>
      <c r="AR387" s="357"/>
      <c r="AS387" s="362"/>
      <c r="AT387" s="360">
        <f>ROUND(BW301,0)</f>
        <v>5</v>
      </c>
      <c r="AU387" s="374">
        <f t="shared" si="91"/>
        <v>40</v>
      </c>
      <c r="AV387" s="357"/>
      <c r="AW387" s="357"/>
      <c r="AX387" s="357"/>
      <c r="AY387" s="360"/>
      <c r="AZ387" s="363">
        <f t="shared" si="89"/>
        <v>78</v>
      </c>
      <c r="BA387" s="357">
        <f t="shared" si="90"/>
        <v>0</v>
      </c>
      <c r="BB387" s="362"/>
      <c r="BC387" s="365">
        <f t="shared" si="88"/>
        <v>40</v>
      </c>
      <c r="BD387" s="361"/>
      <c r="BE387" s="357"/>
      <c r="BF387" s="357"/>
      <c r="BG387" s="357"/>
      <c r="BH387" s="357"/>
      <c r="BI387" s="357"/>
      <c r="BJ387" s="357"/>
      <c r="BK387" s="375"/>
      <c r="BL387" s="357"/>
      <c r="BM387" s="357"/>
      <c r="BN387" s="357"/>
      <c r="BO387" s="357"/>
      <c r="BP387" s="357"/>
      <c r="BQ387" s="357"/>
      <c r="BR387" s="357"/>
      <c r="BS387" s="375"/>
      <c r="BT387" s="357"/>
      <c r="BU387" s="357"/>
      <c r="BV387" s="357"/>
      <c r="BW387" s="357">
        <v>1</v>
      </c>
      <c r="BX387" s="357"/>
      <c r="BY387" s="357"/>
      <c r="BZ387" s="357"/>
      <c r="CA387" s="357"/>
      <c r="CB387" s="375"/>
      <c r="CC387" s="375"/>
      <c r="CD387" s="357"/>
      <c r="CE387" s="357"/>
      <c r="CF387" s="357"/>
      <c r="CG387" s="357"/>
      <c r="CH387" s="357"/>
      <c r="CI387" s="362"/>
      <c r="CJ387" s="362"/>
      <c r="CK387" s="362"/>
      <c r="CL387" s="362"/>
      <c r="CM387" s="362"/>
      <c r="CN387" s="362"/>
      <c r="CO387" s="362"/>
      <c r="CP387" s="362"/>
      <c r="CQ387" s="362"/>
      <c r="CR387" s="362"/>
      <c r="CS387" s="362"/>
      <c r="CT387" s="362"/>
      <c r="CU387" s="362"/>
      <c r="CV387" s="362"/>
      <c r="CW387" s="362"/>
      <c r="CX387" s="362"/>
      <c r="CY387" s="362"/>
      <c r="CZ387" s="362"/>
      <c r="DA387" s="362"/>
      <c r="DB387" s="362"/>
      <c r="DC387" s="362"/>
      <c r="DD387" s="362"/>
      <c r="DE387" s="362"/>
      <c r="DF387" s="362"/>
      <c r="DG387" s="362"/>
      <c r="DH387" s="362"/>
      <c r="DI387" s="362"/>
      <c r="DJ387" s="362"/>
      <c r="DK387" s="362"/>
      <c r="DL387" s="362"/>
      <c r="DM387" s="362"/>
      <c r="DN387" s="362"/>
      <c r="DO387" s="360"/>
      <c r="DP387" s="310"/>
      <c r="DQ387" s="310"/>
      <c r="DR387" s="310"/>
      <c r="DS387" s="310"/>
      <c r="DT387" s="310"/>
      <c r="DU387" s="310"/>
      <c r="DV387" s="310"/>
      <c r="DW387" s="310"/>
      <c r="DX387" s="310"/>
    </row>
    <row r="388" spans="1:128" s="63" customFormat="1" ht="18">
      <c r="A388" s="376"/>
      <c r="B388" s="819" t="s">
        <v>1566</v>
      </c>
      <c r="C388" s="463"/>
      <c r="D388" s="463">
        <v>72</v>
      </c>
      <c r="E388" s="375"/>
      <c r="F388" s="357"/>
      <c r="G388" s="357"/>
      <c r="H388" s="357"/>
      <c r="I388" s="357"/>
      <c r="J388" s="357"/>
      <c r="K388" s="357"/>
      <c r="L388" s="357"/>
      <c r="M388" s="357"/>
      <c r="N388" s="357"/>
      <c r="O388" s="357"/>
      <c r="P388" s="362"/>
      <c r="Q388" s="362"/>
      <c r="R388" s="362"/>
      <c r="S388" s="362"/>
      <c r="T388" s="360"/>
      <c r="U388" s="361">
        <f>U386</f>
        <v>128</v>
      </c>
      <c r="V388" s="361"/>
      <c r="W388" s="361"/>
      <c r="X388" s="357"/>
      <c r="Y388" s="357"/>
      <c r="Z388" s="357"/>
      <c r="AA388" s="357"/>
      <c r="AB388" s="357"/>
      <c r="AC388" s="357"/>
      <c r="AD388" s="357">
        <f>ROUND((37.99*3.6)-((BW300*2)+CA300),0)</f>
        <v>117</v>
      </c>
      <c r="AE388" s="357"/>
      <c r="AF388" s="357"/>
      <c r="AG388" s="357"/>
      <c r="AH388" s="357"/>
      <c r="AI388" s="357"/>
      <c r="AJ388" s="357"/>
      <c r="AK388" s="357"/>
      <c r="AL388" s="357"/>
      <c r="AM388" s="357"/>
      <c r="AN388" s="357"/>
      <c r="AO388" s="357"/>
      <c r="AP388" s="357"/>
      <c r="AQ388" s="357">
        <f>AQ386</f>
        <v>18</v>
      </c>
      <c r="AR388" s="357"/>
      <c r="AS388" s="362"/>
      <c r="AT388" s="360">
        <f>AT386</f>
        <v>8</v>
      </c>
      <c r="AU388" s="374">
        <f t="shared" si="91"/>
        <v>72</v>
      </c>
      <c r="AV388" s="357"/>
      <c r="AW388" s="357"/>
      <c r="AX388" s="357"/>
      <c r="AY388" s="360"/>
      <c r="AZ388" s="363">
        <f t="shared" si="89"/>
        <v>117</v>
      </c>
      <c r="BA388" s="357">
        <f t="shared" si="90"/>
        <v>0</v>
      </c>
      <c r="BB388" s="362"/>
      <c r="BC388" s="365">
        <f t="shared" si="88"/>
        <v>72</v>
      </c>
      <c r="BD388" s="361"/>
      <c r="BE388" s="357"/>
      <c r="BF388" s="357"/>
      <c r="BG388" s="357"/>
      <c r="BH388" s="357"/>
      <c r="BI388" s="357"/>
      <c r="BJ388" s="357"/>
      <c r="BK388" s="375"/>
      <c r="BL388" s="357"/>
      <c r="BM388" s="357"/>
      <c r="BN388" s="357"/>
      <c r="BO388" s="357"/>
      <c r="BP388" s="357"/>
      <c r="BQ388" s="357"/>
      <c r="BR388" s="357"/>
      <c r="BS388" s="375"/>
      <c r="BT388" s="357"/>
      <c r="BU388" s="357"/>
      <c r="BV388" s="357"/>
      <c r="BW388" s="357">
        <v>2</v>
      </c>
      <c r="BX388" s="357"/>
      <c r="BY388" s="357"/>
      <c r="BZ388" s="357"/>
      <c r="CA388" s="357"/>
      <c r="CB388" s="375"/>
      <c r="CC388" s="375"/>
      <c r="CD388" s="357"/>
      <c r="CE388" s="357"/>
      <c r="CF388" s="357"/>
      <c r="CG388" s="357"/>
      <c r="CH388" s="357"/>
      <c r="CI388" s="362"/>
      <c r="CJ388" s="362"/>
      <c r="CK388" s="362"/>
      <c r="CL388" s="362"/>
      <c r="CM388" s="362"/>
      <c r="CN388" s="362"/>
      <c r="CO388" s="362"/>
      <c r="CP388" s="362"/>
      <c r="CQ388" s="362"/>
      <c r="CR388" s="362"/>
      <c r="CS388" s="362"/>
      <c r="CT388" s="362"/>
      <c r="CU388" s="362"/>
      <c r="CV388" s="362"/>
      <c r="CW388" s="362"/>
      <c r="CX388" s="362"/>
      <c r="CY388" s="362"/>
      <c r="CZ388" s="362"/>
      <c r="DA388" s="362"/>
      <c r="DB388" s="362"/>
      <c r="DC388" s="362"/>
      <c r="DD388" s="362"/>
      <c r="DE388" s="362"/>
      <c r="DF388" s="362"/>
      <c r="DG388" s="362"/>
      <c r="DH388" s="362"/>
      <c r="DI388" s="362"/>
      <c r="DJ388" s="362"/>
      <c r="DK388" s="362"/>
      <c r="DL388" s="362"/>
      <c r="DM388" s="362"/>
      <c r="DN388" s="362"/>
      <c r="DO388" s="360"/>
      <c r="DP388" s="310"/>
      <c r="DQ388" s="310"/>
      <c r="DR388" s="310"/>
      <c r="DS388" s="310"/>
      <c r="DT388" s="310"/>
      <c r="DU388" s="310"/>
      <c r="DV388" s="310"/>
      <c r="DW388" s="310"/>
      <c r="DX388" s="310"/>
    </row>
    <row r="389" spans="1:128" s="63" customFormat="1" ht="18">
      <c r="A389" s="376"/>
      <c r="B389" s="819" t="s">
        <v>1567</v>
      </c>
      <c r="C389" s="463"/>
      <c r="D389" s="375">
        <v>80</v>
      </c>
      <c r="E389" s="375"/>
      <c r="F389" s="357"/>
      <c r="G389" s="357"/>
      <c r="H389" s="357"/>
      <c r="I389" s="357"/>
      <c r="J389" s="357"/>
      <c r="K389" s="357"/>
      <c r="L389" s="357"/>
      <c r="M389" s="357"/>
      <c r="N389" s="357"/>
      <c r="O389" s="357"/>
      <c r="P389" s="362"/>
      <c r="Q389" s="362"/>
      <c r="R389" s="362"/>
      <c r="S389" s="362"/>
      <c r="T389" s="360"/>
      <c r="U389" s="361">
        <f>U383</f>
        <v>132</v>
      </c>
      <c r="V389" s="361"/>
      <c r="W389" s="361"/>
      <c r="X389" s="357"/>
      <c r="Y389" s="357"/>
      <c r="Z389" s="357"/>
      <c r="AA389" s="357"/>
      <c r="AB389" s="357"/>
      <c r="AC389" s="357"/>
      <c r="AD389" s="357">
        <f>AD383</f>
        <v>132</v>
      </c>
      <c r="AE389" s="357"/>
      <c r="AF389" s="357"/>
      <c r="AG389" s="357"/>
      <c r="AH389" s="357"/>
      <c r="AI389" s="357"/>
      <c r="AJ389" s="357"/>
      <c r="AK389" s="357"/>
      <c r="AL389" s="357"/>
      <c r="AM389" s="357"/>
      <c r="AN389" s="357"/>
      <c r="AO389" s="357"/>
      <c r="AP389" s="357"/>
      <c r="AQ389" s="357">
        <f>AQ383</f>
        <v>21</v>
      </c>
      <c r="AR389" s="357"/>
      <c r="AS389" s="362"/>
      <c r="AT389" s="357">
        <f>AT383</f>
        <v>16</v>
      </c>
      <c r="AU389" s="374">
        <f t="shared" si="91"/>
        <v>80</v>
      </c>
      <c r="AV389" s="357"/>
      <c r="AW389" s="357"/>
      <c r="AX389" s="357"/>
      <c r="AY389" s="360"/>
      <c r="AZ389" s="361">
        <f>AD389</f>
        <v>132</v>
      </c>
      <c r="BA389" s="357">
        <f t="shared" si="90"/>
        <v>0</v>
      </c>
      <c r="BB389" s="362"/>
      <c r="BC389" s="365">
        <f t="shared" si="88"/>
        <v>80</v>
      </c>
      <c r="BD389" s="361"/>
      <c r="BE389" s="357"/>
      <c r="BF389" s="357"/>
      <c r="BG389" s="357"/>
      <c r="BH389" s="357"/>
      <c r="BI389" s="357"/>
      <c r="BJ389" s="357"/>
      <c r="BK389" s="375"/>
      <c r="BL389" s="357"/>
      <c r="BM389" s="357"/>
      <c r="BN389" s="357"/>
      <c r="BO389" s="357"/>
      <c r="BP389" s="357"/>
      <c r="BQ389" s="357"/>
      <c r="BR389" s="357"/>
      <c r="BS389" s="357"/>
      <c r="BT389" s="375"/>
      <c r="BU389" s="375"/>
      <c r="BV389" s="357"/>
      <c r="BW389" s="357"/>
      <c r="BX389" s="357"/>
      <c r="BY389" s="357">
        <v>2</v>
      </c>
      <c r="BZ389" s="357"/>
      <c r="CA389" s="357">
        <v>1</v>
      </c>
      <c r="CB389" s="375"/>
      <c r="CC389" s="375"/>
      <c r="CD389" s="357"/>
      <c r="CE389" s="357"/>
      <c r="CF389" s="357"/>
      <c r="CG389" s="357"/>
      <c r="CH389" s="357"/>
      <c r="CI389" s="362"/>
      <c r="CJ389" s="362"/>
      <c r="CK389" s="362"/>
      <c r="CL389" s="362"/>
      <c r="CM389" s="362"/>
      <c r="CN389" s="362"/>
      <c r="CO389" s="362"/>
      <c r="CP389" s="362"/>
      <c r="CQ389" s="362"/>
      <c r="CR389" s="362"/>
      <c r="CS389" s="362"/>
      <c r="CT389" s="362"/>
      <c r="CU389" s="362"/>
      <c r="CV389" s="362"/>
      <c r="CW389" s="362"/>
      <c r="CX389" s="362"/>
      <c r="CY389" s="362"/>
      <c r="CZ389" s="362"/>
      <c r="DA389" s="362"/>
      <c r="DB389" s="362"/>
      <c r="DC389" s="362"/>
      <c r="DD389" s="362"/>
      <c r="DE389" s="362"/>
      <c r="DF389" s="362"/>
      <c r="DG389" s="362"/>
      <c r="DH389" s="362"/>
      <c r="DI389" s="362"/>
      <c r="DJ389" s="362"/>
      <c r="DK389" s="362"/>
      <c r="DL389" s="362"/>
      <c r="DM389" s="362"/>
      <c r="DN389" s="362"/>
      <c r="DO389" s="360"/>
      <c r="DP389" s="310"/>
      <c r="DQ389" s="310"/>
      <c r="DR389" s="310"/>
      <c r="DS389" s="310"/>
      <c r="DT389" s="310"/>
      <c r="DU389" s="310"/>
      <c r="DV389" s="310"/>
      <c r="DW389" s="310"/>
      <c r="DX389" s="310"/>
    </row>
    <row r="390" spans="1:128" s="63" customFormat="1" ht="18">
      <c r="A390" s="373"/>
      <c r="B390" s="819" t="s">
        <v>1568</v>
      </c>
      <c r="C390" s="463"/>
      <c r="D390" s="463">
        <v>80</v>
      </c>
      <c r="E390" s="375"/>
      <c r="F390" s="357"/>
      <c r="G390" s="357"/>
      <c r="H390" s="375"/>
      <c r="I390" s="357"/>
      <c r="J390" s="357"/>
      <c r="K390" s="357"/>
      <c r="L390" s="357"/>
      <c r="M390" s="357"/>
      <c r="N390" s="357"/>
      <c r="O390" s="357"/>
      <c r="P390" s="362"/>
      <c r="Q390" s="362"/>
      <c r="R390" s="362"/>
      <c r="S390" s="362"/>
      <c r="T390" s="360"/>
      <c r="U390" s="361">
        <f>ROUND((39.3*3.6)-(BY300*2),0)</f>
        <v>132</v>
      </c>
      <c r="V390" s="361"/>
      <c r="W390" s="361"/>
      <c r="X390" s="357"/>
      <c r="Y390" s="357"/>
      <c r="Z390" s="357"/>
      <c r="AA390" s="357"/>
      <c r="AB390" s="357"/>
      <c r="AC390" s="357"/>
      <c r="AD390" s="357">
        <f>ROUND((38.9*3.6)-(BY300*2),0)</f>
        <v>130</v>
      </c>
      <c r="AE390" s="357"/>
      <c r="AF390" s="357"/>
      <c r="AG390" s="357"/>
      <c r="AH390" s="357"/>
      <c r="AI390" s="357"/>
      <c r="AJ390" s="357"/>
      <c r="AK390" s="357"/>
      <c r="AL390" s="357"/>
      <c r="AM390" s="357"/>
      <c r="AN390" s="357"/>
      <c r="AO390" s="357"/>
      <c r="AP390" s="357"/>
      <c r="AQ390" s="357">
        <f>ROUND((BY302*2),0)</f>
        <v>19</v>
      </c>
      <c r="AR390" s="357"/>
      <c r="AS390" s="362"/>
      <c r="AT390" s="360">
        <f>ROUND(BY301*2,0)</f>
        <v>13</v>
      </c>
      <c r="AU390" s="374">
        <f t="shared" si="91"/>
        <v>80</v>
      </c>
      <c r="AV390" s="375"/>
      <c r="AW390" s="357"/>
      <c r="AX390" s="357"/>
      <c r="AY390" s="360"/>
      <c r="AZ390" s="361">
        <f t="shared" ref="AZ390:AZ407" si="92">AD390</f>
        <v>130</v>
      </c>
      <c r="BA390" s="357"/>
      <c r="BB390" s="362"/>
      <c r="BC390" s="365">
        <f t="shared" si="88"/>
        <v>80</v>
      </c>
      <c r="BD390" s="361"/>
      <c r="BE390" s="357"/>
      <c r="BF390" s="357"/>
      <c r="BG390" s="357"/>
      <c r="BH390" s="357"/>
      <c r="BI390" s="357"/>
      <c r="BJ390" s="357"/>
      <c r="BK390" s="357"/>
      <c r="BL390" s="357"/>
      <c r="BM390" s="357"/>
      <c r="BN390" s="357"/>
      <c r="BO390" s="357"/>
      <c r="BP390" s="375"/>
      <c r="BQ390" s="375"/>
      <c r="BR390" s="357"/>
      <c r="BS390" s="357"/>
      <c r="BT390" s="357"/>
      <c r="BU390" s="357"/>
      <c r="BV390" s="357"/>
      <c r="BW390" s="357"/>
      <c r="BX390" s="357"/>
      <c r="BY390" s="357">
        <v>2</v>
      </c>
      <c r="BZ390" s="357"/>
      <c r="CA390" s="357"/>
      <c r="CB390" s="357"/>
      <c r="CC390" s="357"/>
      <c r="CD390" s="357"/>
      <c r="CE390" s="357"/>
      <c r="CF390" s="357"/>
      <c r="CG390" s="357"/>
      <c r="CH390" s="357"/>
      <c r="CI390" s="362"/>
      <c r="CJ390" s="378"/>
      <c r="CK390" s="378"/>
      <c r="CL390" s="362"/>
      <c r="CM390" s="362"/>
      <c r="CN390" s="362"/>
      <c r="CO390" s="362"/>
      <c r="CP390" s="362"/>
      <c r="CQ390" s="362"/>
      <c r="CR390" s="362"/>
      <c r="CS390" s="362"/>
      <c r="CT390" s="362"/>
      <c r="CU390" s="362"/>
      <c r="CV390" s="362"/>
      <c r="CW390" s="362"/>
      <c r="CX390" s="362"/>
      <c r="CY390" s="362"/>
      <c r="CZ390" s="362"/>
      <c r="DA390" s="362"/>
      <c r="DB390" s="362"/>
      <c r="DC390" s="362"/>
      <c r="DD390" s="362"/>
      <c r="DE390" s="362"/>
      <c r="DF390" s="362"/>
      <c r="DG390" s="362"/>
      <c r="DH390" s="362"/>
      <c r="DI390" s="362"/>
      <c r="DJ390" s="362"/>
      <c r="DK390" s="362"/>
      <c r="DL390" s="362"/>
      <c r="DM390" s="362"/>
      <c r="DN390" s="362"/>
      <c r="DO390" s="360"/>
      <c r="DP390" s="310"/>
      <c r="DQ390" s="310"/>
      <c r="DR390" s="310"/>
      <c r="DS390" s="310"/>
      <c r="DT390" s="310"/>
      <c r="DU390" s="310"/>
      <c r="DV390" s="310"/>
      <c r="DW390" s="310"/>
      <c r="DX390" s="310"/>
    </row>
    <row r="391" spans="1:128" s="63" customFormat="1" ht="18">
      <c r="A391" s="373"/>
      <c r="B391" s="819" t="s">
        <v>1569</v>
      </c>
      <c r="C391" s="463"/>
      <c r="D391" s="463">
        <v>78</v>
      </c>
      <c r="E391" s="375"/>
      <c r="F391" s="357"/>
      <c r="G391" s="357"/>
      <c r="H391" s="375"/>
      <c r="I391" s="357"/>
      <c r="J391" s="357"/>
      <c r="K391" s="357"/>
      <c r="L391" s="357"/>
      <c r="M391" s="357"/>
      <c r="N391" s="357"/>
      <c r="O391" s="357"/>
      <c r="P391" s="362"/>
      <c r="Q391" s="362"/>
      <c r="R391" s="362"/>
      <c r="S391" s="362"/>
      <c r="T391" s="360"/>
      <c r="U391" s="361">
        <f>ROUND((39.1*3.6)-BX300,0)</f>
        <v>131</v>
      </c>
      <c r="V391" s="361"/>
      <c r="W391" s="361"/>
      <c r="X391" s="357"/>
      <c r="Y391" s="357"/>
      <c r="Z391" s="357"/>
      <c r="AA391" s="357"/>
      <c r="AB391" s="357"/>
      <c r="AC391" s="357"/>
      <c r="AD391" s="357">
        <f>ROUND((39.1*3.6)-BX300,0)</f>
        <v>131</v>
      </c>
      <c r="AE391" s="357"/>
      <c r="AF391" s="357"/>
      <c r="AG391" s="357"/>
      <c r="AH391" s="357"/>
      <c r="AI391" s="357"/>
      <c r="AJ391" s="357"/>
      <c r="AK391" s="357"/>
      <c r="AL391" s="357"/>
      <c r="AM391" s="357"/>
      <c r="AN391" s="357"/>
      <c r="AO391" s="357"/>
      <c r="AP391" s="357"/>
      <c r="AQ391" s="357">
        <f>ROUND((2*3.6)+BX302,0)</f>
        <v>16</v>
      </c>
      <c r="AR391" s="357"/>
      <c r="AS391" s="362"/>
      <c r="AT391" s="360">
        <f>ROUND(BX301,0)</f>
        <v>5</v>
      </c>
      <c r="AU391" s="374">
        <f t="shared" si="91"/>
        <v>78</v>
      </c>
      <c r="AV391" s="375"/>
      <c r="AW391" s="357"/>
      <c r="AX391" s="357"/>
      <c r="AY391" s="360"/>
      <c r="AZ391" s="361">
        <f t="shared" si="92"/>
        <v>131</v>
      </c>
      <c r="BA391" s="357"/>
      <c r="BB391" s="362"/>
      <c r="BC391" s="365">
        <f t="shared" si="88"/>
        <v>78</v>
      </c>
      <c r="BD391" s="361"/>
      <c r="BE391" s="357"/>
      <c r="BF391" s="357"/>
      <c r="BG391" s="357"/>
      <c r="BH391" s="357"/>
      <c r="BI391" s="357"/>
      <c r="BJ391" s="357"/>
      <c r="BK391" s="357"/>
      <c r="BL391" s="357"/>
      <c r="BM391" s="357"/>
      <c r="BN391" s="357"/>
      <c r="BO391" s="357"/>
      <c r="BP391" s="375"/>
      <c r="BQ391" s="375"/>
      <c r="BR391" s="357"/>
      <c r="BS391" s="357"/>
      <c r="BT391" s="357"/>
      <c r="BU391" s="357"/>
      <c r="BV391" s="357"/>
      <c r="BW391" s="357"/>
      <c r="BX391" s="357">
        <v>1</v>
      </c>
      <c r="BY391" s="357"/>
      <c r="BZ391" s="357"/>
      <c r="CA391" s="357"/>
      <c r="CB391" s="357"/>
      <c r="CC391" s="357"/>
      <c r="CD391" s="357"/>
      <c r="CE391" s="357"/>
      <c r="CF391" s="357"/>
      <c r="CG391" s="357"/>
      <c r="CH391" s="357"/>
      <c r="CI391" s="362"/>
      <c r="CJ391" s="378"/>
      <c r="CK391" s="378"/>
      <c r="CL391" s="362"/>
      <c r="CM391" s="362"/>
      <c r="CN391" s="362"/>
      <c r="CO391" s="362"/>
      <c r="CP391" s="362"/>
      <c r="CQ391" s="362"/>
      <c r="CR391" s="362"/>
      <c r="CS391" s="362"/>
      <c r="CT391" s="362"/>
      <c r="CU391" s="362"/>
      <c r="CV391" s="362"/>
      <c r="CW391" s="362"/>
      <c r="CX391" s="362"/>
      <c r="CY391" s="362"/>
      <c r="CZ391" s="362"/>
      <c r="DA391" s="362"/>
      <c r="DB391" s="362"/>
      <c r="DC391" s="362"/>
      <c r="DD391" s="362"/>
      <c r="DE391" s="362"/>
      <c r="DF391" s="362"/>
      <c r="DG391" s="362"/>
      <c r="DH391" s="362"/>
      <c r="DI391" s="362"/>
      <c r="DJ391" s="362"/>
      <c r="DK391" s="362"/>
      <c r="DL391" s="362"/>
      <c r="DM391" s="362"/>
      <c r="DN391" s="362"/>
      <c r="DO391" s="360"/>
      <c r="DP391" s="310"/>
      <c r="DQ391" s="310"/>
      <c r="DR391" s="310"/>
      <c r="DS391" s="310"/>
      <c r="DT391" s="310"/>
      <c r="DU391" s="310"/>
      <c r="DV391" s="310"/>
      <c r="DW391" s="310"/>
      <c r="DX391" s="310"/>
    </row>
    <row r="392" spans="1:128" s="63" customFormat="1" ht="18">
      <c r="A392" s="376"/>
      <c r="B392" s="819" t="s">
        <v>1570</v>
      </c>
      <c r="C392" s="463"/>
      <c r="D392" s="357">
        <v>78</v>
      </c>
      <c r="E392" s="463"/>
      <c r="F392" s="357"/>
      <c r="G392" s="357"/>
      <c r="H392" s="375"/>
      <c r="I392" s="357"/>
      <c r="J392" s="357"/>
      <c r="K392" s="357"/>
      <c r="L392" s="357"/>
      <c r="M392" s="357"/>
      <c r="N392" s="357"/>
      <c r="O392" s="357"/>
      <c r="P392" s="362"/>
      <c r="Q392" s="362"/>
      <c r="R392" s="362"/>
      <c r="S392" s="362"/>
      <c r="T392" s="360"/>
      <c r="U392" s="361">
        <f>U391</f>
        <v>131</v>
      </c>
      <c r="V392" s="361"/>
      <c r="W392" s="361"/>
      <c r="X392" s="357"/>
      <c r="Y392" s="357"/>
      <c r="Z392" s="357"/>
      <c r="AA392" s="357"/>
      <c r="AB392" s="357"/>
      <c r="AC392" s="357"/>
      <c r="AD392" s="357">
        <f>AD391</f>
        <v>131</v>
      </c>
      <c r="AE392" s="357"/>
      <c r="AF392" s="357"/>
      <c r="AG392" s="357"/>
      <c r="AH392" s="357"/>
      <c r="AI392" s="357"/>
      <c r="AJ392" s="357"/>
      <c r="AK392" s="357"/>
      <c r="AL392" s="357"/>
      <c r="AM392" s="357"/>
      <c r="AN392" s="357"/>
      <c r="AO392" s="357"/>
      <c r="AP392" s="357"/>
      <c r="AQ392" s="357">
        <f>AQ391</f>
        <v>16</v>
      </c>
      <c r="AR392" s="357"/>
      <c r="AS392" s="362"/>
      <c r="AT392" s="360">
        <f>AT391</f>
        <v>5</v>
      </c>
      <c r="AU392" s="374">
        <f t="shared" si="91"/>
        <v>78</v>
      </c>
      <c r="AV392" s="375"/>
      <c r="AW392" s="357"/>
      <c r="AX392" s="357"/>
      <c r="AY392" s="360"/>
      <c r="AZ392" s="361">
        <f t="shared" si="92"/>
        <v>131</v>
      </c>
      <c r="BA392" s="357"/>
      <c r="BB392" s="362"/>
      <c r="BC392" s="365">
        <f t="shared" si="88"/>
        <v>78</v>
      </c>
      <c r="BD392" s="361"/>
      <c r="BE392" s="357"/>
      <c r="BF392" s="357"/>
      <c r="BG392" s="357"/>
      <c r="BH392" s="357"/>
      <c r="BI392" s="357"/>
      <c r="BJ392" s="357"/>
      <c r="BK392" s="357"/>
      <c r="BL392" s="357"/>
      <c r="BM392" s="357"/>
      <c r="BN392" s="357"/>
      <c r="BO392" s="357"/>
      <c r="BP392" s="375"/>
      <c r="BQ392" s="375"/>
      <c r="BR392" s="357"/>
      <c r="BS392" s="357"/>
      <c r="BT392" s="357"/>
      <c r="BU392" s="357"/>
      <c r="BV392" s="357"/>
      <c r="BW392" s="357"/>
      <c r="BX392" s="357">
        <v>1</v>
      </c>
      <c r="BY392" s="357"/>
      <c r="BZ392" s="357"/>
      <c r="CA392" s="357"/>
      <c r="CB392" s="357"/>
      <c r="CC392" s="357"/>
      <c r="CD392" s="357"/>
      <c r="CE392" s="357"/>
      <c r="CF392" s="357"/>
      <c r="CG392" s="357"/>
      <c r="CH392" s="357"/>
      <c r="CI392" s="362"/>
      <c r="CJ392" s="378"/>
      <c r="CK392" s="378"/>
      <c r="CL392" s="362"/>
      <c r="CM392" s="362"/>
      <c r="CN392" s="362"/>
      <c r="CO392" s="362"/>
      <c r="CP392" s="362"/>
      <c r="CQ392" s="362"/>
      <c r="CR392" s="362"/>
      <c r="CS392" s="362"/>
      <c r="CT392" s="362"/>
      <c r="CU392" s="362"/>
      <c r="CV392" s="362"/>
      <c r="CW392" s="362"/>
      <c r="CX392" s="362"/>
      <c r="CY392" s="362"/>
      <c r="CZ392" s="362"/>
      <c r="DA392" s="362"/>
      <c r="DB392" s="362"/>
      <c r="DC392" s="362"/>
      <c r="DD392" s="362"/>
      <c r="DE392" s="362"/>
      <c r="DF392" s="362"/>
      <c r="DG392" s="362"/>
      <c r="DH392" s="362"/>
      <c r="DI392" s="362"/>
      <c r="DJ392" s="362"/>
      <c r="DK392" s="362"/>
      <c r="DL392" s="362"/>
      <c r="DM392" s="362"/>
      <c r="DN392" s="362"/>
      <c r="DO392" s="360"/>
      <c r="DP392" s="310"/>
      <c r="DQ392" s="310"/>
      <c r="DR392" s="310"/>
      <c r="DS392" s="310"/>
      <c r="DT392" s="310"/>
      <c r="DU392" s="310"/>
      <c r="DV392" s="310"/>
      <c r="DW392" s="310"/>
      <c r="DX392" s="310"/>
    </row>
    <row r="393" spans="1:128" s="63" customFormat="1" ht="18">
      <c r="A393" s="376"/>
      <c r="B393" s="819" t="s">
        <v>1571</v>
      </c>
      <c r="C393" s="463"/>
      <c r="D393" s="357">
        <v>80</v>
      </c>
      <c r="E393" s="463"/>
      <c r="F393" s="357"/>
      <c r="G393" s="357"/>
      <c r="H393" s="375"/>
      <c r="I393" s="357"/>
      <c r="J393" s="357"/>
      <c r="K393" s="357"/>
      <c r="L393" s="357"/>
      <c r="M393" s="357"/>
      <c r="N393" s="357"/>
      <c r="O393" s="357"/>
      <c r="P393" s="362"/>
      <c r="Q393" s="362"/>
      <c r="R393" s="362"/>
      <c r="S393" s="362"/>
      <c r="T393" s="360"/>
      <c r="U393" s="361">
        <f>ROUND((38.79*3.6)-((BX300*2)+CA300),0)</f>
        <v>119</v>
      </c>
      <c r="V393" s="361"/>
      <c r="W393" s="361"/>
      <c r="X393" s="357"/>
      <c r="Y393" s="357"/>
      <c r="Z393" s="357"/>
      <c r="AA393" s="357"/>
      <c r="AB393" s="357"/>
      <c r="AC393" s="357"/>
      <c r="AD393" s="357">
        <f>ROUND((38.19*3.6)-((BX300*2)+CA300),0)</f>
        <v>117</v>
      </c>
      <c r="AE393" s="357"/>
      <c r="AF393" s="357"/>
      <c r="AG393" s="357"/>
      <c r="AH393" s="357"/>
      <c r="AI393" s="357"/>
      <c r="AJ393" s="357"/>
      <c r="AK393" s="357"/>
      <c r="AL393" s="357"/>
      <c r="AM393" s="357"/>
      <c r="AN393" s="357"/>
      <c r="AO393" s="357"/>
      <c r="AP393" s="357"/>
      <c r="AQ393" s="357">
        <f>ROUND((4*3.6)+(BX302*2)+CA302,0)</f>
        <v>35</v>
      </c>
      <c r="AR393" s="357"/>
      <c r="AS393" s="362"/>
      <c r="AT393" s="360">
        <f>ROUND((BX301*2)+CA301,0)</f>
        <v>14</v>
      </c>
      <c r="AU393" s="374">
        <f t="shared" si="91"/>
        <v>80</v>
      </c>
      <c r="AV393" s="375"/>
      <c r="AW393" s="357"/>
      <c r="AX393" s="357"/>
      <c r="AY393" s="360"/>
      <c r="AZ393" s="361">
        <f t="shared" si="92"/>
        <v>117</v>
      </c>
      <c r="BA393" s="357"/>
      <c r="BB393" s="362"/>
      <c r="BC393" s="365">
        <f t="shared" si="88"/>
        <v>80</v>
      </c>
      <c r="BD393" s="361"/>
      <c r="BE393" s="357"/>
      <c r="BF393" s="357"/>
      <c r="BG393" s="357"/>
      <c r="BH393" s="357"/>
      <c r="BI393" s="357"/>
      <c r="BJ393" s="357"/>
      <c r="BK393" s="357"/>
      <c r="BL393" s="357"/>
      <c r="BM393" s="357"/>
      <c r="BN393" s="357"/>
      <c r="BO393" s="357"/>
      <c r="BP393" s="375"/>
      <c r="BQ393" s="375"/>
      <c r="BR393" s="357"/>
      <c r="BS393" s="357"/>
      <c r="BT393" s="357"/>
      <c r="BU393" s="357"/>
      <c r="BV393" s="357"/>
      <c r="BW393" s="357"/>
      <c r="BX393" s="357">
        <v>2</v>
      </c>
      <c r="BY393" s="357"/>
      <c r="BZ393" s="357">
        <v>1</v>
      </c>
      <c r="CA393" s="357"/>
      <c r="CB393" s="357"/>
      <c r="CC393" s="357"/>
      <c r="CD393" s="357"/>
      <c r="CE393" s="357"/>
      <c r="CF393" s="357"/>
      <c r="CG393" s="357"/>
      <c r="CH393" s="357"/>
      <c r="CI393" s="362"/>
      <c r="CJ393" s="378"/>
      <c r="CK393" s="378"/>
      <c r="CL393" s="362"/>
      <c r="CM393" s="362"/>
      <c r="CN393" s="362"/>
      <c r="CO393" s="362"/>
      <c r="CP393" s="362"/>
      <c r="CQ393" s="362"/>
      <c r="CR393" s="362"/>
      <c r="CS393" s="362"/>
      <c r="CT393" s="362"/>
      <c r="CU393" s="362"/>
      <c r="CV393" s="362"/>
      <c r="CW393" s="362"/>
      <c r="CX393" s="362"/>
      <c r="CY393" s="362"/>
      <c r="CZ393" s="362"/>
      <c r="DA393" s="362"/>
      <c r="DB393" s="362"/>
      <c r="DC393" s="362"/>
      <c r="DD393" s="362"/>
      <c r="DE393" s="362"/>
      <c r="DF393" s="362"/>
      <c r="DG393" s="362"/>
      <c r="DH393" s="362"/>
      <c r="DI393" s="362"/>
      <c r="DJ393" s="362"/>
      <c r="DK393" s="362"/>
      <c r="DL393" s="362"/>
      <c r="DM393" s="362"/>
      <c r="DN393" s="362"/>
      <c r="DO393" s="360"/>
      <c r="DP393" s="310"/>
      <c r="DQ393" s="310"/>
      <c r="DR393" s="310"/>
      <c r="DS393" s="310"/>
      <c r="DT393" s="310"/>
      <c r="DU393" s="310"/>
      <c r="DV393" s="310"/>
      <c r="DW393" s="310"/>
      <c r="DX393" s="310"/>
    </row>
    <row r="394" spans="1:128" s="63" customFormat="1" ht="18">
      <c r="A394" s="376"/>
      <c r="B394" s="819" t="s">
        <v>1572</v>
      </c>
      <c r="C394" s="463"/>
      <c r="D394" s="463">
        <v>80</v>
      </c>
      <c r="E394" s="375"/>
      <c r="F394" s="357"/>
      <c r="G394" s="357"/>
      <c r="H394" s="375"/>
      <c r="I394" s="357"/>
      <c r="J394" s="357"/>
      <c r="K394" s="357"/>
      <c r="L394" s="357"/>
      <c r="M394" s="357"/>
      <c r="N394" s="357"/>
      <c r="O394" s="357"/>
      <c r="P394" s="362"/>
      <c r="Q394" s="362"/>
      <c r="R394" s="362"/>
      <c r="S394" s="362"/>
      <c r="T394" s="360"/>
      <c r="U394" s="361">
        <f>ROUND((38*3.6)-(BX300*2),0)</f>
        <v>117</v>
      </c>
      <c r="V394" s="361"/>
      <c r="W394" s="361"/>
      <c r="X394" s="357"/>
      <c r="Y394" s="357"/>
      <c r="Z394" s="357"/>
      <c r="AA394" s="357"/>
      <c r="AB394" s="357"/>
      <c r="AC394" s="357"/>
      <c r="AD394" s="357">
        <f>ROUND((37.6*3.6)-(BX300*2),0)</f>
        <v>116</v>
      </c>
      <c r="AE394" s="357"/>
      <c r="AF394" s="357"/>
      <c r="AG394" s="357"/>
      <c r="AH394" s="357"/>
      <c r="AI394" s="357"/>
      <c r="AJ394" s="357"/>
      <c r="AK394" s="357"/>
      <c r="AL394" s="357"/>
      <c r="AM394" s="357"/>
      <c r="AN394" s="357"/>
      <c r="AO394" s="357"/>
      <c r="AP394" s="357"/>
      <c r="AQ394" s="357">
        <f>ROUND((2*3.6)+(BX302*2),0)</f>
        <v>26</v>
      </c>
      <c r="AR394" s="357"/>
      <c r="AS394" s="362"/>
      <c r="AT394" s="360">
        <f>ROUND((BX301*2),0)</f>
        <v>11</v>
      </c>
      <c r="AU394" s="374">
        <f t="shared" si="91"/>
        <v>80</v>
      </c>
      <c r="AV394" s="375"/>
      <c r="AW394" s="357"/>
      <c r="AX394" s="357"/>
      <c r="AY394" s="360"/>
      <c r="AZ394" s="361">
        <f t="shared" si="92"/>
        <v>116</v>
      </c>
      <c r="BA394" s="357">
        <f>AC394</f>
        <v>0</v>
      </c>
      <c r="BB394" s="362"/>
      <c r="BC394" s="365">
        <f t="shared" si="88"/>
        <v>80</v>
      </c>
      <c r="BD394" s="361"/>
      <c r="BE394" s="357"/>
      <c r="BF394" s="357"/>
      <c r="BG394" s="357"/>
      <c r="BH394" s="357"/>
      <c r="BI394" s="357"/>
      <c r="BJ394" s="357"/>
      <c r="BK394" s="357"/>
      <c r="BL394" s="357"/>
      <c r="BM394" s="357"/>
      <c r="BN394" s="357"/>
      <c r="BO394" s="357"/>
      <c r="BP394" s="375"/>
      <c r="BQ394" s="375"/>
      <c r="BR394" s="375"/>
      <c r="BS394" s="357"/>
      <c r="BT394" s="357"/>
      <c r="BU394" s="357"/>
      <c r="BV394" s="357"/>
      <c r="BW394" s="357"/>
      <c r="BX394" s="357">
        <v>2</v>
      </c>
      <c r="BY394" s="357"/>
      <c r="BZ394" s="357"/>
      <c r="CA394" s="357"/>
      <c r="CB394" s="357"/>
      <c r="CC394" s="357"/>
      <c r="CD394" s="357"/>
      <c r="CE394" s="357"/>
      <c r="CF394" s="357"/>
      <c r="CG394" s="357"/>
      <c r="CH394" s="357"/>
      <c r="CI394" s="362"/>
      <c r="CJ394" s="378"/>
      <c r="CK394" s="378"/>
      <c r="CL394" s="378"/>
      <c r="CM394" s="378"/>
      <c r="CN394" s="362"/>
      <c r="CO394" s="362"/>
      <c r="CP394" s="362"/>
      <c r="CQ394" s="362"/>
      <c r="CR394" s="362"/>
      <c r="CS394" s="362"/>
      <c r="CT394" s="362"/>
      <c r="CU394" s="362"/>
      <c r="CV394" s="362"/>
      <c r="CW394" s="362"/>
      <c r="CX394" s="362"/>
      <c r="CY394" s="362"/>
      <c r="CZ394" s="362"/>
      <c r="DA394" s="362"/>
      <c r="DB394" s="362"/>
      <c r="DC394" s="362"/>
      <c r="DD394" s="362"/>
      <c r="DE394" s="362"/>
      <c r="DF394" s="362"/>
      <c r="DG394" s="362"/>
      <c r="DH394" s="362"/>
      <c r="DI394" s="362"/>
      <c r="DJ394" s="362"/>
      <c r="DK394" s="362"/>
      <c r="DL394" s="362"/>
      <c r="DM394" s="362"/>
      <c r="DN394" s="362"/>
      <c r="DO394" s="360"/>
      <c r="DP394" s="310"/>
      <c r="DQ394" s="310"/>
      <c r="DR394" s="310"/>
      <c r="DS394" s="310"/>
      <c r="DT394" s="310"/>
      <c r="DU394" s="310"/>
      <c r="DV394" s="310"/>
      <c r="DW394" s="310"/>
      <c r="DX394" s="310"/>
    </row>
    <row r="395" spans="1:128" s="63" customFormat="1" ht="18">
      <c r="A395" s="376"/>
      <c r="B395" s="819" t="s">
        <v>1573</v>
      </c>
      <c r="C395" s="463"/>
      <c r="D395" s="463">
        <v>34</v>
      </c>
      <c r="E395" s="375"/>
      <c r="F395" s="357"/>
      <c r="G395" s="357"/>
      <c r="H395" s="375"/>
      <c r="I395" s="357"/>
      <c r="J395" s="357"/>
      <c r="K395" s="357"/>
      <c r="L395" s="357"/>
      <c r="M395" s="357"/>
      <c r="N395" s="357"/>
      <c r="O395" s="357"/>
      <c r="P395" s="362"/>
      <c r="Q395" s="362"/>
      <c r="R395" s="362"/>
      <c r="S395" s="362"/>
      <c r="T395" s="360"/>
      <c r="U395" s="361">
        <f>ROUND((25.75*3.6)-BY300,0)</f>
        <v>88</v>
      </c>
      <c r="V395" s="361"/>
      <c r="W395" s="361"/>
      <c r="X395" s="357"/>
      <c r="Y395" s="357"/>
      <c r="Z395" s="357"/>
      <c r="AA395" s="357"/>
      <c r="AB395" s="357"/>
      <c r="AC395" s="357"/>
      <c r="AD395" s="357">
        <f>ROUND((25.75*3.6)-BY300,0)</f>
        <v>88</v>
      </c>
      <c r="AE395" s="357"/>
      <c r="AF395" s="357"/>
      <c r="AG395" s="357"/>
      <c r="AH395" s="357"/>
      <c r="AI395" s="357"/>
      <c r="AJ395" s="357"/>
      <c r="AK395" s="357"/>
      <c r="AL395" s="357"/>
      <c r="AM395" s="357"/>
      <c r="AN395" s="357"/>
      <c r="AO395" s="357"/>
      <c r="AP395" s="357"/>
      <c r="AQ395" s="357">
        <f>BY302</f>
        <v>9.3000000000000007</v>
      </c>
      <c r="AR395" s="357">
        <f>2*3.6</f>
        <v>7.2</v>
      </c>
      <c r="AS395" s="362"/>
      <c r="AT395" s="360">
        <f>BY301</f>
        <v>6.7</v>
      </c>
      <c r="AU395" s="374"/>
      <c r="AV395" s="375"/>
      <c r="AW395" s="357">
        <f>D395</f>
        <v>34</v>
      </c>
      <c r="AX395" s="357"/>
      <c r="AY395" s="360"/>
      <c r="AZ395" s="361">
        <f t="shared" si="92"/>
        <v>88</v>
      </c>
      <c r="BA395" s="357"/>
      <c r="BB395" s="362"/>
      <c r="BC395" s="365">
        <f t="shared" si="88"/>
        <v>34</v>
      </c>
      <c r="BD395" s="361"/>
      <c r="BE395" s="357"/>
      <c r="BF395" s="357"/>
      <c r="BG395" s="357"/>
      <c r="BH395" s="357"/>
      <c r="BI395" s="357"/>
      <c r="BJ395" s="357"/>
      <c r="BK395" s="357"/>
      <c r="BL395" s="357"/>
      <c r="BM395" s="357"/>
      <c r="BN395" s="357"/>
      <c r="BO395" s="357"/>
      <c r="BP395" s="375"/>
      <c r="BQ395" s="375"/>
      <c r="BR395" s="357"/>
      <c r="BS395" s="357"/>
      <c r="BT395" s="357"/>
      <c r="BU395" s="357"/>
      <c r="BV395" s="357"/>
      <c r="BW395" s="357"/>
      <c r="BX395" s="357"/>
      <c r="BY395" s="357">
        <v>1</v>
      </c>
      <c r="BZ395" s="357"/>
      <c r="CA395" s="357"/>
      <c r="CB395" s="357"/>
      <c r="CC395" s="357"/>
      <c r="CD395" s="357"/>
      <c r="CE395" s="357"/>
      <c r="CF395" s="357"/>
      <c r="CG395" s="357"/>
      <c r="CH395" s="357"/>
      <c r="CI395" s="362"/>
      <c r="CJ395" s="378"/>
      <c r="CK395" s="378"/>
      <c r="CL395" s="362"/>
      <c r="CM395" s="362"/>
      <c r="CN395" s="362"/>
      <c r="CO395" s="362"/>
      <c r="CP395" s="362"/>
      <c r="CQ395" s="362"/>
      <c r="CR395" s="362"/>
      <c r="CS395" s="362"/>
      <c r="CT395" s="362"/>
      <c r="CU395" s="362"/>
      <c r="CV395" s="362"/>
      <c r="CW395" s="362"/>
      <c r="CX395" s="362"/>
      <c r="CY395" s="362"/>
      <c r="CZ395" s="362"/>
      <c r="DA395" s="362"/>
      <c r="DB395" s="362"/>
      <c r="DC395" s="362"/>
      <c r="DD395" s="362"/>
      <c r="DE395" s="362"/>
      <c r="DF395" s="362"/>
      <c r="DG395" s="362"/>
      <c r="DH395" s="362"/>
      <c r="DI395" s="362"/>
      <c r="DJ395" s="362"/>
      <c r="DK395" s="362"/>
      <c r="DL395" s="362"/>
      <c r="DM395" s="362"/>
      <c r="DN395" s="362"/>
      <c r="DO395" s="360"/>
      <c r="DP395" s="310"/>
      <c r="DQ395" s="310"/>
      <c r="DR395" s="310"/>
      <c r="DS395" s="310"/>
      <c r="DT395" s="310"/>
      <c r="DU395" s="310"/>
      <c r="DV395" s="310"/>
      <c r="DW395" s="310"/>
      <c r="DX395" s="310"/>
    </row>
    <row r="396" spans="1:128" s="63" customFormat="1" ht="18">
      <c r="A396" s="376"/>
      <c r="B396" s="819" t="s">
        <v>1591</v>
      </c>
      <c r="C396" s="463"/>
      <c r="D396" s="463"/>
      <c r="E396" s="459">
        <v>24</v>
      </c>
      <c r="F396" s="357"/>
      <c r="G396" s="357"/>
      <c r="H396" s="375"/>
      <c r="I396" s="357"/>
      <c r="J396" s="357"/>
      <c r="K396" s="375"/>
      <c r="L396" s="357"/>
      <c r="M396" s="357"/>
      <c r="N396" s="357"/>
      <c r="O396" s="357"/>
      <c r="P396" s="362"/>
      <c r="Q396" s="362"/>
      <c r="R396" s="362"/>
      <c r="S396" s="362"/>
      <c r="T396" s="360">
        <f>SUM(C396:O396)</f>
        <v>24</v>
      </c>
      <c r="U396" s="361">
        <f>ROUND((21.8*3.6)-BR300,0)</f>
        <v>76</v>
      </c>
      <c r="V396" s="361"/>
      <c r="W396" s="361"/>
      <c r="X396" s="357"/>
      <c r="Y396" s="357"/>
      <c r="Z396" s="357"/>
      <c r="AA396" s="357"/>
      <c r="AB396" s="357"/>
      <c r="AC396" s="357"/>
      <c r="AD396" s="357">
        <f>ROUND((21.8*3.5)-BR300,0)</f>
        <v>74</v>
      </c>
      <c r="AE396" s="357"/>
      <c r="AF396" s="357"/>
      <c r="AG396" s="357">
        <f>AD396</f>
        <v>74</v>
      </c>
      <c r="AH396" s="357"/>
      <c r="AI396" s="357"/>
      <c r="AJ396" s="357"/>
      <c r="AK396" s="357"/>
      <c r="AL396" s="357"/>
      <c r="AM396" s="357"/>
      <c r="AN396" s="357"/>
      <c r="AO396" s="357"/>
      <c r="AP396" s="357"/>
      <c r="AQ396" s="357">
        <f>ROUND(5*4.7,0)</f>
        <v>24</v>
      </c>
      <c r="AR396" s="357"/>
      <c r="AS396" s="362"/>
      <c r="AT396" s="360">
        <f>ROUND(BR301,0)</f>
        <v>1</v>
      </c>
      <c r="AU396" s="374"/>
      <c r="AV396" s="357">
        <f>E396</f>
        <v>24</v>
      </c>
      <c r="AW396" s="357"/>
      <c r="AX396" s="357"/>
      <c r="AY396" s="360"/>
      <c r="AZ396" s="361"/>
      <c r="BA396" s="357"/>
      <c r="BB396" s="362"/>
      <c r="BC396" s="365">
        <f t="shared" si="88"/>
        <v>24</v>
      </c>
      <c r="BD396" s="361"/>
      <c r="BE396" s="357"/>
      <c r="BF396" s="357"/>
      <c r="BG396" s="357"/>
      <c r="BH396" s="357"/>
      <c r="BI396" s="357"/>
      <c r="BJ396" s="357"/>
      <c r="BK396" s="357"/>
      <c r="BL396" s="357"/>
      <c r="BM396" s="357"/>
      <c r="BN396" s="357"/>
      <c r="BO396" s="357"/>
      <c r="BP396" s="357"/>
      <c r="BQ396" s="357"/>
      <c r="BR396" s="357">
        <v>1</v>
      </c>
      <c r="BS396" s="357"/>
      <c r="BT396" s="357"/>
      <c r="BU396" s="357"/>
      <c r="BV396" s="357"/>
      <c r="BW396" s="357"/>
      <c r="BX396" s="357"/>
      <c r="BY396" s="357"/>
      <c r="BZ396" s="357"/>
      <c r="CA396" s="357"/>
      <c r="CB396" s="357"/>
      <c r="CC396" s="357"/>
      <c r="CD396" s="357"/>
      <c r="CE396" s="357"/>
      <c r="CF396" s="357"/>
      <c r="CG396" s="357"/>
      <c r="CH396" s="357"/>
      <c r="CI396" s="362"/>
      <c r="CJ396" s="362"/>
      <c r="CK396" s="362"/>
      <c r="CL396" s="362"/>
      <c r="CM396" s="362"/>
      <c r="CN396" s="362"/>
      <c r="CO396" s="362"/>
      <c r="CP396" s="362"/>
      <c r="CQ396" s="362"/>
      <c r="CR396" s="362"/>
      <c r="CS396" s="362"/>
      <c r="CT396" s="362"/>
      <c r="CU396" s="362"/>
      <c r="CV396" s="362"/>
      <c r="CW396" s="362"/>
      <c r="CX396" s="362"/>
      <c r="CY396" s="362"/>
      <c r="CZ396" s="362"/>
      <c r="DA396" s="362"/>
      <c r="DB396" s="362"/>
      <c r="DC396" s="362"/>
      <c r="DD396" s="362"/>
      <c r="DE396" s="362"/>
      <c r="DF396" s="362"/>
      <c r="DG396" s="362"/>
      <c r="DH396" s="362"/>
      <c r="DI396" s="362"/>
      <c r="DJ396" s="362"/>
      <c r="DK396" s="362"/>
      <c r="DL396" s="362"/>
      <c r="DM396" s="362"/>
      <c r="DN396" s="362"/>
      <c r="DO396" s="360"/>
      <c r="DP396" s="310"/>
      <c r="DQ396" s="310"/>
      <c r="DR396" s="310"/>
      <c r="DS396" s="310"/>
      <c r="DT396" s="310"/>
      <c r="DU396" s="310"/>
      <c r="DV396" s="310"/>
      <c r="DW396" s="310"/>
      <c r="DX396" s="310"/>
    </row>
    <row r="397" spans="1:128" s="63" customFormat="1" ht="18">
      <c r="A397" s="376"/>
      <c r="B397" s="819" t="s">
        <v>1592</v>
      </c>
      <c r="C397" s="463"/>
      <c r="D397" s="463"/>
      <c r="E397" s="459">
        <v>24</v>
      </c>
      <c r="F397" s="357"/>
      <c r="G397" s="357"/>
      <c r="H397" s="357"/>
      <c r="I397" s="357"/>
      <c r="J397" s="357"/>
      <c r="K397" s="357"/>
      <c r="L397" s="357"/>
      <c r="M397" s="357"/>
      <c r="N397" s="357"/>
      <c r="O397" s="357"/>
      <c r="P397" s="362"/>
      <c r="Q397" s="362"/>
      <c r="R397" s="362"/>
      <c r="S397" s="362"/>
      <c r="T397" s="360">
        <f>SUM(C397:O397)</f>
        <v>24</v>
      </c>
      <c r="U397" s="361">
        <f>ROUND((17.1*3.6)-BR300,0)</f>
        <v>59</v>
      </c>
      <c r="V397" s="361"/>
      <c r="W397" s="361"/>
      <c r="X397" s="357"/>
      <c r="Y397" s="357"/>
      <c r="Z397" s="357"/>
      <c r="AA397" s="357"/>
      <c r="AB397" s="357"/>
      <c r="AC397" s="357"/>
      <c r="AD397" s="357">
        <f>AD396</f>
        <v>74</v>
      </c>
      <c r="AE397" s="357"/>
      <c r="AF397" s="357"/>
      <c r="AG397" s="357">
        <f>AD397</f>
        <v>74</v>
      </c>
      <c r="AH397" s="357"/>
      <c r="AI397" s="357"/>
      <c r="AJ397" s="357"/>
      <c r="AK397" s="357"/>
      <c r="AL397" s="357"/>
      <c r="AM397" s="357"/>
      <c r="AN397" s="357"/>
      <c r="AO397" s="357"/>
      <c r="AP397" s="357"/>
      <c r="AQ397" s="357">
        <f>AQ396</f>
        <v>24</v>
      </c>
      <c r="AR397" s="357"/>
      <c r="AS397" s="362"/>
      <c r="AT397" s="360">
        <f>AT396</f>
        <v>1</v>
      </c>
      <c r="AU397" s="374"/>
      <c r="AV397" s="357">
        <f>E397</f>
        <v>24</v>
      </c>
      <c r="AW397" s="357"/>
      <c r="AX397" s="357"/>
      <c r="AY397" s="360"/>
      <c r="AZ397" s="361"/>
      <c r="BA397" s="357"/>
      <c r="BB397" s="362"/>
      <c r="BC397" s="365">
        <f t="shared" si="88"/>
        <v>24</v>
      </c>
      <c r="BD397" s="361"/>
      <c r="BE397" s="357"/>
      <c r="BF397" s="357"/>
      <c r="BG397" s="357"/>
      <c r="BH397" s="357"/>
      <c r="BI397" s="357"/>
      <c r="BJ397" s="357"/>
      <c r="BK397" s="357"/>
      <c r="BL397" s="357"/>
      <c r="BM397" s="357"/>
      <c r="BN397" s="357"/>
      <c r="BO397" s="357"/>
      <c r="BP397" s="357"/>
      <c r="BQ397" s="357"/>
      <c r="BR397" s="357">
        <v>1</v>
      </c>
      <c r="BS397" s="357"/>
      <c r="BT397" s="357"/>
      <c r="BU397" s="357"/>
      <c r="BV397" s="357"/>
      <c r="BW397" s="357"/>
      <c r="BX397" s="357"/>
      <c r="BY397" s="357"/>
      <c r="BZ397" s="357"/>
      <c r="CA397" s="357"/>
      <c r="CB397" s="357"/>
      <c r="CC397" s="357"/>
      <c r="CD397" s="357"/>
      <c r="CE397" s="357"/>
      <c r="CF397" s="357"/>
      <c r="CG397" s="357"/>
      <c r="CH397" s="357"/>
      <c r="CI397" s="362"/>
      <c r="CJ397" s="362"/>
      <c r="CK397" s="362"/>
      <c r="CL397" s="362"/>
      <c r="CM397" s="362"/>
      <c r="CN397" s="362"/>
      <c r="CO397" s="362"/>
      <c r="CP397" s="362"/>
      <c r="CQ397" s="362"/>
      <c r="CR397" s="362"/>
      <c r="CS397" s="362"/>
      <c r="CT397" s="362"/>
      <c r="CU397" s="362"/>
      <c r="CV397" s="362"/>
      <c r="CW397" s="362"/>
      <c r="CX397" s="362"/>
      <c r="CY397" s="362"/>
      <c r="CZ397" s="362"/>
      <c r="DA397" s="362"/>
      <c r="DB397" s="362"/>
      <c r="DC397" s="362"/>
      <c r="DD397" s="362"/>
      <c r="DE397" s="362"/>
      <c r="DF397" s="362"/>
      <c r="DG397" s="362"/>
      <c r="DH397" s="362"/>
      <c r="DI397" s="362"/>
      <c r="DJ397" s="362"/>
      <c r="DK397" s="362"/>
      <c r="DL397" s="362"/>
      <c r="DM397" s="362"/>
      <c r="DN397" s="362"/>
      <c r="DO397" s="360"/>
      <c r="DP397" s="310"/>
      <c r="DQ397" s="310"/>
      <c r="DR397" s="310"/>
      <c r="DS397" s="310"/>
      <c r="DT397" s="310"/>
      <c r="DU397" s="310"/>
      <c r="DV397" s="309"/>
      <c r="DW397" s="310"/>
      <c r="DX397" s="372"/>
    </row>
    <row r="398" spans="1:128" ht="18">
      <c r="A398" s="403"/>
      <c r="B398" s="819" t="s">
        <v>1604</v>
      </c>
      <c r="C398" s="463"/>
      <c r="D398" s="463">
        <f>ROUNDUP(((0.25*2)*20)+(1.5*2)+((0.18*2)*22),0)</f>
        <v>21</v>
      </c>
      <c r="E398" s="357"/>
      <c r="F398" s="357"/>
      <c r="G398" s="357"/>
      <c r="H398" s="357"/>
      <c r="I398" s="357"/>
      <c r="J398" s="357"/>
      <c r="K398" s="357"/>
      <c r="L398" s="357"/>
      <c r="M398" s="357"/>
      <c r="N398" s="357"/>
      <c r="O398" s="357"/>
      <c r="P398" s="362"/>
      <c r="Q398" s="362"/>
      <c r="R398" s="362"/>
      <c r="S398" s="362"/>
      <c r="T398" s="360"/>
      <c r="U398" s="361"/>
      <c r="V398" s="361"/>
      <c r="W398" s="361"/>
      <c r="X398" s="357"/>
      <c r="Y398" s="357"/>
      <c r="Z398" s="357"/>
      <c r="AA398" s="357"/>
      <c r="AB398" s="357"/>
      <c r="AC398" s="357"/>
      <c r="AD398" s="357"/>
      <c r="AE398" s="357"/>
      <c r="AF398" s="357"/>
      <c r="AG398" s="357"/>
      <c r="AH398" s="357"/>
      <c r="AI398" s="357"/>
      <c r="AJ398" s="357"/>
      <c r="AK398" s="357"/>
      <c r="AL398" s="357"/>
      <c r="AM398" s="357"/>
      <c r="AN398" s="357"/>
      <c r="AO398" s="357"/>
      <c r="AP398" s="357"/>
      <c r="AQ398" s="357"/>
      <c r="AR398" s="357"/>
      <c r="AS398" s="362"/>
      <c r="AT398" s="360"/>
      <c r="AU398" s="363"/>
      <c r="AV398" s="364"/>
      <c r="AW398" s="364"/>
      <c r="AX398" s="395"/>
      <c r="AY398" s="365"/>
      <c r="AZ398" s="361">
        <f t="shared" si="92"/>
        <v>0</v>
      </c>
      <c r="BA398" s="357"/>
      <c r="BB398" s="362"/>
      <c r="BC398" s="365">
        <f t="shared" si="88"/>
        <v>0</v>
      </c>
      <c r="BD398" s="380"/>
      <c r="BE398" s="381"/>
      <c r="BF398" s="381"/>
      <c r="BG398" s="381"/>
      <c r="BH398" s="381"/>
      <c r="BI398" s="381"/>
      <c r="BJ398" s="381"/>
      <c r="BK398" s="381"/>
      <c r="BL398" s="381"/>
      <c r="BM398" s="381"/>
      <c r="BN398" s="381"/>
      <c r="BO398" s="381"/>
      <c r="BP398" s="381"/>
      <c r="BQ398" s="381"/>
      <c r="BR398" s="381"/>
      <c r="BS398" s="381"/>
      <c r="BT398" s="381"/>
      <c r="BU398" s="381"/>
      <c r="BV398" s="381"/>
      <c r="BW398" s="381"/>
      <c r="BX398" s="381"/>
      <c r="BY398" s="381"/>
      <c r="BZ398" s="381"/>
      <c r="CA398" s="381"/>
      <c r="CB398" s="381"/>
      <c r="CC398" s="381"/>
      <c r="CD398" s="381"/>
      <c r="CE398" s="381"/>
      <c r="CF398" s="381"/>
      <c r="CG398" s="381"/>
      <c r="CH398" s="381"/>
      <c r="CI398" s="382"/>
      <c r="CJ398" s="382"/>
      <c r="CK398" s="382"/>
      <c r="CL398" s="382"/>
      <c r="CM398" s="382"/>
      <c r="CN398" s="382"/>
      <c r="CO398" s="382"/>
      <c r="CP398" s="382"/>
      <c r="CQ398" s="382"/>
      <c r="CR398" s="382"/>
      <c r="CS398" s="382"/>
      <c r="CT398" s="382"/>
      <c r="CU398" s="382"/>
      <c r="CV398" s="382"/>
      <c r="CW398" s="382"/>
      <c r="CX398" s="382"/>
      <c r="CY398" s="382"/>
      <c r="CZ398" s="382"/>
      <c r="DA398" s="382"/>
      <c r="DB398" s="382"/>
      <c r="DC398" s="382"/>
      <c r="DD398" s="382"/>
      <c r="DE398" s="382"/>
      <c r="DF398" s="382"/>
      <c r="DG398" s="382"/>
      <c r="DH398" s="382"/>
      <c r="DI398" s="382"/>
      <c r="DJ398" s="382"/>
      <c r="DK398" s="382"/>
      <c r="DL398" s="382"/>
      <c r="DM398" s="382"/>
      <c r="DN398" s="400">
        <f>ROUNDUP(56.57,0)</f>
        <v>57</v>
      </c>
      <c r="DO398" s="383"/>
    </row>
    <row r="399" spans="1:128" ht="18">
      <c r="A399" s="403"/>
      <c r="B399" s="819" t="s">
        <v>1605</v>
      </c>
      <c r="C399" s="357">
        <f>ROUNDUP(((0.25*1.5)*20)+((0.17*1.5)*22)+(1.8*3.2)+(3.3*3.2),0)</f>
        <v>30</v>
      </c>
      <c r="D399" s="357"/>
      <c r="E399" s="357"/>
      <c r="F399" s="357"/>
      <c r="G399" s="357"/>
      <c r="H399" s="357"/>
      <c r="I399" s="357"/>
      <c r="J399" s="357"/>
      <c r="K399" s="357"/>
      <c r="L399" s="357"/>
      <c r="M399" s="357"/>
      <c r="N399" s="357"/>
      <c r="O399" s="357"/>
      <c r="P399" s="362"/>
      <c r="Q399" s="362"/>
      <c r="R399" s="362"/>
      <c r="S399" s="362"/>
      <c r="T399" s="360"/>
      <c r="U399" s="361"/>
      <c r="V399" s="361"/>
      <c r="W399" s="361"/>
      <c r="X399" s="357"/>
      <c r="Y399" s="357"/>
      <c r="Z399" s="357"/>
      <c r="AA399" s="357"/>
      <c r="AB399" s="357"/>
      <c r="AC399" s="357"/>
      <c r="AD399" s="357"/>
      <c r="AE399" s="357"/>
      <c r="AF399" s="357"/>
      <c r="AG399" s="357"/>
      <c r="AH399" s="357"/>
      <c r="AI399" s="357"/>
      <c r="AJ399" s="357"/>
      <c r="AK399" s="357"/>
      <c r="AL399" s="357"/>
      <c r="AM399" s="357"/>
      <c r="AN399" s="357"/>
      <c r="AO399" s="357"/>
      <c r="AP399" s="357"/>
      <c r="AQ399" s="357"/>
      <c r="AR399" s="357"/>
      <c r="AS399" s="362"/>
      <c r="AT399" s="360"/>
      <c r="AU399" s="363"/>
      <c r="AV399" s="364"/>
      <c r="AW399" s="364"/>
      <c r="AX399" s="395"/>
      <c r="AY399" s="365"/>
      <c r="AZ399" s="361">
        <f t="shared" si="92"/>
        <v>0</v>
      </c>
      <c r="BA399" s="357"/>
      <c r="BB399" s="362"/>
      <c r="BC399" s="365">
        <f t="shared" si="88"/>
        <v>0</v>
      </c>
      <c r="BD399" s="380"/>
      <c r="BE399" s="381"/>
      <c r="BF399" s="381"/>
      <c r="BG399" s="381"/>
      <c r="BH399" s="381"/>
      <c r="BI399" s="381"/>
      <c r="BJ399" s="381"/>
      <c r="BK399" s="381"/>
      <c r="BL399" s="381"/>
      <c r="BM399" s="381"/>
      <c r="BN399" s="381"/>
      <c r="BO399" s="381"/>
      <c r="BP399" s="381"/>
      <c r="BQ399" s="381"/>
      <c r="BR399" s="381"/>
      <c r="BS399" s="381"/>
      <c r="BT399" s="381"/>
      <c r="BU399" s="381"/>
      <c r="BV399" s="381"/>
      <c r="BW399" s="381"/>
      <c r="BX399" s="381"/>
      <c r="BY399" s="381"/>
      <c r="BZ399" s="381"/>
      <c r="CA399" s="381"/>
      <c r="CB399" s="381"/>
      <c r="CC399" s="381"/>
      <c r="CD399" s="381"/>
      <c r="CE399" s="381"/>
      <c r="CF399" s="381"/>
      <c r="CG399" s="381"/>
      <c r="CH399" s="381"/>
      <c r="CI399" s="382"/>
      <c r="CJ399" s="382"/>
      <c r="CK399" s="382"/>
      <c r="CL399" s="382"/>
      <c r="CM399" s="382"/>
      <c r="CN399" s="382"/>
      <c r="CO399" s="382"/>
      <c r="CP399" s="382"/>
      <c r="CQ399" s="382"/>
      <c r="CR399" s="382"/>
      <c r="CS399" s="382"/>
      <c r="CT399" s="382"/>
      <c r="CU399" s="382"/>
      <c r="CV399" s="382"/>
      <c r="CW399" s="382"/>
      <c r="CX399" s="382"/>
      <c r="CY399" s="382"/>
      <c r="CZ399" s="382"/>
      <c r="DA399" s="382"/>
      <c r="DB399" s="382"/>
      <c r="DC399" s="382"/>
      <c r="DD399" s="382"/>
      <c r="DE399" s="382"/>
      <c r="DF399" s="382"/>
      <c r="DG399" s="382"/>
      <c r="DH399" s="382"/>
      <c r="DI399" s="382"/>
      <c r="DJ399" s="382"/>
      <c r="DK399" s="382"/>
      <c r="DL399" s="382"/>
      <c r="DM399" s="382"/>
      <c r="DN399" s="382"/>
      <c r="DO399" s="383"/>
    </row>
    <row r="400" spans="1:128" ht="18">
      <c r="A400" s="455"/>
      <c r="B400" s="819" t="s">
        <v>1606</v>
      </c>
      <c r="C400" s="357"/>
      <c r="D400" s="357"/>
      <c r="E400" s="357"/>
      <c r="F400" s="357"/>
      <c r="G400" s="357"/>
      <c r="H400" s="357"/>
      <c r="I400" s="357"/>
      <c r="J400" s="357"/>
      <c r="K400" s="357"/>
      <c r="L400" s="357"/>
      <c r="M400" s="357"/>
      <c r="N400" s="357"/>
      <c r="O400" s="357"/>
      <c r="P400" s="362"/>
      <c r="Q400" s="362"/>
      <c r="R400" s="362"/>
      <c r="S400" s="362"/>
      <c r="T400" s="360"/>
      <c r="U400" s="453">
        <f>ROUND(7.2*3.8,0)</f>
        <v>27</v>
      </c>
      <c r="V400" s="453">
        <f>ROUND((22*5.3)-BU300,0)</f>
        <v>114</v>
      </c>
      <c r="W400" s="453"/>
      <c r="X400" s="357"/>
      <c r="Y400" s="357"/>
      <c r="Z400" s="357"/>
      <c r="AA400" s="357"/>
      <c r="AB400" s="357"/>
      <c r="AC400" s="357"/>
      <c r="AD400" s="357">
        <f>ROUND((22.2*5.3)-BU300,0)</f>
        <v>115</v>
      </c>
      <c r="AE400" s="357"/>
      <c r="AF400" s="357"/>
      <c r="AG400" s="357"/>
      <c r="AH400" s="357"/>
      <c r="AI400" s="357"/>
      <c r="AJ400" s="357"/>
      <c r="AK400" s="357"/>
      <c r="AL400" s="357"/>
      <c r="AM400" s="357"/>
      <c r="AN400" s="357"/>
      <c r="AO400" s="357"/>
      <c r="AP400" s="357"/>
      <c r="AQ400" s="357">
        <f>BU302</f>
        <v>4.0999999999999996</v>
      </c>
      <c r="AR400" s="357">
        <f>2*5.3</f>
        <v>10.6</v>
      </c>
      <c r="AS400" s="362"/>
      <c r="AT400" s="360">
        <f>BU301</f>
        <v>1.1000000000000001</v>
      </c>
      <c r="AU400" s="456"/>
      <c r="AV400" s="364"/>
      <c r="AW400" s="408">
        <v>25</v>
      </c>
      <c r="AX400" s="395"/>
      <c r="AY400" s="365"/>
      <c r="AZ400" s="361">
        <f t="shared" si="92"/>
        <v>115</v>
      </c>
      <c r="BA400" s="357"/>
      <c r="BB400" s="362"/>
      <c r="BC400" s="365">
        <f t="shared" si="88"/>
        <v>25</v>
      </c>
      <c r="BD400" s="457"/>
      <c r="BE400" s="381"/>
      <c r="BF400" s="381"/>
      <c r="BG400" s="381"/>
      <c r="BH400" s="381"/>
      <c r="BI400" s="381"/>
      <c r="BJ400" s="381"/>
      <c r="BK400" s="381"/>
      <c r="BL400" s="381"/>
      <c r="BM400" s="381"/>
      <c r="BN400" s="381"/>
      <c r="BO400" s="381"/>
      <c r="BP400" s="381"/>
      <c r="BQ400" s="381"/>
      <c r="BR400" s="381"/>
      <c r="BS400" s="381"/>
      <c r="BT400" s="381"/>
      <c r="BU400" s="381">
        <v>1</v>
      </c>
      <c r="BV400" s="381"/>
      <c r="BW400" s="381"/>
      <c r="BX400" s="381"/>
      <c r="BY400" s="381"/>
      <c r="BZ400" s="381"/>
      <c r="CA400" s="381"/>
      <c r="CB400" s="381"/>
      <c r="CC400" s="381"/>
      <c r="CD400" s="381"/>
      <c r="CE400" s="381"/>
      <c r="CF400" s="381"/>
      <c r="CG400" s="381"/>
      <c r="CH400" s="381"/>
      <c r="CI400" s="382"/>
      <c r="CJ400" s="382"/>
      <c r="CK400" s="382"/>
      <c r="CL400" s="382"/>
      <c r="CM400" s="382"/>
      <c r="CN400" s="382"/>
      <c r="CO400" s="382"/>
      <c r="CP400" s="382"/>
      <c r="CQ400" s="382"/>
      <c r="CR400" s="382"/>
      <c r="CS400" s="382"/>
      <c r="CT400" s="382"/>
      <c r="CU400" s="382"/>
      <c r="CV400" s="382"/>
      <c r="CW400" s="382"/>
      <c r="CX400" s="382"/>
      <c r="CY400" s="382"/>
      <c r="CZ400" s="382"/>
      <c r="DA400" s="382"/>
      <c r="DB400" s="382"/>
      <c r="DC400" s="382"/>
      <c r="DD400" s="382"/>
      <c r="DE400" s="382"/>
      <c r="DF400" s="382"/>
      <c r="DG400" s="382"/>
      <c r="DH400" s="382"/>
      <c r="DI400" s="382"/>
      <c r="DJ400" s="382"/>
      <c r="DK400" s="382"/>
      <c r="DL400" s="382"/>
      <c r="DM400" s="382"/>
      <c r="DN400" s="382"/>
      <c r="DO400" s="383"/>
    </row>
    <row r="401" spans="1:119" ht="18">
      <c r="A401" s="455"/>
      <c r="B401" s="819" t="s">
        <v>1607</v>
      </c>
      <c r="C401" s="357"/>
      <c r="D401" s="357">
        <f>ROUNDUP(((0.25*2.1)*20)+(4.5*3)+(4.5*2)+((0.18*2.1)*22),0)</f>
        <v>42</v>
      </c>
      <c r="E401" s="357"/>
      <c r="F401" s="357"/>
      <c r="G401" s="357"/>
      <c r="H401" s="357"/>
      <c r="I401" s="357"/>
      <c r="J401" s="357"/>
      <c r="K401" s="357"/>
      <c r="L401" s="357"/>
      <c r="M401" s="357"/>
      <c r="N401" s="357"/>
      <c r="O401" s="357"/>
      <c r="P401" s="362"/>
      <c r="Q401" s="362"/>
      <c r="R401" s="362"/>
      <c r="S401" s="362"/>
      <c r="T401" s="360"/>
      <c r="U401" s="453"/>
      <c r="V401" s="453"/>
      <c r="W401" s="453"/>
      <c r="X401" s="357"/>
      <c r="Y401" s="357"/>
      <c r="Z401" s="357"/>
      <c r="AA401" s="357"/>
      <c r="AB401" s="357"/>
      <c r="AC401" s="357"/>
      <c r="AD401" s="357"/>
      <c r="AE401" s="357"/>
      <c r="AF401" s="357"/>
      <c r="AG401" s="357"/>
      <c r="AH401" s="357"/>
      <c r="AI401" s="357"/>
      <c r="AJ401" s="357"/>
      <c r="AK401" s="357"/>
      <c r="AL401" s="357"/>
      <c r="AM401" s="357"/>
      <c r="AN401" s="357"/>
      <c r="AO401" s="357"/>
      <c r="AP401" s="357"/>
      <c r="AQ401" s="357"/>
      <c r="AR401" s="357"/>
      <c r="AS401" s="362"/>
      <c r="AT401" s="360"/>
      <c r="AU401" s="456"/>
      <c r="AV401" s="364"/>
      <c r="AW401" s="408"/>
      <c r="AX401" s="395"/>
      <c r="AY401" s="365"/>
      <c r="AZ401" s="361">
        <f t="shared" si="92"/>
        <v>0</v>
      </c>
      <c r="BA401" s="357"/>
      <c r="BB401" s="362"/>
      <c r="BC401" s="365">
        <f t="shared" si="88"/>
        <v>0</v>
      </c>
      <c r="BD401" s="457"/>
      <c r="BE401" s="381"/>
      <c r="BF401" s="381"/>
      <c r="BG401" s="381"/>
      <c r="BH401" s="381"/>
      <c r="BI401" s="381"/>
      <c r="BJ401" s="381"/>
      <c r="BK401" s="381"/>
      <c r="BL401" s="381"/>
      <c r="BM401" s="381"/>
      <c r="BN401" s="381"/>
      <c r="BO401" s="381"/>
      <c r="BP401" s="381"/>
      <c r="BQ401" s="381"/>
      <c r="BR401" s="381"/>
      <c r="BS401" s="381"/>
      <c r="BT401" s="381"/>
      <c r="BU401" s="381"/>
      <c r="BV401" s="381"/>
      <c r="BW401" s="381"/>
      <c r="BX401" s="381"/>
      <c r="BY401" s="381"/>
      <c r="BZ401" s="381"/>
      <c r="CA401" s="381"/>
      <c r="CB401" s="381"/>
      <c r="CC401" s="381"/>
      <c r="CD401" s="381"/>
      <c r="CE401" s="381"/>
      <c r="CF401" s="381"/>
      <c r="CG401" s="381"/>
      <c r="CH401" s="381"/>
      <c r="CI401" s="382"/>
      <c r="CJ401" s="382"/>
      <c r="CK401" s="382"/>
      <c r="CL401" s="382"/>
      <c r="CM401" s="382"/>
      <c r="CN401" s="382"/>
      <c r="CO401" s="382"/>
      <c r="CP401" s="382"/>
      <c r="CQ401" s="382"/>
      <c r="CR401" s="382"/>
      <c r="CS401" s="382"/>
      <c r="CT401" s="382"/>
      <c r="CU401" s="382"/>
      <c r="CV401" s="382"/>
      <c r="CW401" s="382"/>
      <c r="CX401" s="382"/>
      <c r="CY401" s="382"/>
      <c r="CZ401" s="382"/>
      <c r="DA401" s="382"/>
      <c r="DB401" s="382"/>
      <c r="DC401" s="382"/>
      <c r="DD401" s="382"/>
      <c r="DE401" s="382"/>
      <c r="DF401" s="382"/>
      <c r="DG401" s="382"/>
      <c r="DH401" s="382"/>
      <c r="DI401" s="382"/>
      <c r="DJ401" s="382"/>
      <c r="DK401" s="382"/>
      <c r="DL401" s="382"/>
      <c r="DM401" s="382"/>
      <c r="DN401" s="382"/>
      <c r="DO401" s="383"/>
    </row>
    <row r="402" spans="1:119" ht="18">
      <c r="A402" s="455"/>
      <c r="B402" s="819" t="s">
        <v>1608</v>
      </c>
      <c r="C402" s="357"/>
      <c r="D402" s="357"/>
      <c r="E402" s="357"/>
      <c r="F402" s="357"/>
      <c r="G402" s="357"/>
      <c r="H402" s="357"/>
      <c r="I402" s="357"/>
      <c r="J402" s="357"/>
      <c r="K402" s="357"/>
      <c r="L402" s="357"/>
      <c r="M402" s="357"/>
      <c r="N402" s="357"/>
      <c r="O402" s="357"/>
      <c r="P402" s="362"/>
      <c r="Q402" s="362"/>
      <c r="R402" s="362"/>
      <c r="S402" s="362"/>
      <c r="T402" s="360"/>
      <c r="U402" s="453">
        <f>ROUND((23.99*5.4)-(BP300+CL300),0)</f>
        <v>121</v>
      </c>
      <c r="V402" s="453"/>
      <c r="W402" s="453"/>
      <c r="X402" s="357"/>
      <c r="Y402" s="357"/>
      <c r="Z402" s="357"/>
      <c r="AA402" s="357"/>
      <c r="AB402" s="357"/>
      <c r="AC402" s="357"/>
      <c r="AD402" s="357">
        <f>ROUND((24*5.4)-(BP300+CL300),0)</f>
        <v>121</v>
      </c>
      <c r="AE402" s="357"/>
      <c r="AF402" s="357"/>
      <c r="AG402" s="357"/>
      <c r="AH402" s="357"/>
      <c r="AI402" s="357"/>
      <c r="AJ402" s="357"/>
      <c r="AK402" s="357"/>
      <c r="AL402" s="357"/>
      <c r="AM402" s="357"/>
      <c r="AN402" s="357"/>
      <c r="AO402" s="357"/>
      <c r="AP402" s="357"/>
      <c r="AQ402" s="357">
        <f>(2*5.4)+BP302+CL302</f>
        <v>19.100000000000001</v>
      </c>
      <c r="AR402" s="357"/>
      <c r="AS402" s="362"/>
      <c r="AT402" s="360">
        <f>BP301+CL301</f>
        <v>5.68</v>
      </c>
      <c r="AU402" s="456"/>
      <c r="AV402" s="364"/>
      <c r="AW402" s="408">
        <v>35</v>
      </c>
      <c r="AX402" s="395"/>
      <c r="AY402" s="365"/>
      <c r="AZ402" s="361">
        <f t="shared" si="92"/>
        <v>121</v>
      </c>
      <c r="BA402" s="357"/>
      <c r="BB402" s="362"/>
      <c r="BC402" s="365">
        <f t="shared" si="88"/>
        <v>35</v>
      </c>
      <c r="BD402" s="457"/>
      <c r="BE402" s="381"/>
      <c r="BF402" s="381"/>
      <c r="BG402" s="381"/>
      <c r="BH402" s="381"/>
      <c r="BI402" s="381"/>
      <c r="BJ402" s="381"/>
      <c r="BK402" s="381"/>
      <c r="BL402" s="381"/>
      <c r="BM402" s="381"/>
      <c r="BN402" s="381"/>
      <c r="BO402" s="381"/>
      <c r="BP402" s="381">
        <v>1</v>
      </c>
      <c r="BQ402" s="381"/>
      <c r="BR402" s="381"/>
      <c r="BS402" s="381"/>
      <c r="BT402" s="381"/>
      <c r="BU402" s="381"/>
      <c r="BV402" s="381"/>
      <c r="BW402" s="381"/>
      <c r="BX402" s="381"/>
      <c r="BY402" s="381"/>
      <c r="BZ402" s="381"/>
      <c r="CA402" s="381"/>
      <c r="CB402" s="381"/>
      <c r="CC402" s="381"/>
      <c r="CD402" s="381"/>
      <c r="CE402" s="381"/>
      <c r="CF402" s="381"/>
      <c r="CG402" s="381"/>
      <c r="CH402" s="381"/>
      <c r="CI402" s="382"/>
      <c r="CJ402" s="382"/>
      <c r="CK402" s="382"/>
      <c r="CL402" s="382">
        <v>1</v>
      </c>
      <c r="CM402" s="382"/>
      <c r="CN402" s="382"/>
      <c r="CO402" s="382"/>
      <c r="CP402" s="382"/>
      <c r="CQ402" s="382"/>
      <c r="CR402" s="382"/>
      <c r="CS402" s="382"/>
      <c r="CT402" s="382"/>
      <c r="CU402" s="382"/>
      <c r="CV402" s="382"/>
      <c r="CW402" s="382"/>
      <c r="CX402" s="382"/>
      <c r="CY402" s="382"/>
      <c r="CZ402" s="382"/>
      <c r="DA402" s="382"/>
      <c r="DB402" s="382"/>
      <c r="DC402" s="382"/>
      <c r="DD402" s="382"/>
      <c r="DE402" s="382"/>
      <c r="DF402" s="382"/>
      <c r="DG402" s="382"/>
      <c r="DH402" s="382"/>
      <c r="DI402" s="382"/>
      <c r="DJ402" s="382"/>
      <c r="DK402" s="382"/>
      <c r="DL402" s="382"/>
      <c r="DM402" s="382"/>
      <c r="DN402" s="382"/>
      <c r="DO402" s="383"/>
    </row>
    <row r="403" spans="1:119" ht="18">
      <c r="A403" s="781"/>
      <c r="B403" s="819" t="s">
        <v>1593</v>
      </c>
      <c r="C403" s="357"/>
      <c r="D403" s="357"/>
      <c r="E403" s="357"/>
      <c r="F403" s="357"/>
      <c r="G403" s="357"/>
      <c r="H403" s="357">
        <f>ROUNDUP(346+2.4+(5.6*4),0)</f>
        <v>371</v>
      </c>
      <c r="I403" s="357"/>
      <c r="J403" s="357"/>
      <c r="K403" s="357"/>
      <c r="L403" s="357"/>
      <c r="M403" s="357"/>
      <c r="N403" s="357"/>
      <c r="O403" s="357"/>
      <c r="P403" s="362"/>
      <c r="Q403" s="362"/>
      <c r="R403" s="362"/>
      <c r="S403" s="362"/>
      <c r="T403" s="360"/>
      <c r="U403" s="659"/>
      <c r="V403" s="659"/>
      <c r="W403" s="659"/>
      <c r="X403" s="357"/>
      <c r="Y403" s="357"/>
      <c r="Z403" s="357"/>
      <c r="AA403" s="357"/>
      <c r="AB403" s="357"/>
      <c r="AC403" s="357"/>
      <c r="AD403" s="357"/>
      <c r="AE403" s="357"/>
      <c r="AF403" s="357"/>
      <c r="AG403" s="357"/>
      <c r="AH403" s="357"/>
      <c r="AI403" s="357"/>
      <c r="AJ403" s="357"/>
      <c r="AK403" s="357"/>
      <c r="AL403" s="357"/>
      <c r="AM403" s="357"/>
      <c r="AN403" s="357"/>
      <c r="AO403" s="357"/>
      <c r="AP403" s="357"/>
      <c r="AQ403" s="357"/>
      <c r="AR403" s="357"/>
      <c r="AS403" s="362"/>
      <c r="AT403" s="360"/>
      <c r="AU403" s="779"/>
      <c r="AV403" s="364"/>
      <c r="AW403" s="364"/>
      <c r="AX403" s="395"/>
      <c r="AY403" s="365"/>
      <c r="AZ403" s="361">
        <f t="shared" si="92"/>
        <v>0</v>
      </c>
      <c r="BA403" s="357"/>
      <c r="BB403" s="362"/>
      <c r="BC403" s="365">
        <f t="shared" si="88"/>
        <v>0</v>
      </c>
      <c r="BD403" s="780"/>
      <c r="BE403" s="381"/>
      <c r="BF403" s="381"/>
      <c r="BG403" s="381"/>
      <c r="BH403" s="381"/>
      <c r="BI403" s="381"/>
      <c r="BJ403" s="381"/>
      <c r="BK403" s="381"/>
      <c r="BL403" s="381"/>
      <c r="BM403" s="381"/>
      <c r="BN403" s="381"/>
      <c r="BO403" s="381"/>
      <c r="BP403" s="381"/>
      <c r="BQ403" s="381"/>
      <c r="BR403" s="381"/>
      <c r="BS403" s="381"/>
      <c r="BT403" s="381"/>
      <c r="BU403" s="381"/>
      <c r="BV403" s="381"/>
      <c r="BW403" s="381"/>
      <c r="BX403" s="381"/>
      <c r="BY403" s="381"/>
      <c r="BZ403" s="381"/>
      <c r="CA403" s="381"/>
      <c r="CB403" s="381"/>
      <c r="CC403" s="381"/>
      <c r="CD403" s="381"/>
      <c r="CE403" s="381"/>
      <c r="CF403" s="381"/>
      <c r="CG403" s="381"/>
      <c r="CH403" s="381"/>
      <c r="CI403" s="382"/>
      <c r="CJ403" s="382"/>
      <c r="CK403" s="382"/>
      <c r="CL403" s="382"/>
      <c r="CM403" s="382"/>
      <c r="CN403" s="382"/>
      <c r="CO403" s="382"/>
      <c r="CP403" s="382"/>
      <c r="CQ403" s="382"/>
      <c r="CR403" s="382"/>
      <c r="CS403" s="382"/>
      <c r="CT403" s="382"/>
      <c r="CU403" s="382"/>
      <c r="CV403" s="382"/>
      <c r="CW403" s="382"/>
      <c r="CX403" s="382"/>
      <c r="CY403" s="382"/>
      <c r="CZ403" s="382"/>
      <c r="DA403" s="382"/>
      <c r="DB403" s="382"/>
      <c r="DC403" s="382"/>
      <c r="DD403" s="382"/>
      <c r="DE403" s="382"/>
      <c r="DF403" s="382"/>
      <c r="DG403" s="382"/>
      <c r="DH403" s="382"/>
      <c r="DI403" s="382"/>
      <c r="DJ403" s="382"/>
      <c r="DK403" s="382"/>
      <c r="DL403" s="382"/>
      <c r="DM403" s="382"/>
      <c r="DN403" s="382"/>
      <c r="DO403" s="383"/>
    </row>
    <row r="404" spans="1:119" ht="18">
      <c r="A404" s="781"/>
      <c r="B404" s="822" t="s">
        <v>1635</v>
      </c>
      <c r="C404" s="357"/>
      <c r="D404" s="357"/>
      <c r="E404" s="357"/>
      <c r="F404" s="357"/>
      <c r="G404" s="357"/>
      <c r="H404" s="357"/>
      <c r="I404" s="357"/>
      <c r="J404" s="357"/>
      <c r="K404" s="357"/>
      <c r="L404" s="357"/>
      <c r="M404" s="357"/>
      <c r="N404" s="357"/>
      <c r="O404" s="357"/>
      <c r="P404" s="362"/>
      <c r="Q404" s="362"/>
      <c r="R404" s="362"/>
      <c r="S404" s="362"/>
      <c r="T404" s="360"/>
      <c r="U404" s="659"/>
      <c r="V404" s="659"/>
      <c r="W404" s="659"/>
      <c r="X404" s="357"/>
      <c r="Y404" s="357"/>
      <c r="Z404" s="357"/>
      <c r="AA404" s="357"/>
      <c r="AB404" s="357"/>
      <c r="AC404" s="357"/>
      <c r="AD404" s="357"/>
      <c r="AE404" s="357"/>
      <c r="AF404" s="357"/>
      <c r="AG404" s="357"/>
      <c r="AH404" s="357"/>
      <c r="AI404" s="357"/>
      <c r="AJ404" s="357"/>
      <c r="AK404" s="357"/>
      <c r="AL404" s="357"/>
      <c r="AM404" s="357"/>
      <c r="AN404" s="357"/>
      <c r="AO404" s="357"/>
      <c r="AP404" s="357"/>
      <c r="AQ404" s="357"/>
      <c r="AR404" s="357"/>
      <c r="AS404" s="362"/>
      <c r="AT404" s="360"/>
      <c r="AU404" s="779"/>
      <c r="AV404" s="364"/>
      <c r="AW404" s="364"/>
      <c r="AX404" s="395"/>
      <c r="AY404" s="365"/>
      <c r="AZ404" s="361">
        <f t="shared" si="92"/>
        <v>0</v>
      </c>
      <c r="BA404" s="357"/>
      <c r="BB404" s="362"/>
      <c r="BC404" s="365">
        <f t="shared" si="88"/>
        <v>0</v>
      </c>
      <c r="BD404" s="780"/>
      <c r="BE404" s="381"/>
      <c r="BF404" s="381"/>
      <c r="BG404" s="381"/>
      <c r="BH404" s="381"/>
      <c r="BI404" s="381"/>
      <c r="BJ404" s="381"/>
      <c r="BK404" s="381"/>
      <c r="BL404" s="381"/>
      <c r="BM404" s="381"/>
      <c r="BN404" s="381"/>
      <c r="BO404" s="381"/>
      <c r="BP404" s="381"/>
      <c r="BQ404" s="381"/>
      <c r="BR404" s="381"/>
      <c r="BS404" s="381"/>
      <c r="BT404" s="381"/>
      <c r="BU404" s="381"/>
      <c r="BV404" s="381"/>
      <c r="BW404" s="381"/>
      <c r="BX404" s="381"/>
      <c r="BY404" s="381"/>
      <c r="BZ404" s="381"/>
      <c r="CA404" s="381"/>
      <c r="CB404" s="381"/>
      <c r="CC404" s="381"/>
      <c r="CD404" s="381"/>
      <c r="CE404" s="381"/>
      <c r="CF404" s="381"/>
      <c r="CG404" s="381"/>
      <c r="CH404" s="381"/>
      <c r="CI404" s="382"/>
      <c r="CJ404" s="382"/>
      <c r="CK404" s="382"/>
      <c r="CL404" s="382"/>
      <c r="CM404" s="382"/>
      <c r="CN404" s="382"/>
      <c r="CO404" s="382"/>
      <c r="CP404" s="382"/>
      <c r="CQ404" s="382"/>
      <c r="CR404" s="382"/>
      <c r="CS404" s="382"/>
      <c r="CT404" s="382"/>
      <c r="CU404" s="382"/>
      <c r="CV404" s="382"/>
      <c r="CW404" s="382"/>
      <c r="CX404" s="382"/>
      <c r="CY404" s="382"/>
      <c r="CZ404" s="382"/>
      <c r="DA404" s="382"/>
      <c r="DB404" s="382"/>
      <c r="DC404" s="382"/>
      <c r="DD404" s="382"/>
      <c r="DE404" s="382"/>
      <c r="DF404" s="382"/>
      <c r="DG404" s="382"/>
      <c r="DH404" s="382"/>
      <c r="DI404" s="382"/>
      <c r="DJ404" s="382"/>
      <c r="DK404" s="382"/>
      <c r="DL404" s="382"/>
      <c r="DM404" s="382"/>
      <c r="DN404" s="382"/>
      <c r="DO404" s="383">
        <v>130</v>
      </c>
    </row>
    <row r="405" spans="1:119" ht="18">
      <c r="A405" s="781"/>
      <c r="B405" s="822" t="s">
        <v>1644</v>
      </c>
      <c r="C405" s="357"/>
      <c r="D405" s="357"/>
      <c r="E405" s="357"/>
      <c r="F405" s="357"/>
      <c r="G405" s="357"/>
      <c r="H405" s="357"/>
      <c r="I405" s="357"/>
      <c r="J405" s="357"/>
      <c r="K405" s="357"/>
      <c r="L405" s="357"/>
      <c r="M405" s="357"/>
      <c r="N405" s="357"/>
      <c r="O405" s="357"/>
      <c r="P405" s="362"/>
      <c r="Q405" s="362"/>
      <c r="R405" s="362"/>
      <c r="S405" s="362"/>
      <c r="T405" s="360"/>
      <c r="U405" s="659">
        <f>ROUND((95.18*1)+(95.18*0.35),0)</f>
        <v>128</v>
      </c>
      <c r="V405" s="659"/>
      <c r="W405" s="659"/>
      <c r="X405" s="357"/>
      <c r="Y405" s="357"/>
      <c r="Z405" s="357"/>
      <c r="AA405" s="357"/>
      <c r="AB405" s="357"/>
      <c r="AC405" s="357"/>
      <c r="AD405" s="659">
        <f>ROUND((95.18*2.2)+(95.18*0.8),0)</f>
        <v>286</v>
      </c>
      <c r="AE405" s="357"/>
      <c r="AF405" s="357"/>
      <c r="AG405" s="357"/>
      <c r="AH405" s="357"/>
      <c r="AI405" s="357"/>
      <c r="AJ405" s="357"/>
      <c r="AK405" s="357"/>
      <c r="AL405" s="357"/>
      <c r="AM405" s="357"/>
      <c r="AN405" s="357"/>
      <c r="AO405" s="357"/>
      <c r="AP405" s="357"/>
      <c r="AQ405" s="357"/>
      <c r="AR405" s="357"/>
      <c r="AS405" s="362"/>
      <c r="AT405" s="360">
        <f>99.5*2</f>
        <v>199</v>
      </c>
      <c r="AU405" s="779"/>
      <c r="AV405" s="364"/>
      <c r="AW405" s="364"/>
      <c r="AX405" s="395"/>
      <c r="AY405" s="365"/>
      <c r="AZ405" s="361">
        <f t="shared" si="92"/>
        <v>286</v>
      </c>
      <c r="BA405" s="357"/>
      <c r="BB405" s="362"/>
      <c r="BC405" s="360"/>
      <c r="BD405" s="780"/>
      <c r="BE405" s="381"/>
      <c r="BF405" s="381"/>
      <c r="BG405" s="381"/>
      <c r="BH405" s="381"/>
      <c r="BI405" s="381"/>
      <c r="BJ405" s="381"/>
      <c r="BK405" s="381"/>
      <c r="BL405" s="381"/>
      <c r="BM405" s="381"/>
      <c r="BN405" s="381"/>
      <c r="BO405" s="381"/>
      <c r="BP405" s="381"/>
      <c r="BQ405" s="381"/>
      <c r="BR405" s="381"/>
      <c r="BS405" s="381"/>
      <c r="BT405" s="381"/>
      <c r="BU405" s="381"/>
      <c r="BV405" s="381"/>
      <c r="BW405" s="381"/>
      <c r="BX405" s="381"/>
      <c r="BY405" s="381"/>
      <c r="BZ405" s="381"/>
      <c r="CA405" s="381"/>
      <c r="CB405" s="381"/>
      <c r="CC405" s="381"/>
      <c r="CD405" s="381"/>
      <c r="CE405" s="381"/>
      <c r="CF405" s="381"/>
      <c r="CG405" s="381"/>
      <c r="CH405" s="381"/>
      <c r="CI405" s="382"/>
      <c r="CJ405" s="382"/>
      <c r="CK405" s="382"/>
      <c r="CL405" s="382"/>
      <c r="CM405" s="382"/>
      <c r="CN405" s="382"/>
      <c r="CO405" s="382"/>
      <c r="CP405" s="382"/>
      <c r="CQ405" s="382"/>
      <c r="CR405" s="382"/>
      <c r="CS405" s="382"/>
      <c r="CT405" s="382"/>
      <c r="CU405" s="382"/>
      <c r="CV405" s="382"/>
      <c r="CW405" s="382"/>
      <c r="CX405" s="382"/>
      <c r="CY405" s="382"/>
      <c r="CZ405" s="382"/>
      <c r="DA405" s="382"/>
      <c r="DB405" s="382"/>
      <c r="DC405" s="382"/>
      <c r="DD405" s="382"/>
      <c r="DE405" s="382"/>
      <c r="DF405" s="382"/>
      <c r="DG405" s="382"/>
      <c r="DH405" s="382"/>
      <c r="DI405" s="382"/>
      <c r="DJ405" s="382"/>
      <c r="DK405" s="382"/>
      <c r="DL405" s="382"/>
      <c r="DM405" s="382"/>
      <c r="DN405" s="382"/>
      <c r="DO405" s="383"/>
    </row>
    <row r="406" spans="1:119">
      <c r="A406" s="781"/>
      <c r="B406" s="812"/>
      <c r="C406" s="357"/>
      <c r="D406" s="357"/>
      <c r="E406" s="357"/>
      <c r="F406" s="357"/>
      <c r="G406" s="357"/>
      <c r="H406" s="357"/>
      <c r="I406" s="357"/>
      <c r="J406" s="357"/>
      <c r="K406" s="357"/>
      <c r="L406" s="357"/>
      <c r="M406" s="357"/>
      <c r="N406" s="357"/>
      <c r="O406" s="357"/>
      <c r="P406" s="362"/>
      <c r="Q406" s="362"/>
      <c r="R406" s="362"/>
      <c r="S406" s="362"/>
      <c r="T406" s="360"/>
      <c r="U406" s="659"/>
      <c r="V406" s="659"/>
      <c r="W406" s="659"/>
      <c r="X406" s="357"/>
      <c r="Y406" s="357"/>
      <c r="Z406" s="357"/>
      <c r="AA406" s="357"/>
      <c r="AB406" s="357"/>
      <c r="AC406" s="357"/>
      <c r="AD406" s="357"/>
      <c r="AE406" s="357"/>
      <c r="AF406" s="357"/>
      <c r="AG406" s="357"/>
      <c r="AH406" s="357"/>
      <c r="AI406" s="357"/>
      <c r="AJ406" s="357"/>
      <c r="AK406" s="357"/>
      <c r="AL406" s="357"/>
      <c r="AM406" s="357"/>
      <c r="AN406" s="357"/>
      <c r="AO406" s="357"/>
      <c r="AP406" s="357"/>
      <c r="AQ406" s="357"/>
      <c r="AR406" s="357"/>
      <c r="AS406" s="362"/>
      <c r="AT406" s="360"/>
      <c r="AU406" s="779"/>
      <c r="AV406" s="364"/>
      <c r="AW406" s="364"/>
      <c r="AX406" s="395"/>
      <c r="AY406" s="365"/>
      <c r="AZ406" s="361">
        <f t="shared" si="92"/>
        <v>0</v>
      </c>
      <c r="BA406" s="357"/>
      <c r="BB406" s="362"/>
      <c r="BC406" s="360"/>
      <c r="BD406" s="780"/>
      <c r="BE406" s="381"/>
      <c r="BF406" s="381"/>
      <c r="BG406" s="381"/>
      <c r="BH406" s="381"/>
      <c r="BI406" s="381"/>
      <c r="BJ406" s="381"/>
      <c r="BK406" s="381"/>
      <c r="BL406" s="381"/>
      <c r="BM406" s="381"/>
      <c r="BN406" s="381"/>
      <c r="BO406" s="381"/>
      <c r="BP406" s="381"/>
      <c r="BQ406" s="381"/>
      <c r="BR406" s="381"/>
      <c r="BS406" s="381"/>
      <c r="BT406" s="381"/>
      <c r="BU406" s="381"/>
      <c r="BV406" s="381"/>
      <c r="BW406" s="381"/>
      <c r="BX406" s="381"/>
      <c r="BY406" s="381"/>
      <c r="BZ406" s="381"/>
      <c r="CA406" s="381"/>
      <c r="CB406" s="381"/>
      <c r="CC406" s="381"/>
      <c r="CD406" s="381"/>
      <c r="CE406" s="381"/>
      <c r="CF406" s="381"/>
      <c r="CG406" s="381"/>
      <c r="CH406" s="381"/>
      <c r="CI406" s="382"/>
      <c r="CJ406" s="382"/>
      <c r="CK406" s="382"/>
      <c r="CL406" s="382"/>
      <c r="CM406" s="382"/>
      <c r="CN406" s="382"/>
      <c r="CO406" s="382"/>
      <c r="CP406" s="382"/>
      <c r="CQ406" s="382"/>
      <c r="CR406" s="382"/>
      <c r="CS406" s="382"/>
      <c r="CT406" s="382"/>
      <c r="CU406" s="382"/>
      <c r="CV406" s="382"/>
      <c r="CW406" s="382"/>
      <c r="CX406" s="382"/>
      <c r="CY406" s="382"/>
      <c r="CZ406" s="382"/>
      <c r="DA406" s="382"/>
      <c r="DB406" s="382"/>
      <c r="DC406" s="382"/>
      <c r="DD406" s="382"/>
      <c r="DE406" s="382"/>
      <c r="DF406" s="382"/>
      <c r="DG406" s="382"/>
      <c r="DH406" s="382"/>
      <c r="DI406" s="382"/>
      <c r="DJ406" s="382"/>
      <c r="DK406" s="382"/>
      <c r="DL406" s="382"/>
      <c r="DM406" s="382"/>
      <c r="DN406" s="382"/>
      <c r="DO406" s="383"/>
    </row>
    <row r="407" spans="1:119">
      <c r="A407" s="781"/>
      <c r="B407" s="812"/>
      <c r="C407" s="357"/>
      <c r="D407" s="357"/>
      <c r="E407" s="357"/>
      <c r="F407" s="357"/>
      <c r="G407" s="357"/>
      <c r="H407" s="357"/>
      <c r="I407" s="357"/>
      <c r="J407" s="357"/>
      <c r="K407" s="357"/>
      <c r="L407" s="357"/>
      <c r="M407" s="357"/>
      <c r="N407" s="357"/>
      <c r="O407" s="357"/>
      <c r="P407" s="362"/>
      <c r="Q407" s="362"/>
      <c r="R407" s="362"/>
      <c r="S407" s="362"/>
      <c r="T407" s="360"/>
      <c r="U407" s="659"/>
      <c r="V407" s="659"/>
      <c r="W407" s="659"/>
      <c r="X407" s="357"/>
      <c r="Y407" s="357"/>
      <c r="Z407" s="357"/>
      <c r="AA407" s="357"/>
      <c r="AB407" s="357"/>
      <c r="AC407" s="357"/>
      <c r="AD407" s="357"/>
      <c r="AE407" s="357"/>
      <c r="AF407" s="357"/>
      <c r="AG407" s="357"/>
      <c r="AH407" s="357"/>
      <c r="AI407" s="357"/>
      <c r="AJ407" s="357"/>
      <c r="AK407" s="357"/>
      <c r="AL407" s="357"/>
      <c r="AM407" s="357"/>
      <c r="AN407" s="357"/>
      <c r="AO407" s="357"/>
      <c r="AP407" s="357"/>
      <c r="AQ407" s="357"/>
      <c r="AR407" s="357"/>
      <c r="AS407" s="362"/>
      <c r="AT407" s="360"/>
      <c r="AU407" s="779"/>
      <c r="AV407" s="364"/>
      <c r="AW407" s="364"/>
      <c r="AX407" s="395"/>
      <c r="AY407" s="365"/>
      <c r="AZ407" s="361">
        <f t="shared" si="92"/>
        <v>0</v>
      </c>
      <c r="BA407" s="357"/>
      <c r="BB407" s="362"/>
      <c r="BC407" s="360"/>
      <c r="BD407" s="780"/>
      <c r="BE407" s="381"/>
      <c r="BF407" s="381"/>
      <c r="BG407" s="381"/>
      <c r="BH407" s="381"/>
      <c r="BI407" s="381"/>
      <c r="BJ407" s="381"/>
      <c r="BK407" s="381"/>
      <c r="BL407" s="381"/>
      <c r="BM407" s="381"/>
      <c r="BN407" s="381"/>
      <c r="BO407" s="381"/>
      <c r="BP407" s="381"/>
      <c r="BQ407" s="381"/>
      <c r="BR407" s="381"/>
      <c r="BS407" s="381"/>
      <c r="BT407" s="381"/>
      <c r="BU407" s="381"/>
      <c r="BV407" s="381"/>
      <c r="BW407" s="381"/>
      <c r="BX407" s="381"/>
      <c r="BY407" s="381"/>
      <c r="BZ407" s="381"/>
      <c r="CA407" s="381"/>
      <c r="CB407" s="381"/>
      <c r="CC407" s="381"/>
      <c r="CD407" s="381"/>
      <c r="CE407" s="381"/>
      <c r="CF407" s="381"/>
      <c r="CG407" s="381"/>
      <c r="CH407" s="381"/>
      <c r="CI407" s="382"/>
      <c r="CJ407" s="382"/>
      <c r="CK407" s="382"/>
      <c r="CL407" s="382"/>
      <c r="CM407" s="382"/>
      <c r="CN407" s="382"/>
      <c r="CO407" s="382"/>
      <c r="CP407" s="382"/>
      <c r="CQ407" s="382"/>
      <c r="CR407" s="382"/>
      <c r="CS407" s="382"/>
      <c r="CT407" s="382"/>
      <c r="CU407" s="382"/>
      <c r="CV407" s="382"/>
      <c r="CW407" s="382"/>
      <c r="CX407" s="382"/>
      <c r="CY407" s="382"/>
      <c r="CZ407" s="382"/>
      <c r="DA407" s="382"/>
      <c r="DB407" s="382"/>
      <c r="DC407" s="382"/>
      <c r="DD407" s="382"/>
      <c r="DE407" s="382"/>
      <c r="DF407" s="382"/>
      <c r="DG407" s="382"/>
      <c r="DH407" s="382"/>
      <c r="DI407" s="382"/>
      <c r="DJ407" s="382"/>
      <c r="DK407" s="382"/>
      <c r="DL407" s="382"/>
      <c r="DM407" s="382"/>
      <c r="DN407" s="382"/>
      <c r="DO407" s="383"/>
    </row>
    <row r="408" spans="1:119">
      <c r="A408" s="781"/>
      <c r="B408" s="812"/>
      <c r="C408" s="357"/>
      <c r="D408" s="357"/>
      <c r="E408" s="357"/>
      <c r="F408" s="357"/>
      <c r="G408" s="357"/>
      <c r="H408" s="357"/>
      <c r="I408" s="357"/>
      <c r="J408" s="357"/>
      <c r="K408" s="357"/>
      <c r="L408" s="357"/>
      <c r="M408" s="357"/>
      <c r="N408" s="357"/>
      <c r="O408" s="357"/>
      <c r="P408" s="362"/>
      <c r="Q408" s="362"/>
      <c r="R408" s="362"/>
      <c r="S408" s="362"/>
      <c r="T408" s="360"/>
      <c r="U408" s="659"/>
      <c r="V408" s="659"/>
      <c r="W408" s="659"/>
      <c r="X408" s="357"/>
      <c r="Y408" s="357"/>
      <c r="Z408" s="357"/>
      <c r="AA408" s="357"/>
      <c r="AB408" s="357"/>
      <c r="AC408" s="357"/>
      <c r="AD408" s="357"/>
      <c r="AE408" s="357"/>
      <c r="AF408" s="357"/>
      <c r="AG408" s="357"/>
      <c r="AH408" s="357"/>
      <c r="AI408" s="357"/>
      <c r="AJ408" s="357"/>
      <c r="AK408" s="357"/>
      <c r="AL408" s="357"/>
      <c r="AM408" s="357"/>
      <c r="AN408" s="357"/>
      <c r="AO408" s="357"/>
      <c r="AP408" s="357"/>
      <c r="AQ408" s="357"/>
      <c r="AR408" s="357"/>
      <c r="AS408" s="362"/>
      <c r="AT408" s="360"/>
      <c r="AU408" s="779"/>
      <c r="AV408" s="364"/>
      <c r="AW408" s="364"/>
      <c r="AX408" s="395"/>
      <c r="AY408" s="365"/>
      <c r="AZ408" s="659"/>
      <c r="BA408" s="357"/>
      <c r="BB408" s="362"/>
      <c r="BC408" s="360"/>
      <c r="BD408" s="780"/>
      <c r="BE408" s="381"/>
      <c r="BF408" s="381"/>
      <c r="BG408" s="381"/>
      <c r="BH408" s="381"/>
      <c r="BI408" s="381"/>
      <c r="BJ408" s="381"/>
      <c r="BK408" s="381"/>
      <c r="BL408" s="381"/>
      <c r="BM408" s="381"/>
      <c r="BN408" s="381"/>
      <c r="BO408" s="381"/>
      <c r="BP408" s="381"/>
      <c r="BQ408" s="381"/>
      <c r="BR408" s="381"/>
      <c r="BS408" s="381"/>
      <c r="BT408" s="381"/>
      <c r="BU408" s="381"/>
      <c r="BV408" s="381"/>
      <c r="BW408" s="381"/>
      <c r="BX408" s="381"/>
      <c r="BY408" s="381"/>
      <c r="BZ408" s="381"/>
      <c r="CA408" s="381"/>
      <c r="CB408" s="381"/>
      <c r="CC408" s="381"/>
      <c r="CD408" s="381"/>
      <c r="CE408" s="381"/>
      <c r="CF408" s="381"/>
      <c r="CG408" s="381"/>
      <c r="CH408" s="381"/>
      <c r="CI408" s="382"/>
      <c r="CJ408" s="382"/>
      <c r="CK408" s="382"/>
      <c r="CL408" s="382"/>
      <c r="CM408" s="382"/>
      <c r="CN408" s="382"/>
      <c r="CO408" s="382"/>
      <c r="CP408" s="382"/>
      <c r="CQ408" s="382"/>
      <c r="CR408" s="382"/>
      <c r="CS408" s="382"/>
      <c r="CT408" s="382"/>
      <c r="CU408" s="382"/>
      <c r="CV408" s="382"/>
      <c r="CW408" s="382"/>
      <c r="CX408" s="382"/>
      <c r="CY408" s="382"/>
      <c r="CZ408" s="382"/>
      <c r="DA408" s="382"/>
      <c r="DB408" s="382"/>
      <c r="DC408" s="382"/>
      <c r="DD408" s="382"/>
      <c r="DE408" s="382"/>
      <c r="DF408" s="382"/>
      <c r="DG408" s="382"/>
      <c r="DH408" s="382"/>
      <c r="DI408" s="382"/>
      <c r="DJ408" s="382"/>
      <c r="DK408" s="382"/>
      <c r="DL408" s="382"/>
      <c r="DM408" s="382"/>
      <c r="DN408" s="382"/>
      <c r="DO408" s="383"/>
    </row>
    <row r="409" spans="1:119">
      <c r="A409" s="384"/>
      <c r="B409" s="405"/>
      <c r="C409" s="357"/>
      <c r="D409" s="357"/>
      <c r="E409" s="357"/>
      <c r="F409" s="357"/>
      <c r="G409" s="357"/>
      <c r="H409" s="357"/>
      <c r="I409" s="357"/>
      <c r="J409" s="357"/>
      <c r="K409" s="357"/>
      <c r="L409" s="357"/>
      <c r="M409" s="357"/>
      <c r="N409" s="357"/>
      <c r="O409" s="357"/>
      <c r="P409" s="362"/>
      <c r="Q409" s="362"/>
      <c r="R409" s="362"/>
      <c r="S409" s="362"/>
      <c r="T409" s="360"/>
      <c r="U409" s="361"/>
      <c r="V409" s="361"/>
      <c r="W409" s="361"/>
      <c r="X409" s="357"/>
      <c r="Y409" s="357"/>
      <c r="Z409" s="357"/>
      <c r="AA409" s="357"/>
      <c r="AB409" s="357"/>
      <c r="AC409" s="357"/>
      <c r="AD409" s="357"/>
      <c r="AE409" s="357"/>
      <c r="AF409" s="357"/>
      <c r="AG409" s="357"/>
      <c r="AH409" s="357"/>
      <c r="AI409" s="357"/>
      <c r="AJ409" s="357"/>
      <c r="AK409" s="357"/>
      <c r="AL409" s="357"/>
      <c r="AM409" s="357"/>
      <c r="AN409" s="357"/>
      <c r="AO409" s="357"/>
      <c r="AP409" s="357"/>
      <c r="AQ409" s="357"/>
      <c r="AR409" s="357"/>
      <c r="AS409" s="362"/>
      <c r="AT409" s="360"/>
      <c r="AU409" s="363"/>
      <c r="AV409" s="364"/>
      <c r="AW409" s="364"/>
      <c r="AX409" s="395"/>
      <c r="AY409" s="365"/>
      <c r="AZ409" s="361"/>
      <c r="BA409" s="357"/>
      <c r="BB409" s="362"/>
      <c r="BC409" s="360"/>
      <c r="BD409" s="380"/>
      <c r="BE409" s="381"/>
      <c r="BF409" s="381"/>
      <c r="BG409" s="381"/>
      <c r="BH409" s="381"/>
      <c r="BI409" s="381"/>
      <c r="BJ409" s="381"/>
      <c r="BK409" s="381"/>
      <c r="BL409" s="381"/>
      <c r="BM409" s="381"/>
      <c r="BN409" s="381"/>
      <c r="BO409" s="381"/>
      <c r="BP409" s="381"/>
      <c r="BQ409" s="381"/>
      <c r="BR409" s="381"/>
      <c r="BS409" s="381"/>
      <c r="BT409" s="381"/>
      <c r="BU409" s="381"/>
      <c r="BV409" s="381"/>
      <c r="BW409" s="381"/>
      <c r="BX409" s="381"/>
      <c r="BY409" s="381"/>
      <c r="BZ409" s="381"/>
      <c r="CA409" s="381"/>
      <c r="CB409" s="381"/>
      <c r="CC409" s="381"/>
      <c r="CD409" s="381"/>
      <c r="CE409" s="381"/>
      <c r="CF409" s="381"/>
      <c r="CG409" s="381"/>
      <c r="CH409" s="381"/>
      <c r="CI409" s="382"/>
      <c r="CJ409" s="382"/>
      <c r="CK409" s="382"/>
      <c r="CL409" s="382"/>
      <c r="CM409" s="382"/>
      <c r="CN409" s="382"/>
      <c r="CO409" s="382"/>
      <c r="CP409" s="382"/>
      <c r="CQ409" s="382"/>
      <c r="CR409" s="382"/>
      <c r="CS409" s="382"/>
      <c r="CT409" s="382"/>
      <c r="CU409" s="382"/>
      <c r="CV409" s="382"/>
      <c r="CW409" s="382"/>
      <c r="CX409" s="382"/>
      <c r="CY409" s="382"/>
      <c r="CZ409" s="382"/>
      <c r="DA409" s="382"/>
      <c r="DB409" s="382"/>
      <c r="DC409" s="382"/>
      <c r="DD409" s="382"/>
      <c r="DE409" s="382"/>
      <c r="DF409" s="382"/>
      <c r="DG409" s="382"/>
      <c r="DH409" s="382"/>
      <c r="DI409" s="382"/>
      <c r="DJ409" s="382"/>
      <c r="DK409" s="382"/>
      <c r="DL409" s="382"/>
      <c r="DM409" s="382"/>
      <c r="DN409" s="382"/>
      <c r="DO409" s="383"/>
    </row>
    <row r="410" spans="1:119">
      <c r="A410" s="384"/>
      <c r="B410" s="405"/>
      <c r="C410" s="357"/>
      <c r="D410" s="357"/>
      <c r="E410" s="357"/>
      <c r="F410" s="357"/>
      <c r="G410" s="357"/>
      <c r="H410" s="357"/>
      <c r="I410" s="357"/>
      <c r="J410" s="357"/>
      <c r="K410" s="357"/>
      <c r="L410" s="357"/>
      <c r="M410" s="357"/>
      <c r="N410" s="357"/>
      <c r="O410" s="357"/>
      <c r="P410" s="362"/>
      <c r="Q410" s="362"/>
      <c r="R410" s="362"/>
      <c r="S410" s="362"/>
      <c r="T410" s="360"/>
      <c r="U410" s="361"/>
      <c r="V410" s="361"/>
      <c r="W410" s="361"/>
      <c r="X410" s="357"/>
      <c r="Y410" s="357"/>
      <c r="Z410" s="357"/>
      <c r="AA410" s="357"/>
      <c r="AB410" s="357"/>
      <c r="AC410" s="357"/>
      <c r="AD410" s="357"/>
      <c r="AE410" s="357"/>
      <c r="AF410" s="357"/>
      <c r="AG410" s="357"/>
      <c r="AH410" s="357"/>
      <c r="AI410" s="357"/>
      <c r="AJ410" s="357"/>
      <c r="AK410" s="357"/>
      <c r="AL410" s="357"/>
      <c r="AM410" s="357"/>
      <c r="AN410" s="357"/>
      <c r="AO410" s="357"/>
      <c r="AP410" s="357"/>
      <c r="AQ410" s="357"/>
      <c r="AR410" s="357"/>
      <c r="AS410" s="362"/>
      <c r="AT410" s="360"/>
      <c r="AU410" s="363"/>
      <c r="AV410" s="364"/>
      <c r="AW410" s="364"/>
      <c r="AX410" s="395"/>
      <c r="AY410" s="365"/>
      <c r="AZ410" s="361"/>
      <c r="BA410" s="357"/>
      <c r="BB410" s="362"/>
      <c r="BC410" s="360"/>
      <c r="BD410" s="380"/>
      <c r="BE410" s="381"/>
      <c r="BF410" s="381"/>
      <c r="BG410" s="381"/>
      <c r="BH410" s="381"/>
      <c r="BI410" s="381"/>
      <c r="BJ410" s="381"/>
      <c r="BK410" s="381"/>
      <c r="BL410" s="381"/>
      <c r="BM410" s="381"/>
      <c r="BN410" s="381"/>
      <c r="BO410" s="381"/>
      <c r="BP410" s="381"/>
      <c r="BQ410" s="381"/>
      <c r="BR410" s="381"/>
      <c r="BS410" s="381"/>
      <c r="BT410" s="381"/>
      <c r="BU410" s="381"/>
      <c r="BV410" s="381"/>
      <c r="BW410" s="381"/>
      <c r="BX410" s="381"/>
      <c r="BY410" s="381"/>
      <c r="BZ410" s="381"/>
      <c r="CA410" s="381"/>
      <c r="CB410" s="381"/>
      <c r="CC410" s="381"/>
      <c r="CD410" s="381"/>
      <c r="CE410" s="381"/>
      <c r="CF410" s="381"/>
      <c r="CG410" s="381"/>
      <c r="CH410" s="381"/>
      <c r="CI410" s="382"/>
      <c r="CJ410" s="382"/>
      <c r="CK410" s="382"/>
      <c r="CL410" s="382"/>
      <c r="CM410" s="382"/>
      <c r="CN410" s="382"/>
      <c r="CO410" s="382"/>
      <c r="CP410" s="382"/>
      <c r="CQ410" s="382"/>
      <c r="CR410" s="382"/>
      <c r="CS410" s="382"/>
      <c r="CT410" s="382"/>
      <c r="CU410" s="382"/>
      <c r="CV410" s="382"/>
      <c r="CW410" s="382"/>
      <c r="CX410" s="382"/>
      <c r="CY410" s="382"/>
      <c r="CZ410" s="382"/>
      <c r="DA410" s="382"/>
      <c r="DB410" s="382"/>
      <c r="DC410" s="382"/>
      <c r="DD410" s="382"/>
      <c r="DE410" s="382"/>
      <c r="DF410" s="382"/>
      <c r="DG410" s="382"/>
      <c r="DH410" s="382"/>
      <c r="DI410" s="382"/>
      <c r="DJ410" s="382"/>
      <c r="DK410" s="382"/>
      <c r="DL410" s="382"/>
      <c r="DM410" s="382"/>
      <c r="DN410" s="382"/>
      <c r="DO410" s="383"/>
    </row>
    <row r="411" spans="1:119">
      <c r="A411" s="384"/>
      <c r="B411" s="361"/>
      <c r="C411" s="357"/>
      <c r="D411" s="357"/>
      <c r="E411" s="357"/>
      <c r="F411" s="357"/>
      <c r="G411" s="357"/>
      <c r="H411" s="357"/>
      <c r="I411" s="357"/>
      <c r="J411" s="357"/>
      <c r="K411" s="357"/>
      <c r="L411" s="357"/>
      <c r="M411" s="357"/>
      <c r="N411" s="357"/>
      <c r="O411" s="357"/>
      <c r="P411" s="362"/>
      <c r="Q411" s="362"/>
      <c r="R411" s="362"/>
      <c r="S411" s="362"/>
      <c r="T411" s="367"/>
      <c r="U411" s="361"/>
      <c r="V411" s="361"/>
      <c r="W411" s="361"/>
      <c r="X411" s="357"/>
      <c r="Y411" s="357"/>
      <c r="Z411" s="357"/>
      <c r="AA411" s="357"/>
      <c r="AB411" s="357"/>
      <c r="AC411" s="357"/>
      <c r="AD411" s="357"/>
      <c r="AE411" s="357"/>
      <c r="AF411" s="357"/>
      <c r="AG411" s="357"/>
      <c r="AH411" s="357"/>
      <c r="AI411" s="357"/>
      <c r="AJ411" s="357"/>
      <c r="AK411" s="357"/>
      <c r="AL411" s="357"/>
      <c r="AM411" s="357"/>
      <c r="AN411" s="357"/>
      <c r="AO411" s="357"/>
      <c r="AP411" s="357"/>
      <c r="AQ411" s="357"/>
      <c r="AR411" s="357"/>
      <c r="AS411" s="362"/>
      <c r="AT411" s="360"/>
      <c r="AU411" s="361"/>
      <c r="AV411" s="357"/>
      <c r="AW411" s="357"/>
      <c r="AX411" s="362"/>
      <c r="AY411" s="360"/>
      <c r="AZ411" s="361"/>
      <c r="BA411" s="357"/>
      <c r="BB411" s="362"/>
      <c r="BC411" s="360"/>
      <c r="BD411" s="380"/>
      <c r="BE411" s="381"/>
      <c r="BF411" s="381"/>
      <c r="BG411" s="381"/>
      <c r="BH411" s="381"/>
      <c r="BI411" s="381"/>
      <c r="BJ411" s="381"/>
      <c r="BK411" s="381"/>
      <c r="BL411" s="381"/>
      <c r="BM411" s="381"/>
      <c r="BN411" s="381"/>
      <c r="BO411" s="381"/>
      <c r="BP411" s="381"/>
      <c r="BQ411" s="381"/>
      <c r="BR411" s="381"/>
      <c r="BS411" s="381"/>
      <c r="BT411" s="381"/>
      <c r="BU411" s="381"/>
      <c r="BV411" s="381"/>
      <c r="BW411" s="381"/>
      <c r="BX411" s="381"/>
      <c r="BY411" s="381"/>
      <c r="BZ411" s="381"/>
      <c r="CA411" s="381"/>
      <c r="CB411" s="381"/>
      <c r="CC411" s="381"/>
      <c r="CD411" s="381"/>
      <c r="CE411" s="381"/>
      <c r="CF411" s="381"/>
      <c r="CG411" s="381"/>
      <c r="CH411" s="381"/>
      <c r="CI411" s="382"/>
      <c r="CJ411" s="382"/>
      <c r="CK411" s="382"/>
      <c r="CL411" s="382"/>
      <c r="CM411" s="382"/>
      <c r="CN411" s="382"/>
      <c r="CO411" s="382"/>
      <c r="CP411" s="382"/>
      <c r="CQ411" s="382"/>
      <c r="CR411" s="382"/>
      <c r="CS411" s="382"/>
      <c r="CT411" s="382"/>
      <c r="CU411" s="382"/>
      <c r="CV411" s="382"/>
      <c r="CW411" s="382"/>
      <c r="CX411" s="382"/>
      <c r="CY411" s="382"/>
      <c r="CZ411" s="382"/>
      <c r="DA411" s="382"/>
      <c r="DB411" s="382"/>
      <c r="DC411" s="382"/>
      <c r="DD411" s="382"/>
      <c r="DE411" s="382"/>
      <c r="DF411" s="382"/>
      <c r="DG411" s="382"/>
      <c r="DH411" s="382"/>
      <c r="DI411" s="382"/>
      <c r="DJ411" s="382"/>
      <c r="DK411" s="382"/>
      <c r="DL411" s="382"/>
      <c r="DM411" s="382"/>
      <c r="DN411" s="382"/>
      <c r="DO411" s="383"/>
    </row>
    <row r="412" spans="1:119" ht="18.75">
      <c r="A412" s="384"/>
      <c r="B412" s="385" t="s">
        <v>182</v>
      </c>
      <c r="C412" s="386">
        <f>SUM(C373:C411)</f>
        <v>190</v>
      </c>
      <c r="D412" s="386">
        <f t="shared" ref="D412:BP412" si="93">SUM(D373:D411)</f>
        <v>1960</v>
      </c>
      <c r="E412" s="386">
        <f t="shared" si="93"/>
        <v>112</v>
      </c>
      <c r="F412" s="386">
        <f t="shared" si="93"/>
        <v>0</v>
      </c>
      <c r="G412" s="386">
        <f t="shared" si="93"/>
        <v>0</v>
      </c>
      <c r="H412" s="386">
        <f t="shared" si="93"/>
        <v>371</v>
      </c>
      <c r="I412" s="386">
        <f t="shared" si="93"/>
        <v>0</v>
      </c>
      <c r="J412" s="386">
        <f t="shared" si="93"/>
        <v>0</v>
      </c>
      <c r="K412" s="386">
        <f t="shared" si="93"/>
        <v>0</v>
      </c>
      <c r="L412" s="386">
        <f t="shared" si="93"/>
        <v>0</v>
      </c>
      <c r="M412" s="386">
        <f t="shared" si="93"/>
        <v>0</v>
      </c>
      <c r="N412" s="386">
        <f t="shared" si="93"/>
        <v>0</v>
      </c>
      <c r="O412" s="386">
        <f t="shared" si="93"/>
        <v>0</v>
      </c>
      <c r="P412" s="386">
        <f t="shared" si="93"/>
        <v>0</v>
      </c>
      <c r="Q412" s="386">
        <f t="shared" si="93"/>
        <v>0</v>
      </c>
      <c r="R412" s="386">
        <f t="shared" si="93"/>
        <v>0</v>
      </c>
      <c r="S412" s="386">
        <f t="shared" si="93"/>
        <v>0</v>
      </c>
      <c r="T412" s="386">
        <f t="shared" si="93"/>
        <v>112</v>
      </c>
      <c r="U412" s="386">
        <f t="shared" si="93"/>
        <v>2636</v>
      </c>
      <c r="V412" s="386">
        <f t="shared" si="93"/>
        <v>114</v>
      </c>
      <c r="W412" s="386">
        <f t="shared" si="93"/>
        <v>0</v>
      </c>
      <c r="X412" s="386">
        <f t="shared" si="93"/>
        <v>0</v>
      </c>
      <c r="Y412" s="386">
        <f t="shared" si="93"/>
        <v>0</v>
      </c>
      <c r="Z412" s="386">
        <f t="shared" si="93"/>
        <v>0</v>
      </c>
      <c r="AA412" s="386">
        <f t="shared" si="93"/>
        <v>0</v>
      </c>
      <c r="AB412" s="386">
        <f t="shared" si="93"/>
        <v>0</v>
      </c>
      <c r="AC412" s="386">
        <f t="shared" si="93"/>
        <v>0</v>
      </c>
      <c r="AD412" s="386">
        <f t="shared" si="93"/>
        <v>3657</v>
      </c>
      <c r="AE412" s="386">
        <f t="shared" si="93"/>
        <v>156</v>
      </c>
      <c r="AF412" s="386">
        <f t="shared" si="93"/>
        <v>0</v>
      </c>
      <c r="AG412" s="386">
        <f t="shared" si="93"/>
        <v>351</v>
      </c>
      <c r="AH412" s="386">
        <f t="shared" si="93"/>
        <v>0</v>
      </c>
      <c r="AI412" s="386">
        <f t="shared" si="93"/>
        <v>0</v>
      </c>
      <c r="AJ412" s="386">
        <f t="shared" si="93"/>
        <v>0</v>
      </c>
      <c r="AK412" s="386">
        <f t="shared" si="93"/>
        <v>0</v>
      </c>
      <c r="AL412" s="386">
        <f t="shared" si="93"/>
        <v>0</v>
      </c>
      <c r="AM412" s="386">
        <f t="shared" si="93"/>
        <v>0</v>
      </c>
      <c r="AN412" s="386">
        <f t="shared" si="93"/>
        <v>0</v>
      </c>
      <c r="AO412" s="386">
        <f t="shared" si="93"/>
        <v>0</v>
      </c>
      <c r="AP412" s="386">
        <f t="shared" si="93"/>
        <v>0</v>
      </c>
      <c r="AQ412" s="386">
        <f>ROUND(SUM(AQ373:AQ411),0)</f>
        <v>606</v>
      </c>
      <c r="AR412" s="386">
        <f>ROUND(SUM(AR373:AR411),0)</f>
        <v>18</v>
      </c>
      <c r="AS412" s="386">
        <f>ROUND(SUM(AS373:AS411),0)</f>
        <v>0</v>
      </c>
      <c r="AT412" s="386">
        <f>ROUND(SUM(AT373:AT411),0)</f>
        <v>461</v>
      </c>
      <c r="AU412" s="386">
        <f t="shared" si="93"/>
        <v>968</v>
      </c>
      <c r="AV412" s="386">
        <f t="shared" si="93"/>
        <v>112</v>
      </c>
      <c r="AW412" s="386">
        <f t="shared" si="93"/>
        <v>983</v>
      </c>
      <c r="AX412" s="386">
        <f t="shared" si="93"/>
        <v>0</v>
      </c>
      <c r="AY412" s="386">
        <f t="shared" si="93"/>
        <v>0</v>
      </c>
      <c r="AZ412" s="386">
        <f t="shared" si="93"/>
        <v>3462</v>
      </c>
      <c r="BA412" s="386">
        <f t="shared" si="93"/>
        <v>0</v>
      </c>
      <c r="BB412" s="386">
        <f t="shared" si="93"/>
        <v>0</v>
      </c>
      <c r="BC412" s="386">
        <f t="shared" si="93"/>
        <v>2063</v>
      </c>
      <c r="BD412" s="386">
        <f t="shared" si="93"/>
        <v>0</v>
      </c>
      <c r="BE412" s="386">
        <f t="shared" si="93"/>
        <v>0</v>
      </c>
      <c r="BF412" s="386">
        <f t="shared" si="93"/>
        <v>0</v>
      </c>
      <c r="BG412" s="386">
        <f t="shared" si="93"/>
        <v>0</v>
      </c>
      <c r="BH412" s="386">
        <f t="shared" si="93"/>
        <v>2</v>
      </c>
      <c r="BI412" s="386">
        <f t="shared" si="93"/>
        <v>0</v>
      </c>
      <c r="BJ412" s="386">
        <f t="shared" si="93"/>
        <v>0</v>
      </c>
      <c r="BK412" s="386">
        <f t="shared" si="93"/>
        <v>0</v>
      </c>
      <c r="BL412" s="386">
        <f t="shared" si="93"/>
        <v>0</v>
      </c>
      <c r="BM412" s="386">
        <f t="shared" si="93"/>
        <v>0</v>
      </c>
      <c r="BN412" s="386">
        <f t="shared" si="93"/>
        <v>0</v>
      </c>
      <c r="BO412" s="386">
        <f t="shared" si="93"/>
        <v>0</v>
      </c>
      <c r="BP412" s="386">
        <f t="shared" si="93"/>
        <v>1</v>
      </c>
      <c r="BQ412" s="386">
        <f t="shared" ref="BQ412:DO412" si="94">SUM(BQ373:BQ411)</f>
        <v>0</v>
      </c>
      <c r="BR412" s="386">
        <f t="shared" si="94"/>
        <v>4</v>
      </c>
      <c r="BS412" s="386">
        <f t="shared" si="94"/>
        <v>1</v>
      </c>
      <c r="BT412" s="386">
        <f t="shared" si="94"/>
        <v>2</v>
      </c>
      <c r="BU412" s="386">
        <f t="shared" si="94"/>
        <v>1</v>
      </c>
      <c r="BV412" s="386">
        <f t="shared" si="94"/>
        <v>2</v>
      </c>
      <c r="BW412" s="386">
        <f t="shared" si="94"/>
        <v>4</v>
      </c>
      <c r="BX412" s="386">
        <f t="shared" si="94"/>
        <v>6</v>
      </c>
      <c r="BY412" s="386">
        <f t="shared" si="94"/>
        <v>10</v>
      </c>
      <c r="BZ412" s="386">
        <f t="shared" si="94"/>
        <v>2</v>
      </c>
      <c r="CA412" s="386">
        <f t="shared" si="94"/>
        <v>3</v>
      </c>
      <c r="CB412" s="386">
        <f t="shared" si="94"/>
        <v>0</v>
      </c>
      <c r="CC412" s="386">
        <f t="shared" si="94"/>
        <v>0</v>
      </c>
      <c r="CD412" s="386">
        <f t="shared" si="94"/>
        <v>0</v>
      </c>
      <c r="CE412" s="386">
        <f t="shared" si="94"/>
        <v>0</v>
      </c>
      <c r="CF412" s="386">
        <f t="shared" si="94"/>
        <v>0</v>
      </c>
      <c r="CG412" s="386">
        <f t="shared" si="94"/>
        <v>5</v>
      </c>
      <c r="CH412" s="386">
        <f t="shared" si="94"/>
        <v>0</v>
      </c>
      <c r="CI412" s="386">
        <f t="shared" si="94"/>
        <v>5</v>
      </c>
      <c r="CJ412" s="386">
        <f t="shared" si="94"/>
        <v>0</v>
      </c>
      <c r="CK412" s="386">
        <f t="shared" si="94"/>
        <v>0</v>
      </c>
      <c r="CL412" s="386">
        <f t="shared" si="94"/>
        <v>1</v>
      </c>
      <c r="CM412" s="386">
        <f t="shared" si="94"/>
        <v>0</v>
      </c>
      <c r="CN412" s="386">
        <f t="shared" si="94"/>
        <v>0</v>
      </c>
      <c r="CO412" s="386">
        <f t="shared" si="94"/>
        <v>0</v>
      </c>
      <c r="CP412" s="386">
        <f t="shared" si="94"/>
        <v>2</v>
      </c>
      <c r="CQ412" s="386">
        <f t="shared" si="94"/>
        <v>1</v>
      </c>
      <c r="CR412" s="386">
        <f t="shared" si="94"/>
        <v>0</v>
      </c>
      <c r="CS412" s="386">
        <f t="shared" si="94"/>
        <v>0</v>
      </c>
      <c r="CT412" s="386">
        <f t="shared" si="94"/>
        <v>0</v>
      </c>
      <c r="CU412" s="386">
        <f t="shared" si="94"/>
        <v>1</v>
      </c>
      <c r="CV412" s="386">
        <f t="shared" si="94"/>
        <v>1</v>
      </c>
      <c r="CW412" s="386">
        <f t="shared" si="94"/>
        <v>0</v>
      </c>
      <c r="CX412" s="386">
        <f t="shared" si="94"/>
        <v>0</v>
      </c>
      <c r="CY412" s="386">
        <f t="shared" si="94"/>
        <v>0</v>
      </c>
      <c r="CZ412" s="386">
        <f t="shared" ref="CZ412:DE412" si="95">SUM(CZ373:CZ411)</f>
        <v>0</v>
      </c>
      <c r="DA412" s="386">
        <f t="shared" si="95"/>
        <v>1</v>
      </c>
      <c r="DB412" s="386">
        <f t="shared" si="95"/>
        <v>0</v>
      </c>
      <c r="DC412" s="386">
        <f t="shared" si="95"/>
        <v>0</v>
      </c>
      <c r="DD412" s="386">
        <f t="shared" si="95"/>
        <v>0</v>
      </c>
      <c r="DE412" s="386">
        <f t="shared" si="95"/>
        <v>1</v>
      </c>
      <c r="DF412" s="386">
        <f t="shared" si="94"/>
        <v>0</v>
      </c>
      <c r="DG412" s="386">
        <f t="shared" si="94"/>
        <v>0</v>
      </c>
      <c r="DH412" s="386">
        <f t="shared" si="94"/>
        <v>0</v>
      </c>
      <c r="DI412" s="386">
        <f t="shared" si="94"/>
        <v>0</v>
      </c>
      <c r="DJ412" s="386">
        <f t="shared" si="94"/>
        <v>0</v>
      </c>
      <c r="DK412" s="386">
        <f t="shared" si="94"/>
        <v>0</v>
      </c>
      <c r="DL412" s="386">
        <f t="shared" si="94"/>
        <v>0</v>
      </c>
      <c r="DM412" s="386">
        <f t="shared" si="94"/>
        <v>0</v>
      </c>
      <c r="DN412" s="386">
        <f t="shared" si="94"/>
        <v>57</v>
      </c>
      <c r="DO412" s="386">
        <f t="shared" si="94"/>
        <v>130</v>
      </c>
    </row>
    <row r="413" spans="1:119" ht="18.75">
      <c r="A413" s="406"/>
      <c r="B413" s="407"/>
      <c r="C413" s="408"/>
      <c r="D413" s="409"/>
      <c r="E413" s="409"/>
      <c r="F413" s="409"/>
      <c r="G413" s="409"/>
      <c r="H413" s="409"/>
      <c r="I413" s="409"/>
      <c r="J413" s="409"/>
      <c r="K413" s="409"/>
      <c r="L413" s="409"/>
      <c r="M413" s="409"/>
      <c r="N413" s="409"/>
      <c r="O413" s="409"/>
      <c r="P413" s="410"/>
      <c r="Q413" s="410"/>
      <c r="R413" s="410"/>
      <c r="S413" s="410"/>
      <c r="T413" s="411"/>
      <c r="U413" s="405"/>
      <c r="V413" s="405"/>
      <c r="W413" s="405"/>
      <c r="X413" s="408"/>
      <c r="Y413" s="408"/>
      <c r="Z413" s="408"/>
      <c r="AA413" s="408"/>
      <c r="AB413" s="408"/>
      <c r="AC413" s="408"/>
      <c r="AD413" s="408"/>
      <c r="AE413" s="408"/>
      <c r="AF413" s="408"/>
      <c r="AG413" s="408"/>
      <c r="AH413" s="408"/>
      <c r="AI413" s="408"/>
      <c r="AJ413" s="408"/>
      <c r="AK413" s="408"/>
      <c r="AL413" s="408"/>
      <c r="AM413" s="408"/>
      <c r="AN413" s="408"/>
      <c r="AO413" s="408"/>
      <c r="AP413" s="408"/>
      <c r="AQ413" s="408"/>
      <c r="AR413" s="408"/>
      <c r="AS413" s="412"/>
      <c r="AT413" s="413"/>
      <c r="AU413" s="405"/>
      <c r="AV413" s="408"/>
      <c r="AW413" s="408"/>
      <c r="AX413" s="412"/>
      <c r="AY413" s="413"/>
      <c r="AZ413" s="405"/>
      <c r="BA413" s="408"/>
      <c r="BB413" s="1183"/>
      <c r="BC413" s="413"/>
      <c r="BD413" s="327" t="s">
        <v>215</v>
      </c>
      <c r="BE413" s="327" t="s">
        <v>214</v>
      </c>
      <c r="BF413" s="327" t="s">
        <v>213</v>
      </c>
      <c r="BG413" s="327" t="s">
        <v>1505</v>
      </c>
      <c r="BH413" s="327" t="s">
        <v>1506</v>
      </c>
      <c r="BI413" s="327" t="s">
        <v>212</v>
      </c>
      <c r="BJ413" s="327" t="s">
        <v>352</v>
      </c>
      <c r="BK413" s="327" t="s">
        <v>353</v>
      </c>
      <c r="BL413" s="327" t="s">
        <v>354</v>
      </c>
      <c r="BM413" s="327" t="s">
        <v>355</v>
      </c>
      <c r="BN413" s="327" t="s">
        <v>1507</v>
      </c>
      <c r="BO413" s="327" t="s">
        <v>356</v>
      </c>
      <c r="BP413" s="327" t="s">
        <v>1328</v>
      </c>
      <c r="BQ413" s="327" t="s">
        <v>357</v>
      </c>
      <c r="BR413" s="327" t="s">
        <v>358</v>
      </c>
      <c r="BS413" s="327" t="s">
        <v>359</v>
      </c>
      <c r="BT413" s="327" t="s">
        <v>360</v>
      </c>
      <c r="BU413" s="327" t="s">
        <v>361</v>
      </c>
      <c r="BV413" s="327" t="s">
        <v>377</v>
      </c>
      <c r="BW413" s="327" t="s">
        <v>378</v>
      </c>
      <c r="BX413" s="327" t="s">
        <v>379</v>
      </c>
      <c r="BY413" s="327" t="s">
        <v>380</v>
      </c>
      <c r="BZ413" s="327" t="s">
        <v>1272</v>
      </c>
      <c r="CA413" s="327" t="s">
        <v>1273</v>
      </c>
      <c r="CB413" s="327" t="s">
        <v>1508</v>
      </c>
      <c r="CC413" s="327" t="s">
        <v>1509</v>
      </c>
      <c r="CD413" s="327" t="s">
        <v>1510</v>
      </c>
      <c r="CE413" s="315" t="s">
        <v>211</v>
      </c>
      <c r="CF413" s="315" t="s">
        <v>210</v>
      </c>
      <c r="CG413" s="315" t="s">
        <v>1511</v>
      </c>
      <c r="CH413" s="315" t="s">
        <v>209</v>
      </c>
      <c r="CI413" s="315" t="s">
        <v>208</v>
      </c>
      <c r="CJ413" s="315" t="s">
        <v>207</v>
      </c>
      <c r="CK413" s="315" t="s">
        <v>206</v>
      </c>
      <c r="CL413" s="315" t="s">
        <v>1280</v>
      </c>
      <c r="CM413" s="315" t="s">
        <v>1512</v>
      </c>
      <c r="CN413" s="315" t="s">
        <v>205</v>
      </c>
      <c r="CO413" s="315" t="s">
        <v>1281</v>
      </c>
      <c r="CP413" s="315" t="s">
        <v>1513</v>
      </c>
      <c r="CQ413" s="315" t="s">
        <v>1514</v>
      </c>
      <c r="CR413" s="315" t="s">
        <v>204</v>
      </c>
      <c r="CS413" s="315" t="s">
        <v>203</v>
      </c>
      <c r="CT413" s="315" t="s">
        <v>1515</v>
      </c>
      <c r="CU413" s="315" t="s">
        <v>202</v>
      </c>
      <c r="CV413" s="315" t="s">
        <v>201</v>
      </c>
      <c r="CW413" s="315" t="s">
        <v>200</v>
      </c>
      <c r="CX413" s="315" t="s">
        <v>199</v>
      </c>
      <c r="CY413" s="315" t="s">
        <v>198</v>
      </c>
      <c r="CZ413" s="315" t="s">
        <v>197</v>
      </c>
      <c r="DA413" s="315" t="s">
        <v>1274</v>
      </c>
      <c r="DB413" s="315" t="s">
        <v>1275</v>
      </c>
      <c r="DC413" s="315" t="s">
        <v>1516</v>
      </c>
      <c r="DD413" s="315" t="s">
        <v>1517</v>
      </c>
      <c r="DE413" s="315" t="s">
        <v>1518</v>
      </c>
      <c r="DF413" s="416"/>
      <c r="DG413" s="416"/>
      <c r="DH413" s="416"/>
      <c r="DI413" s="416"/>
      <c r="DJ413" s="416"/>
      <c r="DK413" s="416"/>
      <c r="DL413" s="416"/>
      <c r="DM413" s="416"/>
      <c r="DN413" s="416"/>
      <c r="DO413" s="417"/>
    </row>
    <row r="414" spans="1:119">
      <c r="A414" s="406"/>
      <c r="B414" s="394" t="s">
        <v>258</v>
      </c>
      <c r="C414" s="408"/>
      <c r="D414" s="409"/>
      <c r="E414" s="409"/>
      <c r="F414" s="409"/>
      <c r="G414" s="409"/>
      <c r="H414" s="409"/>
      <c r="I414" s="409"/>
      <c r="J414" s="409"/>
      <c r="K414" s="409"/>
      <c r="L414" s="409"/>
      <c r="M414" s="409"/>
      <c r="N414" s="409"/>
      <c r="O414" s="409"/>
      <c r="P414" s="410"/>
      <c r="Q414" s="410"/>
      <c r="R414" s="410"/>
      <c r="S414" s="410"/>
      <c r="T414" s="411"/>
      <c r="U414" s="405"/>
      <c r="V414" s="405"/>
      <c r="W414" s="405"/>
      <c r="X414" s="408"/>
      <c r="Y414" s="408"/>
      <c r="Z414" s="408"/>
      <c r="AA414" s="408"/>
      <c r="AB414" s="408"/>
      <c r="AC414" s="408"/>
      <c r="AD414" s="408"/>
      <c r="AE414" s="408"/>
      <c r="AF414" s="408"/>
      <c r="AG414" s="408"/>
      <c r="AH414" s="408"/>
      <c r="AI414" s="408"/>
      <c r="AJ414" s="408"/>
      <c r="AK414" s="408"/>
      <c r="AL414" s="408"/>
      <c r="AM414" s="408"/>
      <c r="AN414" s="408"/>
      <c r="AO414" s="408"/>
      <c r="AP414" s="408"/>
      <c r="AQ414" s="408"/>
      <c r="AR414" s="408"/>
      <c r="AS414" s="412"/>
      <c r="AT414" s="413"/>
      <c r="AU414" s="405"/>
      <c r="AV414" s="408"/>
      <c r="AW414" s="408"/>
      <c r="AX414" s="412"/>
      <c r="AY414" s="413"/>
      <c r="AZ414" s="405"/>
      <c r="BA414" s="408"/>
      <c r="BB414" s="1183"/>
      <c r="BC414" s="413"/>
      <c r="BD414" s="414"/>
      <c r="BE414" s="415"/>
      <c r="BF414" s="415"/>
      <c r="BG414" s="415"/>
      <c r="BH414" s="415"/>
      <c r="BI414" s="415"/>
      <c r="BJ414" s="655"/>
      <c r="BK414" s="415"/>
      <c r="BL414" s="415"/>
      <c r="BM414" s="415"/>
      <c r="BN414" s="415"/>
      <c r="BO414" s="415"/>
      <c r="BP414" s="415"/>
      <c r="BQ414" s="415"/>
      <c r="BR414" s="415"/>
      <c r="BS414" s="415"/>
      <c r="BT414" s="415"/>
      <c r="BU414" s="655"/>
      <c r="BV414" s="415"/>
      <c r="BW414" s="415"/>
      <c r="BX414" s="415"/>
      <c r="BY414" s="655"/>
      <c r="BZ414" s="655"/>
      <c r="CA414" s="655"/>
      <c r="CB414" s="415"/>
      <c r="CC414" s="655"/>
      <c r="CD414" s="415"/>
      <c r="CE414" s="415"/>
      <c r="CF414" s="415"/>
      <c r="CG414" s="415"/>
      <c r="CH414" s="415"/>
      <c r="CI414" s="656"/>
      <c r="CJ414" s="416"/>
      <c r="CK414" s="656"/>
      <c r="CL414" s="416"/>
      <c r="CM414" s="656"/>
      <c r="CN414" s="416"/>
      <c r="CO414" s="416"/>
      <c r="CP414" s="416"/>
      <c r="CQ414" s="656"/>
      <c r="CR414" s="656"/>
      <c r="CS414" s="416"/>
      <c r="CT414" s="416"/>
      <c r="CU414" s="416"/>
      <c r="CV414" s="416"/>
      <c r="CW414" s="416"/>
      <c r="CX414" s="656"/>
      <c r="CY414" s="656"/>
      <c r="CZ414" s="416"/>
      <c r="DA414" s="416"/>
      <c r="DB414" s="416"/>
      <c r="DC414" s="416"/>
      <c r="DD414" s="416"/>
      <c r="DE414" s="416"/>
      <c r="DF414" s="416"/>
      <c r="DG414" s="416"/>
      <c r="DH414" s="416"/>
      <c r="DI414" s="416"/>
      <c r="DJ414" s="416"/>
      <c r="DK414" s="416"/>
      <c r="DL414" s="416"/>
      <c r="DM414" s="416"/>
      <c r="DN414" s="416"/>
      <c r="DO414" s="417"/>
    </row>
    <row r="415" spans="1:119">
      <c r="A415" s="406"/>
      <c r="B415" s="366"/>
      <c r="C415" s="408"/>
      <c r="D415" s="409"/>
      <c r="E415" s="409"/>
      <c r="F415" s="409"/>
      <c r="G415" s="409"/>
      <c r="H415" s="409"/>
      <c r="I415" s="409"/>
      <c r="J415" s="409"/>
      <c r="K415" s="409"/>
      <c r="L415" s="409"/>
      <c r="M415" s="409"/>
      <c r="N415" s="409"/>
      <c r="O415" s="409"/>
      <c r="P415" s="410"/>
      <c r="Q415" s="410"/>
      <c r="R415" s="410"/>
      <c r="S415" s="410"/>
      <c r="T415" s="360"/>
      <c r="U415" s="405"/>
      <c r="V415" s="405"/>
      <c r="W415" s="405"/>
      <c r="X415" s="408"/>
      <c r="Y415" s="408"/>
      <c r="Z415" s="408"/>
      <c r="AA415" s="408"/>
      <c r="AB415" s="408"/>
      <c r="AC415" s="408"/>
      <c r="AD415" s="408"/>
      <c r="AE415" s="408"/>
      <c r="AF415" s="408"/>
      <c r="AG415" s="408"/>
      <c r="AH415" s="408"/>
      <c r="AI415" s="408"/>
      <c r="AJ415" s="408"/>
      <c r="AK415" s="408"/>
      <c r="AL415" s="408"/>
      <c r="AM415" s="408"/>
      <c r="AN415" s="408"/>
      <c r="AO415" s="408"/>
      <c r="AP415" s="408"/>
      <c r="AQ415" s="408"/>
      <c r="AR415" s="408"/>
      <c r="AS415" s="412"/>
      <c r="AT415" s="413"/>
      <c r="AU415" s="405"/>
      <c r="AV415" s="408"/>
      <c r="AW415" s="408"/>
      <c r="AX415" s="412"/>
      <c r="AY415" s="413"/>
      <c r="AZ415" s="405"/>
      <c r="BA415" s="408"/>
      <c r="BB415" s="1183"/>
      <c r="BC415" s="365">
        <f t="shared" ref="BC415:BC453" si="96">SUM(AU415:AW415)</f>
        <v>0</v>
      </c>
      <c r="BD415" s="414"/>
      <c r="BE415" s="415"/>
      <c r="BF415" s="415"/>
      <c r="BG415" s="415"/>
      <c r="BH415" s="415"/>
      <c r="BI415" s="415"/>
      <c r="BJ415" s="655"/>
      <c r="BK415" s="415"/>
      <c r="BL415" s="415"/>
      <c r="BM415" s="415"/>
      <c r="BN415" s="415"/>
      <c r="BO415" s="415"/>
      <c r="BP415" s="415"/>
      <c r="BQ415" s="415"/>
      <c r="BR415" s="415"/>
      <c r="BS415" s="415"/>
      <c r="BT415" s="415"/>
      <c r="BU415" s="655"/>
      <c r="BV415" s="415"/>
      <c r="BW415" s="415"/>
      <c r="BX415" s="415"/>
      <c r="BY415" s="655"/>
      <c r="BZ415" s="655"/>
      <c r="CA415" s="655"/>
      <c r="CB415" s="415"/>
      <c r="CC415" s="655"/>
      <c r="CD415" s="415"/>
      <c r="CE415" s="415"/>
      <c r="CF415" s="415"/>
      <c r="CG415" s="415"/>
      <c r="CH415" s="415"/>
      <c r="CI415" s="656"/>
      <c r="CJ415" s="416"/>
      <c r="CK415" s="656"/>
      <c r="CL415" s="416"/>
      <c r="CM415" s="656"/>
      <c r="CN415" s="416"/>
      <c r="CO415" s="416"/>
      <c r="CP415" s="416"/>
      <c r="CQ415" s="656"/>
      <c r="CR415" s="656"/>
      <c r="CS415" s="416"/>
      <c r="CT415" s="416"/>
      <c r="CU415" s="416"/>
      <c r="CV415" s="416"/>
      <c r="CW415" s="416"/>
      <c r="CX415" s="656"/>
      <c r="CY415" s="656"/>
      <c r="CZ415" s="416"/>
      <c r="DA415" s="416"/>
      <c r="DB415" s="416"/>
      <c r="DC415" s="416"/>
      <c r="DD415" s="416"/>
      <c r="DE415" s="416"/>
      <c r="DF415" s="416"/>
      <c r="DG415" s="416"/>
      <c r="DH415" s="416"/>
      <c r="DI415" s="416"/>
      <c r="DJ415" s="416"/>
      <c r="DK415" s="416"/>
      <c r="DL415" s="416"/>
      <c r="DM415" s="416"/>
      <c r="DN415" s="416"/>
      <c r="DO415" s="417"/>
    </row>
    <row r="416" spans="1:119" ht="18">
      <c r="A416" s="355"/>
      <c r="B416" s="821" t="s">
        <v>1594</v>
      </c>
      <c r="C416" s="459"/>
      <c r="D416" s="459">
        <v>706</v>
      </c>
      <c r="E416" s="358"/>
      <c r="F416" s="375"/>
      <c r="G416" s="358"/>
      <c r="H416" s="358"/>
      <c r="I416" s="358"/>
      <c r="J416" s="369"/>
      <c r="K416" s="358"/>
      <c r="L416" s="358"/>
      <c r="M416" s="358"/>
      <c r="N416" s="358"/>
      <c r="O416" s="358"/>
      <c r="P416" s="359"/>
      <c r="Q416" s="359"/>
      <c r="R416" s="359"/>
      <c r="S416" s="359"/>
      <c r="T416" s="360"/>
      <c r="U416" s="361">
        <f>ROUND(((12.3+7.6+10.4+1.7)*3.8)-(CW300+DE300),0)</f>
        <v>104</v>
      </c>
      <c r="V416" s="361"/>
      <c r="W416" s="361"/>
      <c r="X416" s="357"/>
      <c r="Y416" s="357"/>
      <c r="Z416" s="357"/>
      <c r="AA416" s="357"/>
      <c r="AB416" s="357"/>
      <c r="AC416" s="357"/>
      <c r="AD416" s="357">
        <f>ROUND((333.41*3.5)-(BH300+BP300+(BR300*4)+BS300+BT300+BU300+(BY300*13)+(CA300*6)+CB300+(CC300*7)+(CF300*13)+CG300+(CW300*2)+DB300+DC300+(DD300*3)),0)</f>
        <v>825</v>
      </c>
      <c r="AE416" s="357">
        <f>ROUND((2.4*3.5)*15,0)</f>
        <v>126</v>
      </c>
      <c r="AF416" s="357"/>
      <c r="AG416" s="357"/>
      <c r="AH416" s="357"/>
      <c r="AI416" s="357"/>
      <c r="AJ416" s="357"/>
      <c r="AK416" s="357"/>
      <c r="AL416" s="357"/>
      <c r="AM416" s="357"/>
      <c r="AN416" s="357"/>
      <c r="AO416" s="357"/>
      <c r="AP416" s="357"/>
      <c r="AQ416" s="357">
        <f>(4*3.8)+CY302+DE302</f>
        <v>20.7</v>
      </c>
      <c r="AR416" s="357"/>
      <c r="AS416" s="362"/>
      <c r="AT416" s="360">
        <f>CW301+DE301</f>
        <v>17.8</v>
      </c>
      <c r="AU416" s="397"/>
      <c r="AV416" s="364"/>
      <c r="AW416" s="370">
        <f>D416</f>
        <v>706</v>
      </c>
      <c r="AX416" s="364"/>
      <c r="AY416" s="365"/>
      <c r="AZ416" s="363">
        <f>AD416+AE416</f>
        <v>951</v>
      </c>
      <c r="BA416" s="364"/>
      <c r="BB416" s="395"/>
      <c r="BC416" s="365">
        <f t="shared" si="96"/>
        <v>706</v>
      </c>
      <c r="BD416" s="371"/>
      <c r="BE416" s="358"/>
      <c r="BF416" s="358"/>
      <c r="BG416" s="358"/>
      <c r="BH416" s="358"/>
      <c r="BI416" s="358"/>
      <c r="BJ416" s="358"/>
      <c r="BK416" s="358"/>
      <c r="BL416" s="358"/>
      <c r="BM416" s="358"/>
      <c r="BN416" s="358"/>
      <c r="BO416" s="358"/>
      <c r="BP416" s="358"/>
      <c r="BQ416" s="358"/>
      <c r="BR416" s="358"/>
      <c r="BS416" s="358"/>
      <c r="BT416" s="358"/>
      <c r="BU416" s="358"/>
      <c r="BV416" s="358"/>
      <c r="BW416" s="358"/>
      <c r="BX416" s="358"/>
      <c r="BY416" s="358"/>
      <c r="BZ416" s="358"/>
      <c r="CA416" s="358"/>
      <c r="CB416" s="358"/>
      <c r="CC416" s="358"/>
      <c r="CD416" s="358"/>
      <c r="CE416" s="358"/>
      <c r="CF416" s="358">
        <v>6</v>
      </c>
      <c r="CG416" s="358"/>
      <c r="CH416" s="369"/>
      <c r="CI416" s="400"/>
      <c r="CJ416" s="359"/>
      <c r="CK416" s="359"/>
      <c r="CL416" s="359"/>
      <c r="CM416" s="359"/>
      <c r="CN416" s="359"/>
      <c r="CO416" s="359"/>
      <c r="CP416" s="359"/>
      <c r="CQ416" s="359"/>
      <c r="CR416" s="359"/>
      <c r="CS416" s="359"/>
      <c r="CT416" s="359"/>
      <c r="CU416" s="359"/>
      <c r="CV416" s="359"/>
      <c r="CW416" s="359">
        <v>1</v>
      </c>
      <c r="CX416" s="359"/>
      <c r="CY416" s="359"/>
      <c r="CZ416" s="359"/>
      <c r="DA416" s="359"/>
      <c r="DB416" s="359"/>
      <c r="DC416" s="359"/>
      <c r="DD416" s="359"/>
      <c r="DE416" s="359">
        <v>1</v>
      </c>
      <c r="DF416" s="359"/>
      <c r="DG416" s="359"/>
      <c r="DH416" s="359"/>
      <c r="DI416" s="359"/>
      <c r="DJ416" s="359"/>
      <c r="DK416" s="359"/>
      <c r="DL416" s="359"/>
      <c r="DM416" s="359"/>
      <c r="DN416" s="359"/>
      <c r="DO416" s="367"/>
    </row>
    <row r="417" spans="1:128" ht="18">
      <c r="A417" s="355"/>
      <c r="B417" s="819" t="s">
        <v>1360</v>
      </c>
      <c r="C417" s="459"/>
      <c r="D417" s="459">
        <v>258</v>
      </c>
      <c r="E417" s="358"/>
      <c r="F417" s="375"/>
      <c r="G417" s="375"/>
      <c r="H417" s="358"/>
      <c r="I417" s="358"/>
      <c r="J417" s="369"/>
      <c r="K417" s="358"/>
      <c r="L417" s="358"/>
      <c r="M417" s="358"/>
      <c r="N417" s="358"/>
      <c r="O417" s="358"/>
      <c r="P417" s="359"/>
      <c r="Q417" s="359"/>
      <c r="R417" s="359"/>
      <c r="S417" s="359"/>
      <c r="T417" s="360"/>
      <c r="U417" s="361">
        <f>ROUND((112.74*3.5)-(CB300+(CG300*7)+DB300+DC300+(DD300*3)),0)</f>
        <v>233</v>
      </c>
      <c r="V417" s="361"/>
      <c r="W417" s="361"/>
      <c r="X417" s="357"/>
      <c r="Y417" s="357"/>
      <c r="Z417" s="357"/>
      <c r="AA417" s="357"/>
      <c r="AB417" s="357"/>
      <c r="AC417" s="357"/>
      <c r="AD417" s="357">
        <f>ROUND((112.74*3.5)-(CB300+(CG300*7)+DB300+DC300+(DD300*3)),0)</f>
        <v>233</v>
      </c>
      <c r="AE417" s="357"/>
      <c r="AF417" s="357"/>
      <c r="AG417" s="357"/>
      <c r="AH417" s="357"/>
      <c r="AI417" s="357"/>
      <c r="AJ417" s="357"/>
      <c r="AK417" s="357"/>
      <c r="AL417" s="357"/>
      <c r="AM417" s="357"/>
      <c r="AN417" s="357"/>
      <c r="AO417" s="357"/>
      <c r="AP417" s="357"/>
      <c r="AQ417" s="357">
        <f>(25*3.5)+CB302+(CG302*7)+DB302+DC302+(DD302*3)</f>
        <v>140.6</v>
      </c>
      <c r="AR417" s="357"/>
      <c r="AS417" s="362"/>
      <c r="AT417" s="360">
        <f>CB301+(CG301*7)+DB301+DC301+(DD301*3)</f>
        <v>146.5</v>
      </c>
      <c r="AU417" s="397">
        <f>D417</f>
        <v>258</v>
      </c>
      <c r="AV417" s="364"/>
      <c r="AW417" s="370"/>
      <c r="AX417" s="364"/>
      <c r="AY417" s="365"/>
      <c r="AZ417" s="363">
        <f t="shared" ref="AZ417:AZ427" si="97">AD417</f>
        <v>233</v>
      </c>
      <c r="BA417" s="364"/>
      <c r="BB417" s="395"/>
      <c r="BC417" s="365">
        <f t="shared" si="96"/>
        <v>258</v>
      </c>
      <c r="BD417" s="371"/>
      <c r="BE417" s="358"/>
      <c r="BF417" s="358"/>
      <c r="BG417" s="358"/>
      <c r="BH417" s="358"/>
      <c r="BI417" s="358"/>
      <c r="BJ417" s="358"/>
      <c r="BK417" s="358"/>
      <c r="BL417" s="358"/>
      <c r="BM417" s="358"/>
      <c r="BN417" s="358"/>
      <c r="BO417" s="358"/>
      <c r="BP417" s="358"/>
      <c r="BQ417" s="358"/>
      <c r="BR417" s="369"/>
      <c r="BS417" s="358"/>
      <c r="BT417" s="358"/>
      <c r="BU417" s="358"/>
      <c r="BV417" s="358"/>
      <c r="BW417" s="358"/>
      <c r="BX417" s="358"/>
      <c r="BY417" s="358"/>
      <c r="BZ417" s="358"/>
      <c r="CA417" s="358"/>
      <c r="CB417" s="358">
        <v>1</v>
      </c>
      <c r="CC417" s="358"/>
      <c r="CD417" s="358"/>
      <c r="CE417" s="358"/>
      <c r="CF417" s="358"/>
      <c r="CG417" s="358">
        <v>7</v>
      </c>
      <c r="CH417" s="369"/>
      <c r="CI417" s="400"/>
      <c r="CJ417" s="359"/>
      <c r="CK417" s="359"/>
      <c r="CL417" s="359"/>
      <c r="CM417" s="359"/>
      <c r="CN417" s="359"/>
      <c r="CO417" s="359"/>
      <c r="CP417" s="359"/>
      <c r="CQ417" s="359"/>
      <c r="CR417" s="359"/>
      <c r="CS417" s="359"/>
      <c r="CT417" s="359"/>
      <c r="CU417" s="359"/>
      <c r="CV417" s="359"/>
      <c r="CW417" s="359"/>
      <c r="CX417" s="359"/>
      <c r="CY417" s="359"/>
      <c r="CZ417" s="359"/>
      <c r="DA417" s="359"/>
      <c r="DB417" s="359">
        <v>1</v>
      </c>
      <c r="DC417" s="359">
        <v>1</v>
      </c>
      <c r="DD417" s="359">
        <v>3</v>
      </c>
      <c r="DE417" s="359"/>
      <c r="DF417" s="359"/>
      <c r="DG417" s="359"/>
      <c r="DH417" s="359"/>
      <c r="DI417" s="359"/>
      <c r="DJ417" s="359"/>
      <c r="DK417" s="359"/>
      <c r="DL417" s="359"/>
      <c r="DM417" s="359"/>
      <c r="DN417" s="359"/>
      <c r="DO417" s="367"/>
    </row>
    <row r="418" spans="1:128" ht="18">
      <c r="A418" s="355"/>
      <c r="B418" s="819" t="s">
        <v>1595</v>
      </c>
      <c r="C418" s="459">
        <v>25</v>
      </c>
      <c r="D418" s="459"/>
      <c r="E418" s="358"/>
      <c r="F418" s="375"/>
      <c r="G418" s="375"/>
      <c r="H418" s="358"/>
      <c r="I418" s="358"/>
      <c r="J418" s="369"/>
      <c r="K418" s="358"/>
      <c r="L418" s="358"/>
      <c r="M418" s="358"/>
      <c r="N418" s="358"/>
      <c r="O418" s="358"/>
      <c r="P418" s="359"/>
      <c r="Q418" s="359"/>
      <c r="R418" s="359"/>
      <c r="S418" s="359"/>
      <c r="T418" s="360"/>
      <c r="U418" s="361">
        <f>ROUND((7*3.5)-CI300,0)</f>
        <v>16</v>
      </c>
      <c r="V418" s="361"/>
      <c r="W418" s="361"/>
      <c r="X418" s="357"/>
      <c r="Y418" s="357"/>
      <c r="Z418" s="357"/>
      <c r="AA418" s="357"/>
      <c r="AB418" s="357"/>
      <c r="AC418" s="357"/>
      <c r="AD418" s="357">
        <f>ROUND((20.4*3.5)-(BH300+CI300),0)</f>
        <v>58</v>
      </c>
      <c r="AE418" s="357"/>
      <c r="AF418" s="357"/>
      <c r="AG418" s="357"/>
      <c r="AH418" s="357"/>
      <c r="AI418" s="357"/>
      <c r="AJ418" s="357"/>
      <c r="AK418" s="357"/>
      <c r="AL418" s="357"/>
      <c r="AM418" s="357"/>
      <c r="AN418" s="357"/>
      <c r="AO418" s="357"/>
      <c r="AP418" s="357"/>
      <c r="AQ418" s="357">
        <f>(2*3.5)+CI302</f>
        <v>10.3</v>
      </c>
      <c r="AR418" s="357"/>
      <c r="AS418" s="362"/>
      <c r="AT418" s="360">
        <f>CI301</f>
        <v>10.199999999999999</v>
      </c>
      <c r="AU418" s="397"/>
      <c r="AV418" s="364"/>
      <c r="AW418" s="370">
        <f>C418</f>
        <v>25</v>
      </c>
      <c r="AX418" s="364"/>
      <c r="AY418" s="365"/>
      <c r="AZ418" s="363">
        <f t="shared" si="97"/>
        <v>58</v>
      </c>
      <c r="BA418" s="364">
        <f t="shared" ref="BA418:BA455" si="98">AC418</f>
        <v>0</v>
      </c>
      <c r="BB418" s="395"/>
      <c r="BC418" s="365">
        <f t="shared" si="96"/>
        <v>25</v>
      </c>
      <c r="BD418" s="371"/>
      <c r="BE418" s="358"/>
      <c r="BF418" s="358"/>
      <c r="BG418" s="358"/>
      <c r="BH418" s="358">
        <v>1</v>
      </c>
      <c r="BI418" s="369"/>
      <c r="BJ418" s="369"/>
      <c r="BK418" s="369"/>
      <c r="BL418" s="358"/>
      <c r="BM418" s="358"/>
      <c r="BN418" s="358"/>
      <c r="BO418" s="358"/>
      <c r="BP418" s="358"/>
      <c r="BQ418" s="358"/>
      <c r="BR418" s="369"/>
      <c r="BS418" s="358"/>
      <c r="BT418" s="358"/>
      <c r="BU418" s="358"/>
      <c r="BV418" s="358"/>
      <c r="BW418" s="358"/>
      <c r="BX418" s="358"/>
      <c r="BY418" s="358"/>
      <c r="BZ418" s="358"/>
      <c r="CA418" s="358"/>
      <c r="CB418" s="358"/>
      <c r="CC418" s="358"/>
      <c r="CD418" s="358"/>
      <c r="CE418" s="358"/>
      <c r="CF418" s="369"/>
      <c r="CG418" s="369"/>
      <c r="CH418" s="369"/>
      <c r="CI418" s="400">
        <v>1</v>
      </c>
      <c r="CJ418" s="359"/>
      <c r="CK418" s="359"/>
      <c r="CL418" s="359"/>
      <c r="CM418" s="359"/>
      <c r="CN418" s="359"/>
      <c r="CO418" s="359"/>
      <c r="CP418" s="359"/>
      <c r="CQ418" s="359"/>
      <c r="CR418" s="359"/>
      <c r="CS418" s="359"/>
      <c r="CT418" s="359"/>
      <c r="CU418" s="359"/>
      <c r="CV418" s="359"/>
      <c r="CW418" s="359"/>
      <c r="CX418" s="359"/>
      <c r="CY418" s="359"/>
      <c r="CZ418" s="359"/>
      <c r="DA418" s="359"/>
      <c r="DB418" s="359"/>
      <c r="DC418" s="359"/>
      <c r="DD418" s="359"/>
      <c r="DE418" s="359"/>
      <c r="DF418" s="359"/>
      <c r="DG418" s="359"/>
      <c r="DH418" s="359"/>
      <c r="DI418" s="359"/>
      <c r="DJ418" s="359"/>
      <c r="DK418" s="359"/>
      <c r="DL418" s="359"/>
      <c r="DM418" s="359"/>
      <c r="DN418" s="359"/>
      <c r="DO418" s="367"/>
    </row>
    <row r="419" spans="1:128" ht="18">
      <c r="A419" s="355"/>
      <c r="B419" s="819" t="s">
        <v>1586</v>
      </c>
      <c r="C419" s="459">
        <v>32</v>
      </c>
      <c r="D419" s="358"/>
      <c r="E419" s="358"/>
      <c r="F419" s="375"/>
      <c r="G419" s="358"/>
      <c r="H419" s="358"/>
      <c r="I419" s="358"/>
      <c r="J419" s="369"/>
      <c r="K419" s="358"/>
      <c r="L419" s="358"/>
      <c r="M419" s="358"/>
      <c r="N419" s="358"/>
      <c r="O419" s="358"/>
      <c r="P419" s="359"/>
      <c r="Q419" s="359"/>
      <c r="R419" s="359"/>
      <c r="S419" s="359"/>
      <c r="T419" s="360"/>
      <c r="U419" s="361">
        <f>ROUND((26.38*3.5)-((BH300*2)+BT300+CG300),0)</f>
        <v>71</v>
      </c>
      <c r="V419" s="361"/>
      <c r="W419" s="361"/>
      <c r="X419" s="357"/>
      <c r="Y419" s="357"/>
      <c r="Z419" s="357"/>
      <c r="AA419" s="357"/>
      <c r="AB419" s="357"/>
      <c r="AC419" s="357"/>
      <c r="AD419" s="357">
        <f>ROUND((26.38*3.5)-((BH300*2)+CG300),0)</f>
        <v>73</v>
      </c>
      <c r="AE419" s="357"/>
      <c r="AF419" s="357"/>
      <c r="AG419" s="357"/>
      <c r="AH419" s="357"/>
      <c r="AI419" s="357"/>
      <c r="AJ419" s="357"/>
      <c r="AK419" s="357"/>
      <c r="AL419" s="357"/>
      <c r="AM419" s="357"/>
      <c r="AN419" s="357"/>
      <c r="AO419" s="357"/>
      <c r="AP419" s="357"/>
      <c r="AQ419" s="357">
        <f>(3*3.5)+(BH302*2)+BT302+CG302</f>
        <v>29.3</v>
      </c>
      <c r="AR419" s="357"/>
      <c r="AS419" s="362"/>
      <c r="AT419" s="360">
        <f>(BH301*2)+BT301+CG301</f>
        <v>15</v>
      </c>
      <c r="AU419" s="397"/>
      <c r="AV419" s="364"/>
      <c r="AW419" s="370">
        <f>C419</f>
        <v>32</v>
      </c>
      <c r="AX419" s="364"/>
      <c r="AY419" s="365"/>
      <c r="AZ419" s="363">
        <f t="shared" si="97"/>
        <v>73</v>
      </c>
      <c r="BA419" s="364">
        <f t="shared" si="98"/>
        <v>0</v>
      </c>
      <c r="BB419" s="395"/>
      <c r="BC419" s="365">
        <f t="shared" si="96"/>
        <v>32</v>
      </c>
      <c r="BD419" s="371"/>
      <c r="BE419" s="358"/>
      <c r="BF419" s="358"/>
      <c r="BG419" s="358"/>
      <c r="BH419" s="358">
        <v>1</v>
      </c>
      <c r="BI419" s="358"/>
      <c r="BJ419" s="358"/>
      <c r="BK419" s="358"/>
      <c r="BL419" s="358"/>
      <c r="BM419" s="358"/>
      <c r="BN419" s="358"/>
      <c r="BO419" s="369"/>
      <c r="BP419" s="358"/>
      <c r="BQ419" s="358"/>
      <c r="BR419" s="358"/>
      <c r="BS419" s="358"/>
      <c r="BT419" s="358"/>
      <c r="BU419" s="358"/>
      <c r="BV419" s="358"/>
      <c r="BW419" s="358"/>
      <c r="BX419" s="358"/>
      <c r="BY419" s="358"/>
      <c r="BZ419" s="358"/>
      <c r="CA419" s="358"/>
      <c r="CB419" s="358"/>
      <c r="CC419" s="358"/>
      <c r="CD419" s="358"/>
      <c r="CE419" s="358"/>
      <c r="CF419" s="358"/>
      <c r="CG419" s="358">
        <v>1</v>
      </c>
      <c r="CH419" s="358"/>
      <c r="CI419" s="359"/>
      <c r="CJ419" s="359"/>
      <c r="CK419" s="359"/>
      <c r="CL419" s="359"/>
      <c r="CM419" s="359"/>
      <c r="CN419" s="359"/>
      <c r="CO419" s="359"/>
      <c r="CP419" s="359"/>
      <c r="CQ419" s="359"/>
      <c r="CR419" s="359"/>
      <c r="CS419" s="359"/>
      <c r="CT419" s="359"/>
      <c r="CU419" s="359"/>
      <c r="CV419" s="359"/>
      <c r="CW419" s="359"/>
      <c r="CX419" s="359"/>
      <c r="CY419" s="359"/>
      <c r="CZ419" s="359"/>
      <c r="DA419" s="359"/>
      <c r="DB419" s="359"/>
      <c r="DC419" s="359"/>
      <c r="DD419" s="359"/>
      <c r="DE419" s="359"/>
      <c r="DF419" s="359"/>
      <c r="DG419" s="359"/>
      <c r="DH419" s="359"/>
      <c r="DI419" s="359"/>
      <c r="DJ419" s="359"/>
      <c r="DK419" s="359"/>
      <c r="DL419" s="359"/>
      <c r="DM419" s="359"/>
      <c r="DN419" s="359"/>
      <c r="DO419" s="367"/>
    </row>
    <row r="420" spans="1:128" s="63" customFormat="1" ht="18">
      <c r="A420" s="373"/>
      <c r="B420" s="819" t="s">
        <v>1596</v>
      </c>
      <c r="C420" s="462">
        <v>14</v>
      </c>
      <c r="D420" s="375"/>
      <c r="E420" s="462"/>
      <c r="F420" s="357"/>
      <c r="G420" s="357"/>
      <c r="H420" s="357"/>
      <c r="I420" s="357"/>
      <c r="J420" s="357"/>
      <c r="K420" s="357"/>
      <c r="L420" s="357"/>
      <c r="M420" s="357"/>
      <c r="N420" s="357"/>
      <c r="O420" s="357"/>
      <c r="P420" s="362"/>
      <c r="Q420" s="362"/>
      <c r="R420" s="362"/>
      <c r="S420" s="362"/>
      <c r="T420" s="360"/>
      <c r="U420" s="361">
        <f>ROUND((15.57*3.5)-BT300,0)</f>
        <v>52</v>
      </c>
      <c r="V420" s="361"/>
      <c r="W420" s="361"/>
      <c r="X420" s="357"/>
      <c r="Y420" s="357"/>
      <c r="Z420" s="357"/>
      <c r="AA420" s="357"/>
      <c r="AB420" s="357"/>
      <c r="AC420" s="357"/>
      <c r="AD420" s="357">
        <f>ROUND((15.57*3.5)-BT300,0)</f>
        <v>52</v>
      </c>
      <c r="AE420" s="357"/>
      <c r="AF420" s="357"/>
      <c r="AG420" s="357"/>
      <c r="AH420" s="357"/>
      <c r="AI420" s="357"/>
      <c r="AJ420" s="357"/>
      <c r="AK420" s="357"/>
      <c r="AL420" s="357"/>
      <c r="AM420" s="357"/>
      <c r="AN420" s="357"/>
      <c r="AO420" s="357"/>
      <c r="AP420" s="357"/>
      <c r="AQ420" s="357">
        <f>BT302</f>
        <v>4.0999999999999996</v>
      </c>
      <c r="AR420" s="357"/>
      <c r="AS420" s="362"/>
      <c r="AT420" s="360">
        <f>BT301</f>
        <v>1.1000000000000001</v>
      </c>
      <c r="AU420" s="374"/>
      <c r="AV420" s="357"/>
      <c r="AW420" s="370">
        <f>C420</f>
        <v>14</v>
      </c>
      <c r="AX420" s="357"/>
      <c r="AY420" s="360"/>
      <c r="AZ420" s="363">
        <f t="shared" si="97"/>
        <v>52</v>
      </c>
      <c r="BA420" s="364">
        <f t="shared" si="98"/>
        <v>0</v>
      </c>
      <c r="BB420" s="395"/>
      <c r="BC420" s="365">
        <f t="shared" si="96"/>
        <v>14</v>
      </c>
      <c r="BD420" s="361"/>
      <c r="BE420" s="357"/>
      <c r="BF420" s="357"/>
      <c r="BG420" s="357"/>
      <c r="BH420" s="357"/>
      <c r="BI420" s="357"/>
      <c r="BJ420" s="357"/>
      <c r="BK420" s="418"/>
      <c r="BL420" s="357"/>
      <c r="BM420" s="357"/>
      <c r="BN420" s="357"/>
      <c r="BO420" s="357"/>
      <c r="BP420" s="357"/>
      <c r="BQ420" s="357"/>
      <c r="BR420" s="357"/>
      <c r="BS420" s="375"/>
      <c r="BT420" s="375">
        <v>1</v>
      </c>
      <c r="BU420" s="375"/>
      <c r="BV420" s="357"/>
      <c r="BW420" s="357"/>
      <c r="BX420" s="357"/>
      <c r="BY420" s="357"/>
      <c r="BZ420" s="357"/>
      <c r="CA420" s="357"/>
      <c r="CB420" s="375"/>
      <c r="CC420" s="375"/>
      <c r="CD420" s="357"/>
      <c r="CE420" s="357"/>
      <c r="CF420" s="375"/>
      <c r="CG420" s="375"/>
      <c r="CH420" s="357"/>
      <c r="CI420" s="362"/>
      <c r="CJ420" s="362"/>
      <c r="CK420" s="362"/>
      <c r="CL420" s="362"/>
      <c r="CM420" s="362"/>
      <c r="CN420" s="362"/>
      <c r="CO420" s="362"/>
      <c r="CP420" s="362"/>
      <c r="CQ420" s="362"/>
      <c r="CR420" s="362"/>
      <c r="CS420" s="362"/>
      <c r="CT420" s="362"/>
      <c r="CU420" s="362"/>
      <c r="CV420" s="362"/>
      <c r="CW420" s="362"/>
      <c r="CX420" s="362"/>
      <c r="CY420" s="362"/>
      <c r="CZ420" s="362"/>
      <c r="DA420" s="362"/>
      <c r="DB420" s="362"/>
      <c r="DC420" s="362"/>
      <c r="DD420" s="362"/>
      <c r="DE420" s="362"/>
      <c r="DF420" s="362"/>
      <c r="DG420" s="362"/>
      <c r="DH420" s="362"/>
      <c r="DI420" s="362"/>
      <c r="DJ420" s="362"/>
      <c r="DK420" s="362"/>
      <c r="DL420" s="362"/>
      <c r="DM420" s="362"/>
      <c r="DN420" s="362"/>
      <c r="DO420" s="360"/>
      <c r="DP420" s="310"/>
      <c r="DQ420" s="310"/>
      <c r="DR420" s="310"/>
      <c r="DS420" s="310"/>
      <c r="DT420" s="310"/>
      <c r="DU420" s="310"/>
      <c r="DV420" s="310"/>
      <c r="DW420" s="310"/>
      <c r="DX420" s="310"/>
    </row>
    <row r="421" spans="1:128" s="63" customFormat="1" ht="18">
      <c r="A421" s="373"/>
      <c r="B421" s="819" t="s">
        <v>1587</v>
      </c>
      <c r="C421" s="462">
        <v>17</v>
      </c>
      <c r="D421" s="375"/>
      <c r="E421" s="462"/>
      <c r="F421" s="357"/>
      <c r="G421" s="357"/>
      <c r="H421" s="357"/>
      <c r="I421" s="357"/>
      <c r="J421" s="357"/>
      <c r="K421" s="357"/>
      <c r="L421" s="357"/>
      <c r="M421" s="357"/>
      <c r="N421" s="357"/>
      <c r="O421" s="357"/>
      <c r="P421" s="362"/>
      <c r="Q421" s="362"/>
      <c r="R421" s="362"/>
      <c r="S421" s="362"/>
      <c r="T421" s="360"/>
      <c r="U421" s="361">
        <f>ROUND((16.4*3.5),0)</f>
        <v>57</v>
      </c>
      <c r="V421" s="361"/>
      <c r="W421" s="361"/>
      <c r="X421" s="357"/>
      <c r="Y421" s="357"/>
      <c r="Z421" s="357"/>
      <c r="AA421" s="357"/>
      <c r="AB421" s="357"/>
      <c r="AC421" s="357"/>
      <c r="AD421" s="357">
        <f>ROUND((19.2*3.5)-BT300,0)</f>
        <v>65</v>
      </c>
      <c r="AE421" s="357"/>
      <c r="AF421" s="357"/>
      <c r="AG421" s="357"/>
      <c r="AH421" s="357"/>
      <c r="AI421" s="357"/>
      <c r="AJ421" s="357"/>
      <c r="AK421" s="357"/>
      <c r="AL421" s="357"/>
      <c r="AM421" s="357"/>
      <c r="AN421" s="357"/>
      <c r="AO421" s="357"/>
      <c r="AP421" s="357"/>
      <c r="AQ421" s="357">
        <f>4*3.5</f>
        <v>14</v>
      </c>
      <c r="AR421" s="357"/>
      <c r="AS421" s="362"/>
      <c r="AT421" s="360"/>
      <c r="AU421" s="374"/>
      <c r="AV421" s="357"/>
      <c r="AW421" s="370">
        <f>C421</f>
        <v>17</v>
      </c>
      <c r="AX421" s="357"/>
      <c r="AY421" s="360"/>
      <c r="AZ421" s="363">
        <f t="shared" si="97"/>
        <v>65</v>
      </c>
      <c r="BA421" s="364">
        <f t="shared" si="98"/>
        <v>0</v>
      </c>
      <c r="BB421" s="395"/>
      <c r="BC421" s="365">
        <f t="shared" si="96"/>
        <v>17</v>
      </c>
      <c r="BD421" s="361"/>
      <c r="BE421" s="375"/>
      <c r="BF421" s="375"/>
      <c r="BG421" s="375"/>
      <c r="BH421" s="357"/>
      <c r="BI421" s="357"/>
      <c r="BJ421" s="357"/>
      <c r="BK421" s="357"/>
      <c r="BL421" s="357"/>
      <c r="BM421" s="357"/>
      <c r="BN421" s="357"/>
      <c r="BO421" s="357"/>
      <c r="BP421" s="357"/>
      <c r="BQ421" s="357"/>
      <c r="BR421" s="357"/>
      <c r="BS421" s="375"/>
      <c r="BT421" s="357">
        <v>1</v>
      </c>
      <c r="BU421" s="357"/>
      <c r="BV421" s="357"/>
      <c r="BW421" s="357"/>
      <c r="BX421" s="357"/>
      <c r="BY421" s="357"/>
      <c r="BZ421" s="357"/>
      <c r="CA421" s="357"/>
      <c r="CB421" s="375"/>
      <c r="CC421" s="375"/>
      <c r="CD421" s="375"/>
      <c r="CE421" s="357"/>
      <c r="CF421" s="357"/>
      <c r="CG421" s="357"/>
      <c r="CH421" s="357"/>
      <c r="CI421" s="362"/>
      <c r="CJ421" s="362"/>
      <c r="CK421" s="362"/>
      <c r="CL421" s="362"/>
      <c r="CM421" s="362"/>
      <c r="CN421" s="362"/>
      <c r="CO421" s="362"/>
      <c r="CP421" s="362"/>
      <c r="CQ421" s="362"/>
      <c r="CR421" s="362"/>
      <c r="CS421" s="362"/>
      <c r="CT421" s="362"/>
      <c r="CU421" s="362"/>
      <c r="CV421" s="362"/>
      <c r="CW421" s="362"/>
      <c r="CX421" s="362"/>
      <c r="CY421" s="362"/>
      <c r="CZ421" s="362"/>
      <c r="DA421" s="362"/>
      <c r="DB421" s="362"/>
      <c r="DC421" s="362"/>
      <c r="DD421" s="362"/>
      <c r="DE421" s="362"/>
      <c r="DF421" s="362"/>
      <c r="DG421" s="362"/>
      <c r="DH421" s="362"/>
      <c r="DI421" s="362"/>
      <c r="DJ421" s="362"/>
      <c r="DK421" s="362"/>
      <c r="DL421" s="362"/>
      <c r="DM421" s="362"/>
      <c r="DN421" s="362"/>
      <c r="DO421" s="360"/>
      <c r="DP421" s="310"/>
      <c r="DQ421" s="310"/>
      <c r="DR421" s="310"/>
      <c r="DS421" s="310"/>
      <c r="DT421" s="310"/>
      <c r="DU421" s="310"/>
      <c r="DV421" s="310"/>
      <c r="DW421" s="310"/>
      <c r="DX421" s="310"/>
    </row>
    <row r="422" spans="1:128" s="63" customFormat="1" ht="18">
      <c r="A422" s="373"/>
      <c r="B422" s="819" t="s">
        <v>1588</v>
      </c>
      <c r="C422" s="462"/>
      <c r="D422" s="460"/>
      <c r="E422" s="462">
        <v>40</v>
      </c>
      <c r="F422" s="357"/>
      <c r="G422" s="357"/>
      <c r="H422" s="357"/>
      <c r="I422" s="357"/>
      <c r="J422" s="357"/>
      <c r="K422" s="357"/>
      <c r="L422" s="357"/>
      <c r="M422" s="357"/>
      <c r="N422" s="357"/>
      <c r="O422" s="357"/>
      <c r="P422" s="362"/>
      <c r="Q422" s="362"/>
      <c r="R422" s="362"/>
      <c r="S422" s="362"/>
      <c r="T422" s="360"/>
      <c r="U422" s="361">
        <f>ROUND((34.77*3.6)-(BR300+CP300),0)</f>
        <v>120</v>
      </c>
      <c r="V422" s="361"/>
      <c r="W422" s="361"/>
      <c r="X422" s="357"/>
      <c r="Y422" s="357"/>
      <c r="Z422" s="357"/>
      <c r="AA422" s="357"/>
      <c r="AB422" s="357"/>
      <c r="AC422" s="357"/>
      <c r="AD422" s="357">
        <f>ROUND((34*3.5)-(BR300+CP300),0)</f>
        <v>114</v>
      </c>
      <c r="AE422" s="357"/>
      <c r="AF422" s="357"/>
      <c r="AG422" s="357">
        <f>AD422</f>
        <v>114</v>
      </c>
      <c r="AH422" s="357"/>
      <c r="AI422" s="357"/>
      <c r="AJ422" s="357"/>
      <c r="AK422" s="357"/>
      <c r="AL422" s="357"/>
      <c r="AM422" s="357"/>
      <c r="AN422" s="357"/>
      <c r="AO422" s="357"/>
      <c r="AP422" s="357"/>
      <c r="AQ422" s="357">
        <f>ROUND((16*4.7)+BR302+CP302,0)</f>
        <v>82</v>
      </c>
      <c r="AR422" s="357"/>
      <c r="AS422" s="362"/>
      <c r="AT422" s="360">
        <f>ROUND(BR301+CP301,0)</f>
        <v>6</v>
      </c>
      <c r="AU422" s="374"/>
      <c r="AV422" s="357">
        <f>E422</f>
        <v>40</v>
      </c>
      <c r="AW422" s="357"/>
      <c r="AX422" s="357"/>
      <c r="AY422" s="360"/>
      <c r="AZ422" s="363"/>
      <c r="BA422" s="364"/>
      <c r="BB422" s="395"/>
      <c r="BC422" s="365">
        <f t="shared" si="96"/>
        <v>40</v>
      </c>
      <c r="BD422" s="361"/>
      <c r="BE422" s="357"/>
      <c r="BF422" s="375"/>
      <c r="BG422" s="357"/>
      <c r="BH422" s="357"/>
      <c r="BI422" s="357"/>
      <c r="BJ422" s="357"/>
      <c r="BK422" s="357"/>
      <c r="BL422" s="357"/>
      <c r="BM422" s="357"/>
      <c r="BN422" s="357"/>
      <c r="BO422" s="357"/>
      <c r="BP422" s="357"/>
      <c r="BQ422" s="357"/>
      <c r="BR422" s="357">
        <v>1</v>
      </c>
      <c r="BS422" s="375"/>
      <c r="BT422" s="357"/>
      <c r="BU422" s="357"/>
      <c r="BV422" s="357"/>
      <c r="BW422" s="357"/>
      <c r="BX422" s="357"/>
      <c r="BY422" s="357"/>
      <c r="BZ422" s="357"/>
      <c r="CA422" s="357"/>
      <c r="CB422" s="375"/>
      <c r="CC422" s="375"/>
      <c r="CD422" s="375"/>
      <c r="CE422" s="357"/>
      <c r="CF422" s="357"/>
      <c r="CG422" s="357"/>
      <c r="CH422" s="357"/>
      <c r="CI422" s="362"/>
      <c r="CJ422" s="362"/>
      <c r="CK422" s="362"/>
      <c r="CL422" s="362"/>
      <c r="CM422" s="362"/>
      <c r="CN422" s="362"/>
      <c r="CO422" s="362"/>
      <c r="CP422" s="362">
        <v>1</v>
      </c>
      <c r="CQ422" s="362"/>
      <c r="CR422" s="362"/>
      <c r="CS422" s="362"/>
      <c r="CT422" s="362"/>
      <c r="CU422" s="362"/>
      <c r="CV422" s="362"/>
      <c r="CW422" s="362"/>
      <c r="CX422" s="362"/>
      <c r="CY422" s="362"/>
      <c r="CZ422" s="362"/>
      <c r="DA422" s="362"/>
      <c r="DB422" s="362"/>
      <c r="DC422" s="362"/>
      <c r="DD422" s="362"/>
      <c r="DE422" s="362"/>
      <c r="DF422" s="362"/>
      <c r="DG422" s="362"/>
      <c r="DH422" s="362"/>
      <c r="DI422" s="362"/>
      <c r="DJ422" s="362"/>
      <c r="DK422" s="362"/>
      <c r="DL422" s="362"/>
      <c r="DM422" s="362"/>
      <c r="DN422" s="362"/>
      <c r="DO422" s="360"/>
      <c r="DP422" s="310"/>
      <c r="DQ422" s="310"/>
      <c r="DR422" s="310"/>
      <c r="DS422" s="310"/>
      <c r="DT422" s="310"/>
      <c r="DU422" s="310"/>
      <c r="DV422" s="310"/>
      <c r="DW422" s="310"/>
      <c r="DX422" s="310"/>
    </row>
    <row r="423" spans="1:128" s="63" customFormat="1" ht="18">
      <c r="A423" s="373"/>
      <c r="B423" s="819" t="s">
        <v>1589</v>
      </c>
      <c r="C423" s="462"/>
      <c r="D423" s="460"/>
      <c r="E423" s="462">
        <v>18</v>
      </c>
      <c r="F423" s="357"/>
      <c r="G423" s="357"/>
      <c r="H423" s="357"/>
      <c r="I423" s="357"/>
      <c r="J423" s="357"/>
      <c r="K423" s="357"/>
      <c r="L423" s="357"/>
      <c r="M423" s="357"/>
      <c r="N423" s="357"/>
      <c r="O423" s="357"/>
      <c r="P423" s="362"/>
      <c r="Q423" s="362"/>
      <c r="R423" s="362"/>
      <c r="S423" s="362"/>
      <c r="T423" s="360"/>
      <c r="U423" s="361">
        <f>ROUND((17.2*3.6)-(BR300+CP300),0)</f>
        <v>57</v>
      </c>
      <c r="V423" s="361"/>
      <c r="W423" s="361"/>
      <c r="X423" s="357"/>
      <c r="Y423" s="357"/>
      <c r="Z423" s="357"/>
      <c r="AA423" s="357"/>
      <c r="AB423" s="357"/>
      <c r="AC423" s="357"/>
      <c r="AD423" s="357">
        <f>ROUND((18*3.5)-(BR300+CP300),0)</f>
        <v>58</v>
      </c>
      <c r="AE423" s="357"/>
      <c r="AF423" s="357"/>
      <c r="AG423" s="357">
        <f>AD423</f>
        <v>58</v>
      </c>
      <c r="AH423" s="357"/>
      <c r="AI423" s="357"/>
      <c r="AJ423" s="357"/>
      <c r="AK423" s="357"/>
      <c r="AL423" s="357"/>
      <c r="AM423" s="357"/>
      <c r="AN423" s="357"/>
      <c r="AO423" s="357"/>
      <c r="AP423" s="357"/>
      <c r="AQ423" s="357">
        <f>ROUND((3*4.7)+BR302+CP302,0)</f>
        <v>21</v>
      </c>
      <c r="AR423" s="357"/>
      <c r="AS423" s="362"/>
      <c r="AT423" s="360">
        <f>ROUND(BR301+CP301,0)</f>
        <v>6</v>
      </c>
      <c r="AU423" s="374"/>
      <c r="AV423" s="357">
        <f>E423</f>
        <v>18</v>
      </c>
      <c r="AW423" s="357"/>
      <c r="AX423" s="357"/>
      <c r="AY423" s="360"/>
      <c r="AZ423" s="363"/>
      <c r="BA423" s="364"/>
      <c r="BB423" s="395"/>
      <c r="BC423" s="365">
        <f t="shared" si="96"/>
        <v>18</v>
      </c>
      <c r="BD423" s="361"/>
      <c r="BE423" s="375"/>
      <c r="BF423" s="357"/>
      <c r="BG423" s="357"/>
      <c r="BH423" s="357"/>
      <c r="BI423" s="357"/>
      <c r="BJ423" s="357"/>
      <c r="BK423" s="357"/>
      <c r="BL423" s="357"/>
      <c r="BM423" s="357"/>
      <c r="BN423" s="357"/>
      <c r="BO423" s="357"/>
      <c r="BP423" s="357"/>
      <c r="BQ423" s="357"/>
      <c r="BR423" s="357">
        <v>1</v>
      </c>
      <c r="BS423" s="375"/>
      <c r="BT423" s="357"/>
      <c r="BU423" s="357"/>
      <c r="BV423" s="357"/>
      <c r="BW423" s="357"/>
      <c r="BX423" s="357"/>
      <c r="BY423" s="357"/>
      <c r="BZ423" s="357"/>
      <c r="CA423" s="357"/>
      <c r="CB423" s="375"/>
      <c r="CC423" s="375"/>
      <c r="CD423" s="375"/>
      <c r="CE423" s="375"/>
      <c r="CF423" s="357"/>
      <c r="CG423" s="357"/>
      <c r="CH423" s="357"/>
      <c r="CI423" s="362"/>
      <c r="CJ423" s="362"/>
      <c r="CK423" s="362"/>
      <c r="CL423" s="362"/>
      <c r="CM423" s="362"/>
      <c r="CN423" s="362"/>
      <c r="CO423" s="362"/>
      <c r="CP423" s="362">
        <v>1</v>
      </c>
      <c r="CQ423" s="362"/>
      <c r="CR423" s="362"/>
      <c r="CS423" s="362"/>
      <c r="CT423" s="362"/>
      <c r="CU423" s="362"/>
      <c r="CV423" s="362"/>
      <c r="CW423" s="362"/>
      <c r="CX423" s="362"/>
      <c r="CY423" s="362"/>
      <c r="CZ423" s="362"/>
      <c r="DA423" s="362"/>
      <c r="DB423" s="362"/>
      <c r="DC423" s="362"/>
      <c r="DD423" s="362"/>
      <c r="DE423" s="362"/>
      <c r="DF423" s="362"/>
      <c r="DG423" s="362"/>
      <c r="DH423" s="362"/>
      <c r="DI423" s="362"/>
      <c r="DJ423" s="362"/>
      <c r="DK423" s="362"/>
      <c r="DL423" s="362"/>
      <c r="DM423" s="362"/>
      <c r="DN423" s="362"/>
      <c r="DO423" s="360"/>
      <c r="DP423" s="310"/>
      <c r="DQ423" s="310"/>
      <c r="DR423" s="310"/>
      <c r="DS423" s="310"/>
      <c r="DT423" s="310"/>
      <c r="DU423" s="310"/>
      <c r="DV423" s="310"/>
      <c r="DW423" s="310"/>
      <c r="DX423" s="310"/>
    </row>
    <row r="424" spans="1:128" s="63" customFormat="1" ht="18">
      <c r="A424" s="376"/>
      <c r="B424" s="819" t="s">
        <v>1590</v>
      </c>
      <c r="C424" s="459"/>
      <c r="D424" s="459"/>
      <c r="E424" s="460">
        <v>6</v>
      </c>
      <c r="F424" s="357"/>
      <c r="G424" s="357"/>
      <c r="H424" s="357"/>
      <c r="I424" s="357"/>
      <c r="J424" s="357"/>
      <c r="K424" s="357"/>
      <c r="L424" s="357"/>
      <c r="M424" s="357"/>
      <c r="N424" s="357"/>
      <c r="O424" s="357"/>
      <c r="P424" s="362"/>
      <c r="Q424" s="362"/>
      <c r="R424" s="362"/>
      <c r="S424" s="362"/>
      <c r="T424" s="360"/>
      <c r="U424" s="361">
        <f>ROUND((5.4*3.6)-(BS300+CQ300),0)</f>
        <v>16</v>
      </c>
      <c r="V424" s="361"/>
      <c r="W424" s="361"/>
      <c r="X424" s="357"/>
      <c r="Y424" s="357"/>
      <c r="Z424" s="357"/>
      <c r="AA424" s="357"/>
      <c r="AB424" s="357"/>
      <c r="AC424" s="357"/>
      <c r="AD424" s="357">
        <f>ROUND((10*3.5)-(BS300+CQ300),0)</f>
        <v>31</v>
      </c>
      <c r="AE424" s="357"/>
      <c r="AF424" s="357"/>
      <c r="AG424" s="357">
        <f>AD424</f>
        <v>31</v>
      </c>
      <c r="AH424" s="357"/>
      <c r="AI424" s="357"/>
      <c r="AJ424" s="357"/>
      <c r="AK424" s="357"/>
      <c r="AL424" s="357"/>
      <c r="AM424" s="357"/>
      <c r="AN424" s="357"/>
      <c r="AO424" s="357"/>
      <c r="AP424" s="357"/>
      <c r="AQ424" s="357">
        <f>ROUND(BS302+CQ302,0)</f>
        <v>7</v>
      </c>
      <c r="AR424" s="357"/>
      <c r="AS424" s="362"/>
      <c r="AT424" s="360">
        <f>ROUND(BS301+CQ301,0)</f>
        <v>3</v>
      </c>
      <c r="AU424" s="374"/>
      <c r="AV424" s="357">
        <f>E424</f>
        <v>6</v>
      </c>
      <c r="AW424" s="357"/>
      <c r="AX424" s="357"/>
      <c r="AY424" s="360"/>
      <c r="AZ424" s="363"/>
      <c r="BA424" s="364"/>
      <c r="BB424" s="395"/>
      <c r="BC424" s="365">
        <f t="shared" si="96"/>
        <v>6</v>
      </c>
      <c r="BD424" s="361"/>
      <c r="BE424" s="357"/>
      <c r="BF424" s="357"/>
      <c r="BG424" s="357"/>
      <c r="BH424" s="357"/>
      <c r="BI424" s="357"/>
      <c r="BJ424" s="357"/>
      <c r="BK424" s="375"/>
      <c r="BL424" s="357"/>
      <c r="BM424" s="357"/>
      <c r="BN424" s="357"/>
      <c r="BO424" s="357"/>
      <c r="BP424" s="357"/>
      <c r="BQ424" s="357"/>
      <c r="BR424" s="357"/>
      <c r="BS424" s="375">
        <v>1</v>
      </c>
      <c r="BT424" s="357"/>
      <c r="BU424" s="357"/>
      <c r="BV424" s="357"/>
      <c r="BW424" s="357"/>
      <c r="BX424" s="357"/>
      <c r="BY424" s="357"/>
      <c r="BZ424" s="357"/>
      <c r="CA424" s="357"/>
      <c r="CB424" s="375"/>
      <c r="CC424" s="375"/>
      <c r="CD424" s="357"/>
      <c r="CE424" s="357"/>
      <c r="CF424" s="357"/>
      <c r="CG424" s="357"/>
      <c r="CH424" s="357"/>
      <c r="CI424" s="362"/>
      <c r="CJ424" s="362"/>
      <c r="CK424" s="362"/>
      <c r="CL424" s="362"/>
      <c r="CM424" s="362"/>
      <c r="CN424" s="362"/>
      <c r="CO424" s="362"/>
      <c r="CP424" s="362"/>
      <c r="CQ424" s="362">
        <v>1</v>
      </c>
      <c r="CR424" s="362"/>
      <c r="CS424" s="362"/>
      <c r="CT424" s="362"/>
      <c r="CU424" s="362"/>
      <c r="CV424" s="362"/>
      <c r="CW424" s="362"/>
      <c r="CX424" s="362"/>
      <c r="CY424" s="362"/>
      <c r="CZ424" s="362"/>
      <c r="DA424" s="362"/>
      <c r="DB424" s="362"/>
      <c r="DC424" s="362"/>
      <c r="DD424" s="362"/>
      <c r="DE424" s="362"/>
      <c r="DF424" s="362"/>
      <c r="DG424" s="362"/>
      <c r="DH424" s="362"/>
      <c r="DI424" s="362"/>
      <c r="DJ424" s="362"/>
      <c r="DK424" s="362"/>
      <c r="DL424" s="362"/>
      <c r="DM424" s="362"/>
      <c r="DN424" s="362"/>
      <c r="DO424" s="360"/>
      <c r="DP424" s="310"/>
      <c r="DQ424" s="310"/>
      <c r="DR424" s="310"/>
      <c r="DS424" s="310"/>
      <c r="DT424" s="310"/>
      <c r="DU424" s="310"/>
      <c r="DV424" s="310"/>
      <c r="DW424" s="310"/>
      <c r="DX424" s="310"/>
    </row>
    <row r="425" spans="1:128" s="63" customFormat="1" ht="18">
      <c r="A425" s="373"/>
      <c r="B425" s="819" t="s">
        <v>388</v>
      </c>
      <c r="C425" s="463"/>
      <c r="D425" s="463">
        <v>58</v>
      </c>
      <c r="E425" s="375"/>
      <c r="F425" s="357"/>
      <c r="G425" s="357"/>
      <c r="H425" s="357"/>
      <c r="I425" s="357"/>
      <c r="J425" s="357"/>
      <c r="K425" s="357"/>
      <c r="L425" s="357"/>
      <c r="M425" s="357"/>
      <c r="N425" s="357"/>
      <c r="O425" s="357"/>
      <c r="P425" s="362"/>
      <c r="Q425" s="362"/>
      <c r="R425" s="362"/>
      <c r="S425" s="362"/>
      <c r="T425" s="360"/>
      <c r="U425" s="361">
        <f>ROUND((32.4*3.5)-(BY300+CF300),0)</f>
        <v>101</v>
      </c>
      <c r="V425" s="361"/>
      <c r="W425" s="361"/>
      <c r="X425" s="357"/>
      <c r="Y425" s="357"/>
      <c r="Z425" s="357"/>
      <c r="AA425" s="357"/>
      <c r="AB425" s="357"/>
      <c r="AC425" s="357"/>
      <c r="AD425" s="357">
        <f>ROUND((32.4*3.5)-(BY300+CA300),0)</f>
        <v>107</v>
      </c>
      <c r="AE425" s="357"/>
      <c r="AF425" s="357"/>
      <c r="AG425" s="357"/>
      <c r="AH425" s="357"/>
      <c r="AI425" s="357"/>
      <c r="AJ425" s="357"/>
      <c r="AK425" s="357"/>
      <c r="AL425" s="357"/>
      <c r="AM425" s="357"/>
      <c r="AN425" s="357"/>
      <c r="AO425" s="357"/>
      <c r="AP425" s="357"/>
      <c r="AQ425" s="357">
        <f>(4*3.5)+BY302+CF302</f>
        <v>26.6</v>
      </c>
      <c r="AR425" s="357"/>
      <c r="AS425" s="362"/>
      <c r="AT425" s="360">
        <f>BY301+CF301</f>
        <v>15.219999999999999</v>
      </c>
      <c r="AU425" s="374">
        <f>D425</f>
        <v>58</v>
      </c>
      <c r="AV425" s="357"/>
      <c r="AW425" s="357"/>
      <c r="AX425" s="357"/>
      <c r="AY425" s="360"/>
      <c r="AZ425" s="363">
        <f t="shared" si="97"/>
        <v>107</v>
      </c>
      <c r="BA425" s="364">
        <f t="shared" si="98"/>
        <v>0</v>
      </c>
      <c r="BB425" s="395"/>
      <c r="BC425" s="365">
        <f t="shared" si="96"/>
        <v>58</v>
      </c>
      <c r="BD425" s="361"/>
      <c r="BE425" s="357"/>
      <c r="BF425" s="357"/>
      <c r="BG425" s="357"/>
      <c r="BH425" s="357"/>
      <c r="BI425" s="357"/>
      <c r="BJ425" s="357"/>
      <c r="BK425" s="375"/>
      <c r="BL425" s="357"/>
      <c r="BM425" s="357"/>
      <c r="BN425" s="357"/>
      <c r="BO425" s="357"/>
      <c r="BP425" s="357"/>
      <c r="BQ425" s="357"/>
      <c r="BR425" s="357"/>
      <c r="BS425" s="375"/>
      <c r="BT425" s="357"/>
      <c r="BU425" s="357"/>
      <c r="BV425" s="357"/>
      <c r="BW425" s="357"/>
      <c r="BX425" s="357"/>
      <c r="BY425" s="357">
        <v>1</v>
      </c>
      <c r="BZ425" s="357"/>
      <c r="CA425" s="357"/>
      <c r="CB425" s="375"/>
      <c r="CC425" s="375"/>
      <c r="CD425" s="357"/>
      <c r="CE425" s="357"/>
      <c r="CF425" s="357">
        <v>1</v>
      </c>
      <c r="CG425" s="357"/>
      <c r="CH425" s="357"/>
      <c r="CI425" s="362"/>
      <c r="CJ425" s="362"/>
      <c r="CK425" s="362"/>
      <c r="CL425" s="362"/>
      <c r="CM425" s="362"/>
      <c r="CN425" s="362"/>
      <c r="CO425" s="362"/>
      <c r="CP425" s="362"/>
      <c r="CQ425" s="362"/>
      <c r="CR425" s="362"/>
      <c r="CS425" s="362"/>
      <c r="CT425" s="362"/>
      <c r="CU425" s="362"/>
      <c r="CV425" s="362"/>
      <c r="CW425" s="362"/>
      <c r="CX425" s="362"/>
      <c r="CY425" s="362"/>
      <c r="CZ425" s="362"/>
      <c r="DA425" s="362"/>
      <c r="DB425" s="362"/>
      <c r="DC425" s="362"/>
      <c r="DD425" s="362"/>
      <c r="DE425" s="362"/>
      <c r="DF425" s="362"/>
      <c r="DG425" s="362"/>
      <c r="DH425" s="362"/>
      <c r="DI425" s="362"/>
      <c r="DJ425" s="362"/>
      <c r="DK425" s="362"/>
      <c r="DL425" s="362"/>
      <c r="DM425" s="362"/>
      <c r="DN425" s="362"/>
      <c r="DO425" s="360"/>
      <c r="DP425" s="310"/>
      <c r="DQ425" s="310"/>
      <c r="DR425" s="310"/>
      <c r="DS425" s="310"/>
      <c r="DT425" s="310"/>
      <c r="DU425" s="310"/>
      <c r="DV425" s="310"/>
      <c r="DW425" s="310"/>
      <c r="DX425" s="310"/>
    </row>
    <row r="426" spans="1:128" s="63" customFormat="1" ht="18">
      <c r="A426" s="373"/>
      <c r="B426" s="819" t="s">
        <v>389</v>
      </c>
      <c r="C426" s="463"/>
      <c r="D426" s="375">
        <v>55</v>
      </c>
      <c r="E426" s="375"/>
      <c r="F426" s="357"/>
      <c r="G426" s="357"/>
      <c r="H426" s="357"/>
      <c r="I426" s="357"/>
      <c r="J426" s="357"/>
      <c r="K426" s="357"/>
      <c r="L426" s="357"/>
      <c r="M426" s="357"/>
      <c r="N426" s="357"/>
      <c r="O426" s="357"/>
      <c r="P426" s="362"/>
      <c r="Q426" s="362"/>
      <c r="R426" s="362"/>
      <c r="S426" s="362"/>
      <c r="T426" s="360"/>
      <c r="U426" s="361">
        <f>ROUND((21.8*3.5)-(BY300+(CA300*2)+CF300),0)</f>
        <v>61</v>
      </c>
      <c r="V426" s="361"/>
      <c r="W426" s="361"/>
      <c r="X426" s="357"/>
      <c r="Y426" s="357"/>
      <c r="Z426" s="357"/>
      <c r="AA426" s="357"/>
      <c r="AB426" s="357"/>
      <c r="AC426" s="357"/>
      <c r="AD426" s="357">
        <f>ROUND((31.4*3.5)-(BY300+(CA300*2)),0)</f>
        <v>102</v>
      </c>
      <c r="AE426" s="357"/>
      <c r="AF426" s="357"/>
      <c r="AG426" s="357"/>
      <c r="AH426" s="357"/>
      <c r="AI426" s="357"/>
      <c r="AJ426" s="357"/>
      <c r="AK426" s="357"/>
      <c r="AL426" s="357"/>
      <c r="AM426" s="357"/>
      <c r="AN426" s="357"/>
      <c r="AO426" s="357"/>
      <c r="AP426" s="357"/>
      <c r="AQ426" s="357">
        <f>(4*3.5)+BY302+(CA302*2)+CF302</f>
        <v>30.8</v>
      </c>
      <c r="AR426" s="357"/>
      <c r="AS426" s="362"/>
      <c r="AT426" s="360">
        <f>BY301+(CA301*2)+CF301</f>
        <v>21.22</v>
      </c>
      <c r="AU426" s="374">
        <f t="shared" ref="AU426:AU444" si="99">D426</f>
        <v>55</v>
      </c>
      <c r="AV426" s="357"/>
      <c r="AW426" s="357"/>
      <c r="AX426" s="357"/>
      <c r="AY426" s="360"/>
      <c r="AZ426" s="363">
        <f t="shared" si="97"/>
        <v>102</v>
      </c>
      <c r="BA426" s="364">
        <f t="shared" si="98"/>
        <v>0</v>
      </c>
      <c r="BB426" s="395"/>
      <c r="BC426" s="365">
        <f t="shared" si="96"/>
        <v>55</v>
      </c>
      <c r="BD426" s="361"/>
      <c r="BE426" s="357"/>
      <c r="BF426" s="357"/>
      <c r="BG426" s="357"/>
      <c r="BH426" s="357"/>
      <c r="BI426" s="357"/>
      <c r="BJ426" s="357"/>
      <c r="BK426" s="375"/>
      <c r="BL426" s="357"/>
      <c r="BM426" s="357"/>
      <c r="BN426" s="357"/>
      <c r="BO426" s="357"/>
      <c r="BP426" s="357"/>
      <c r="BQ426" s="357"/>
      <c r="BR426" s="357"/>
      <c r="BS426" s="375"/>
      <c r="BT426" s="357"/>
      <c r="BU426" s="357"/>
      <c r="BV426" s="357"/>
      <c r="BW426" s="357"/>
      <c r="BX426" s="357"/>
      <c r="BY426" s="357">
        <v>1</v>
      </c>
      <c r="BZ426" s="357"/>
      <c r="CA426" s="357">
        <v>2</v>
      </c>
      <c r="CB426" s="375"/>
      <c r="CC426" s="375"/>
      <c r="CD426" s="357"/>
      <c r="CE426" s="357"/>
      <c r="CF426" s="357">
        <v>1</v>
      </c>
      <c r="CG426" s="357"/>
      <c r="CH426" s="357"/>
      <c r="CI426" s="362"/>
      <c r="CJ426" s="362"/>
      <c r="CK426" s="362"/>
      <c r="CL426" s="362"/>
      <c r="CM426" s="362"/>
      <c r="CN426" s="362"/>
      <c r="CO426" s="362"/>
      <c r="CP426" s="362"/>
      <c r="CQ426" s="362"/>
      <c r="CR426" s="362"/>
      <c r="CS426" s="362"/>
      <c r="CT426" s="362"/>
      <c r="CU426" s="362"/>
      <c r="CV426" s="362"/>
      <c r="CW426" s="362"/>
      <c r="CX426" s="362"/>
      <c r="CY426" s="362"/>
      <c r="CZ426" s="362"/>
      <c r="DA426" s="362"/>
      <c r="DB426" s="362"/>
      <c r="DC426" s="362"/>
      <c r="DD426" s="362"/>
      <c r="DE426" s="362"/>
      <c r="DF426" s="362"/>
      <c r="DG426" s="362"/>
      <c r="DH426" s="362"/>
      <c r="DI426" s="362"/>
      <c r="DJ426" s="362"/>
      <c r="DK426" s="362"/>
      <c r="DL426" s="362"/>
      <c r="DM426" s="362"/>
      <c r="DN426" s="362"/>
      <c r="DO426" s="360"/>
      <c r="DP426" s="310"/>
      <c r="DQ426" s="310"/>
      <c r="DR426" s="310"/>
      <c r="DS426" s="310"/>
      <c r="DT426" s="310"/>
      <c r="DU426" s="310"/>
      <c r="DV426" s="310"/>
      <c r="DW426" s="310"/>
      <c r="DX426" s="310"/>
    </row>
    <row r="427" spans="1:128" s="63" customFormat="1" ht="18">
      <c r="A427" s="373"/>
      <c r="B427" s="819" t="s">
        <v>390</v>
      </c>
      <c r="C427" s="463"/>
      <c r="D427" s="375">
        <v>55</v>
      </c>
      <c r="E427" s="463"/>
      <c r="F427" s="357"/>
      <c r="G427" s="357"/>
      <c r="H427" s="357"/>
      <c r="I427" s="357"/>
      <c r="J427" s="357"/>
      <c r="K427" s="357"/>
      <c r="L427" s="357"/>
      <c r="M427" s="357"/>
      <c r="N427" s="357"/>
      <c r="O427" s="357"/>
      <c r="P427" s="362"/>
      <c r="Q427" s="362"/>
      <c r="R427" s="362"/>
      <c r="S427" s="362"/>
      <c r="T427" s="360"/>
      <c r="U427" s="361">
        <f>ROUND((31*3.5)-(BY300+CF300),0)</f>
        <v>97</v>
      </c>
      <c r="V427" s="361"/>
      <c r="W427" s="361"/>
      <c r="X427" s="357"/>
      <c r="Y427" s="357"/>
      <c r="Z427" s="357"/>
      <c r="AA427" s="357"/>
      <c r="AB427" s="357"/>
      <c r="AC427" s="357"/>
      <c r="AD427" s="357">
        <f>ROUND((31*3.5)-(BY300+CF300),0)</f>
        <v>97</v>
      </c>
      <c r="AE427" s="357"/>
      <c r="AF427" s="357"/>
      <c r="AG427" s="357"/>
      <c r="AH427" s="357"/>
      <c r="AI427" s="357"/>
      <c r="AJ427" s="357"/>
      <c r="AK427" s="357"/>
      <c r="AL427" s="357"/>
      <c r="AM427" s="357"/>
      <c r="AN427" s="357"/>
      <c r="AO427" s="357"/>
      <c r="AP427" s="357"/>
      <c r="AQ427" s="357">
        <f>(4*3.5)+BY302+CF302</f>
        <v>26.6</v>
      </c>
      <c r="AR427" s="357"/>
      <c r="AS427" s="362"/>
      <c r="AT427" s="360">
        <f>BY301+CF301</f>
        <v>15.219999999999999</v>
      </c>
      <c r="AU427" s="374">
        <f t="shared" si="99"/>
        <v>55</v>
      </c>
      <c r="AV427" s="357"/>
      <c r="AW427" s="357"/>
      <c r="AX427" s="357"/>
      <c r="AY427" s="360"/>
      <c r="AZ427" s="363">
        <f t="shared" si="97"/>
        <v>97</v>
      </c>
      <c r="BA427" s="364">
        <f t="shared" si="98"/>
        <v>0</v>
      </c>
      <c r="BB427" s="395"/>
      <c r="BC427" s="365">
        <f t="shared" si="96"/>
        <v>55</v>
      </c>
      <c r="BD427" s="361"/>
      <c r="BE427" s="357"/>
      <c r="BF427" s="357"/>
      <c r="BG427" s="357"/>
      <c r="BH427" s="357"/>
      <c r="BI427" s="357"/>
      <c r="BJ427" s="357"/>
      <c r="BK427" s="375"/>
      <c r="BL427" s="357"/>
      <c r="BM427" s="357"/>
      <c r="BN427" s="357"/>
      <c r="BO427" s="357"/>
      <c r="BP427" s="357"/>
      <c r="BQ427" s="357"/>
      <c r="BR427" s="357"/>
      <c r="BS427" s="375"/>
      <c r="BT427" s="357"/>
      <c r="BU427" s="357"/>
      <c r="BV427" s="357"/>
      <c r="BW427" s="357"/>
      <c r="BX427" s="357"/>
      <c r="BY427" s="357">
        <v>1</v>
      </c>
      <c r="BZ427" s="357"/>
      <c r="CA427" s="357"/>
      <c r="CB427" s="375"/>
      <c r="CC427" s="375"/>
      <c r="CD427" s="357"/>
      <c r="CE427" s="357"/>
      <c r="CF427" s="357">
        <v>1</v>
      </c>
      <c r="CG427" s="357"/>
      <c r="CH427" s="357"/>
      <c r="CI427" s="362"/>
      <c r="CJ427" s="362"/>
      <c r="CK427" s="362"/>
      <c r="CL427" s="362"/>
      <c r="CM427" s="362"/>
      <c r="CN427" s="362"/>
      <c r="CO427" s="362"/>
      <c r="CP427" s="362"/>
      <c r="CQ427" s="362"/>
      <c r="CR427" s="362"/>
      <c r="CS427" s="362"/>
      <c r="CT427" s="362"/>
      <c r="CU427" s="362"/>
      <c r="CV427" s="362"/>
      <c r="CW427" s="362"/>
      <c r="CX427" s="362"/>
      <c r="CY427" s="362"/>
      <c r="CZ427" s="362"/>
      <c r="DA427" s="362"/>
      <c r="DB427" s="362"/>
      <c r="DC427" s="362"/>
      <c r="DD427" s="362"/>
      <c r="DE427" s="362"/>
      <c r="DF427" s="362"/>
      <c r="DG427" s="362"/>
      <c r="DH427" s="362"/>
      <c r="DI427" s="362"/>
      <c r="DJ427" s="362"/>
      <c r="DK427" s="362"/>
      <c r="DL427" s="362"/>
      <c r="DM427" s="362"/>
      <c r="DN427" s="362"/>
      <c r="DO427" s="360"/>
      <c r="DP427" s="310"/>
      <c r="DQ427" s="310"/>
      <c r="DR427" s="310"/>
      <c r="DS427" s="310"/>
      <c r="DT427" s="310"/>
      <c r="DU427" s="310"/>
      <c r="DV427" s="310"/>
      <c r="DW427" s="310"/>
      <c r="DX427" s="310"/>
    </row>
    <row r="428" spans="1:128" s="63" customFormat="1" ht="18">
      <c r="A428" s="376"/>
      <c r="B428" s="819" t="s">
        <v>391</v>
      </c>
      <c r="C428" s="463"/>
      <c r="D428" s="375">
        <v>58</v>
      </c>
      <c r="E428" s="463"/>
      <c r="F428" s="357"/>
      <c r="G428" s="357"/>
      <c r="H428" s="357"/>
      <c r="I428" s="357"/>
      <c r="J428" s="357"/>
      <c r="K428" s="357"/>
      <c r="L428" s="357"/>
      <c r="M428" s="357"/>
      <c r="N428" s="357"/>
      <c r="O428" s="357"/>
      <c r="P428" s="362"/>
      <c r="Q428" s="362"/>
      <c r="R428" s="362"/>
      <c r="S428" s="362"/>
      <c r="T428" s="360"/>
      <c r="U428" s="361">
        <f>ROUND((21.8*3.5)-(BY300+CF300),0)</f>
        <v>64</v>
      </c>
      <c r="V428" s="361"/>
      <c r="W428" s="361"/>
      <c r="X428" s="357"/>
      <c r="Y428" s="357"/>
      <c r="Z428" s="357"/>
      <c r="AA428" s="357"/>
      <c r="AB428" s="357"/>
      <c r="AC428" s="357"/>
      <c r="AD428" s="357">
        <f>AD425</f>
        <v>107</v>
      </c>
      <c r="AE428" s="357"/>
      <c r="AF428" s="357"/>
      <c r="AG428" s="357"/>
      <c r="AH428" s="357"/>
      <c r="AI428" s="357"/>
      <c r="AJ428" s="357"/>
      <c r="AK428" s="357"/>
      <c r="AL428" s="357"/>
      <c r="AM428" s="357"/>
      <c r="AN428" s="357"/>
      <c r="AO428" s="357"/>
      <c r="AP428" s="357"/>
      <c r="AQ428" s="357">
        <f>(4*3.5)+BY302+CF302</f>
        <v>26.6</v>
      </c>
      <c r="AR428" s="357"/>
      <c r="AS428" s="362"/>
      <c r="AT428" s="360">
        <f>BY301+CF301</f>
        <v>15.219999999999999</v>
      </c>
      <c r="AU428" s="374">
        <f t="shared" si="99"/>
        <v>58</v>
      </c>
      <c r="AV428" s="357"/>
      <c r="AW428" s="357"/>
      <c r="AX428" s="357"/>
      <c r="AY428" s="360"/>
      <c r="AZ428" s="363">
        <f>AD428</f>
        <v>107</v>
      </c>
      <c r="BA428" s="364">
        <f t="shared" si="98"/>
        <v>0</v>
      </c>
      <c r="BB428" s="395"/>
      <c r="BC428" s="365">
        <f t="shared" si="96"/>
        <v>58</v>
      </c>
      <c r="BD428" s="361"/>
      <c r="BE428" s="357"/>
      <c r="BF428" s="357"/>
      <c r="BG428" s="357"/>
      <c r="BH428" s="357"/>
      <c r="BI428" s="357"/>
      <c r="BJ428" s="357"/>
      <c r="BK428" s="375"/>
      <c r="BL428" s="357"/>
      <c r="BM428" s="357"/>
      <c r="BN428" s="357"/>
      <c r="BO428" s="357"/>
      <c r="BP428" s="357"/>
      <c r="BQ428" s="357"/>
      <c r="BR428" s="357"/>
      <c r="BS428" s="375"/>
      <c r="BT428" s="357"/>
      <c r="BU428" s="357"/>
      <c r="BV428" s="357"/>
      <c r="BW428" s="357"/>
      <c r="BX428" s="357"/>
      <c r="BY428" s="357">
        <v>1</v>
      </c>
      <c r="BZ428" s="357"/>
      <c r="CA428" s="357"/>
      <c r="CB428" s="375"/>
      <c r="CC428" s="375"/>
      <c r="CD428" s="357"/>
      <c r="CE428" s="357"/>
      <c r="CF428" s="357">
        <v>1</v>
      </c>
      <c r="CG428" s="357"/>
      <c r="CH428" s="357"/>
      <c r="CI428" s="362"/>
      <c r="CJ428" s="362"/>
      <c r="CK428" s="362"/>
      <c r="CL428" s="362"/>
      <c r="CM428" s="362"/>
      <c r="CN428" s="362"/>
      <c r="CO428" s="362"/>
      <c r="CP428" s="362"/>
      <c r="CQ428" s="362"/>
      <c r="CR428" s="362"/>
      <c r="CS428" s="362"/>
      <c r="CT428" s="362"/>
      <c r="CU428" s="362"/>
      <c r="CV428" s="362"/>
      <c r="CW428" s="362"/>
      <c r="CX428" s="362"/>
      <c r="CY428" s="362"/>
      <c r="CZ428" s="362"/>
      <c r="DA428" s="362"/>
      <c r="DB428" s="362"/>
      <c r="DC428" s="362"/>
      <c r="DD428" s="362"/>
      <c r="DE428" s="362"/>
      <c r="DF428" s="362"/>
      <c r="DG428" s="362"/>
      <c r="DH428" s="362"/>
      <c r="DI428" s="362"/>
      <c r="DJ428" s="362"/>
      <c r="DK428" s="362"/>
      <c r="DL428" s="362"/>
      <c r="DM428" s="362"/>
      <c r="DN428" s="362"/>
      <c r="DO428" s="360"/>
      <c r="DP428" s="310"/>
      <c r="DQ428" s="310"/>
      <c r="DR428" s="310"/>
      <c r="DS428" s="310"/>
      <c r="DT428" s="310"/>
      <c r="DU428" s="310"/>
      <c r="DV428" s="310"/>
      <c r="DW428" s="310"/>
      <c r="DX428" s="310"/>
    </row>
    <row r="429" spans="1:128" ht="18">
      <c r="A429" s="403"/>
      <c r="B429" s="819" t="s">
        <v>392</v>
      </c>
      <c r="C429" s="357"/>
      <c r="D429" s="357">
        <v>55</v>
      </c>
      <c r="E429" s="357"/>
      <c r="F429" s="357"/>
      <c r="G429" s="357"/>
      <c r="H429" s="357"/>
      <c r="I429" s="357"/>
      <c r="J429" s="357"/>
      <c r="K429" s="357"/>
      <c r="L429" s="357"/>
      <c r="M429" s="357"/>
      <c r="N429" s="357"/>
      <c r="O429" s="357"/>
      <c r="P429" s="362"/>
      <c r="Q429" s="362"/>
      <c r="R429" s="362"/>
      <c r="S429" s="362"/>
      <c r="T429" s="360"/>
      <c r="U429" s="361">
        <f>U426</f>
        <v>61</v>
      </c>
      <c r="V429" s="361"/>
      <c r="W429" s="361"/>
      <c r="X429" s="357"/>
      <c r="Y429" s="357"/>
      <c r="Z429" s="357"/>
      <c r="AA429" s="357"/>
      <c r="AB429" s="357"/>
      <c r="AC429" s="357"/>
      <c r="AD429" s="357">
        <f>AD426</f>
        <v>102</v>
      </c>
      <c r="AE429" s="357"/>
      <c r="AF429" s="357"/>
      <c r="AG429" s="357"/>
      <c r="AH429" s="357"/>
      <c r="AI429" s="357"/>
      <c r="AJ429" s="357"/>
      <c r="AK429" s="357"/>
      <c r="AL429" s="357"/>
      <c r="AM429" s="357"/>
      <c r="AN429" s="357"/>
      <c r="AO429" s="357"/>
      <c r="AP429" s="357"/>
      <c r="AQ429" s="357">
        <f>AQ426</f>
        <v>30.8</v>
      </c>
      <c r="AR429" s="357"/>
      <c r="AS429" s="362"/>
      <c r="AT429" s="360">
        <f>AT426</f>
        <v>21.22</v>
      </c>
      <c r="AU429" s="374">
        <f t="shared" si="99"/>
        <v>55</v>
      </c>
      <c r="AV429" s="364"/>
      <c r="AW429" s="364"/>
      <c r="AX429" s="395"/>
      <c r="AY429" s="365"/>
      <c r="AZ429" s="363">
        <f t="shared" ref="AZ429:AZ455" si="100">AD429</f>
        <v>102</v>
      </c>
      <c r="BA429" s="364">
        <f t="shared" si="98"/>
        <v>0</v>
      </c>
      <c r="BB429" s="395"/>
      <c r="BC429" s="365">
        <f t="shared" si="96"/>
        <v>55</v>
      </c>
      <c r="BD429" s="380"/>
      <c r="BE429" s="381"/>
      <c r="BF429" s="381"/>
      <c r="BG429" s="381"/>
      <c r="BH429" s="381"/>
      <c r="BI429" s="381"/>
      <c r="BJ429" s="381"/>
      <c r="BK429" s="381"/>
      <c r="BL429" s="381"/>
      <c r="BM429" s="381"/>
      <c r="BN429" s="381"/>
      <c r="BO429" s="381"/>
      <c r="BP429" s="381"/>
      <c r="BQ429" s="381"/>
      <c r="BR429" s="381"/>
      <c r="BS429" s="381"/>
      <c r="BT429" s="381"/>
      <c r="BU429" s="381"/>
      <c r="BV429" s="381"/>
      <c r="BW429" s="381"/>
      <c r="BX429" s="381"/>
      <c r="BY429" s="357">
        <v>1</v>
      </c>
      <c r="BZ429" s="357"/>
      <c r="CA429" s="357">
        <v>2</v>
      </c>
      <c r="CB429" s="375"/>
      <c r="CC429" s="375"/>
      <c r="CD429" s="357"/>
      <c r="CE429" s="357"/>
      <c r="CF429" s="357">
        <v>1</v>
      </c>
      <c r="CG429" s="381"/>
      <c r="CH429" s="381"/>
      <c r="CI429" s="382"/>
      <c r="CJ429" s="382"/>
      <c r="CK429" s="382"/>
      <c r="CL429" s="382"/>
      <c r="CM429" s="382"/>
      <c r="CN429" s="382"/>
      <c r="CO429" s="382"/>
      <c r="CP429" s="382"/>
      <c r="CQ429" s="382"/>
      <c r="CR429" s="382"/>
      <c r="CS429" s="382"/>
      <c r="CT429" s="382"/>
      <c r="CU429" s="382"/>
      <c r="CV429" s="382"/>
      <c r="CW429" s="382"/>
      <c r="CX429" s="382"/>
      <c r="CY429" s="382"/>
      <c r="CZ429" s="382"/>
      <c r="DA429" s="382"/>
      <c r="DB429" s="382"/>
      <c r="DC429" s="382"/>
      <c r="DD429" s="382"/>
      <c r="DE429" s="382"/>
      <c r="DF429" s="382"/>
      <c r="DG429" s="382"/>
      <c r="DH429" s="382"/>
      <c r="DI429" s="382"/>
      <c r="DJ429" s="382"/>
      <c r="DK429" s="382"/>
      <c r="DL429" s="382"/>
      <c r="DM429" s="382"/>
      <c r="DN429" s="400"/>
      <c r="DO429" s="383"/>
    </row>
    <row r="430" spans="1:128" ht="18">
      <c r="A430" s="813"/>
      <c r="B430" s="819" t="s">
        <v>393</v>
      </c>
      <c r="C430" s="408"/>
      <c r="D430" s="408">
        <v>55</v>
      </c>
      <c r="E430" s="408"/>
      <c r="F430" s="408"/>
      <c r="G430" s="408"/>
      <c r="H430" s="408"/>
      <c r="I430" s="408"/>
      <c r="J430" s="408"/>
      <c r="K430" s="408"/>
      <c r="L430" s="408"/>
      <c r="M430" s="408"/>
      <c r="N430" s="408"/>
      <c r="O430" s="408"/>
      <c r="P430" s="412"/>
      <c r="Q430" s="412"/>
      <c r="R430" s="412"/>
      <c r="S430" s="412"/>
      <c r="T430" s="360"/>
      <c r="U430" s="405">
        <f>U427</f>
        <v>97</v>
      </c>
      <c r="V430" s="405"/>
      <c r="W430" s="405"/>
      <c r="X430" s="408"/>
      <c r="Y430" s="408"/>
      <c r="Z430" s="408"/>
      <c r="AA430" s="408"/>
      <c r="AB430" s="408"/>
      <c r="AC430" s="408"/>
      <c r="AD430" s="408">
        <f>AD427</f>
        <v>97</v>
      </c>
      <c r="AE430" s="408"/>
      <c r="AF430" s="408"/>
      <c r="AG430" s="408"/>
      <c r="AH430" s="408"/>
      <c r="AI430" s="408"/>
      <c r="AJ430" s="408"/>
      <c r="AK430" s="408"/>
      <c r="AL430" s="408"/>
      <c r="AM430" s="408"/>
      <c r="AN430" s="408"/>
      <c r="AO430" s="408"/>
      <c r="AP430" s="408"/>
      <c r="AQ430" s="408">
        <f>AQ427</f>
        <v>26.6</v>
      </c>
      <c r="AR430" s="408"/>
      <c r="AS430" s="412"/>
      <c r="AT430" s="413">
        <f>AT427</f>
        <v>15.219999999999999</v>
      </c>
      <c r="AU430" s="374">
        <f t="shared" si="99"/>
        <v>55</v>
      </c>
      <c r="AV430" s="815"/>
      <c r="AW430" s="815"/>
      <c r="AX430" s="816"/>
      <c r="AY430" s="817"/>
      <c r="AZ430" s="363">
        <f t="shared" si="100"/>
        <v>97</v>
      </c>
      <c r="BA430" s="364">
        <f t="shared" si="98"/>
        <v>0</v>
      </c>
      <c r="BB430" s="395"/>
      <c r="BC430" s="365">
        <f t="shared" si="96"/>
        <v>55</v>
      </c>
      <c r="BD430" s="414"/>
      <c r="BE430" s="415"/>
      <c r="BF430" s="415"/>
      <c r="BG430" s="415"/>
      <c r="BH430" s="415"/>
      <c r="BI430" s="415"/>
      <c r="BJ430" s="415"/>
      <c r="BK430" s="415"/>
      <c r="BL430" s="415"/>
      <c r="BM430" s="415"/>
      <c r="BN430" s="415"/>
      <c r="BO430" s="415"/>
      <c r="BP430" s="415"/>
      <c r="BQ430" s="415"/>
      <c r="BR430" s="415"/>
      <c r="BS430" s="415"/>
      <c r="BT430" s="415"/>
      <c r="BU430" s="415"/>
      <c r="BV430" s="415"/>
      <c r="BW430" s="415"/>
      <c r="BX430" s="415"/>
      <c r="BY430" s="357">
        <v>1</v>
      </c>
      <c r="BZ430" s="357"/>
      <c r="CA430" s="357"/>
      <c r="CB430" s="375"/>
      <c r="CC430" s="375"/>
      <c r="CD430" s="357"/>
      <c r="CE430" s="357"/>
      <c r="CF430" s="357">
        <v>1</v>
      </c>
      <c r="CG430" s="415"/>
      <c r="CH430" s="415"/>
      <c r="CI430" s="416"/>
      <c r="CJ430" s="416"/>
      <c r="CK430" s="416"/>
      <c r="CL430" s="416"/>
      <c r="CM430" s="416"/>
      <c r="CN430" s="416"/>
      <c r="CO430" s="416"/>
      <c r="CP430" s="416"/>
      <c r="CQ430" s="416"/>
      <c r="CR430" s="416"/>
      <c r="CS430" s="416"/>
      <c r="CT430" s="416"/>
      <c r="CU430" s="416"/>
      <c r="CV430" s="416"/>
      <c r="CW430" s="416"/>
      <c r="CX430" s="416"/>
      <c r="CY430" s="416"/>
      <c r="CZ430" s="416"/>
      <c r="DA430" s="416"/>
      <c r="DB430" s="416"/>
      <c r="DC430" s="416"/>
      <c r="DD430" s="416"/>
      <c r="DE430" s="416"/>
      <c r="DF430" s="416"/>
      <c r="DG430" s="416"/>
      <c r="DH430" s="416"/>
      <c r="DI430" s="416"/>
      <c r="DJ430" s="416"/>
      <c r="DK430" s="416"/>
      <c r="DL430" s="416"/>
      <c r="DM430" s="416"/>
      <c r="DN430" s="818"/>
      <c r="DO430" s="417"/>
    </row>
    <row r="431" spans="1:128" ht="18">
      <c r="A431" s="813"/>
      <c r="B431" s="819" t="s">
        <v>394</v>
      </c>
      <c r="C431" s="408"/>
      <c r="D431" s="408">
        <v>58</v>
      </c>
      <c r="E431" s="408"/>
      <c r="F431" s="408"/>
      <c r="G431" s="408"/>
      <c r="H431" s="408"/>
      <c r="I431" s="408"/>
      <c r="J431" s="408"/>
      <c r="K431" s="408"/>
      <c r="L431" s="408"/>
      <c r="M431" s="408"/>
      <c r="N431" s="408"/>
      <c r="O431" s="408"/>
      <c r="P431" s="412"/>
      <c r="Q431" s="412"/>
      <c r="R431" s="412"/>
      <c r="S431" s="412"/>
      <c r="T431" s="360"/>
      <c r="U431" s="405">
        <f>U428</f>
        <v>64</v>
      </c>
      <c r="V431" s="405"/>
      <c r="W431" s="405"/>
      <c r="X431" s="408"/>
      <c r="Y431" s="408"/>
      <c r="Z431" s="408"/>
      <c r="AA431" s="408"/>
      <c r="AB431" s="408"/>
      <c r="AC431" s="408"/>
      <c r="AD431" s="408">
        <f>AD425</f>
        <v>107</v>
      </c>
      <c r="AE431" s="408"/>
      <c r="AF431" s="408"/>
      <c r="AG431" s="408"/>
      <c r="AH431" s="408"/>
      <c r="AI431" s="408"/>
      <c r="AJ431" s="408"/>
      <c r="AK431" s="408"/>
      <c r="AL431" s="408"/>
      <c r="AM431" s="408"/>
      <c r="AN431" s="408"/>
      <c r="AO431" s="408"/>
      <c r="AP431" s="408"/>
      <c r="AQ431" s="408">
        <f>AQ428</f>
        <v>26.6</v>
      </c>
      <c r="AR431" s="408"/>
      <c r="AS431" s="412"/>
      <c r="AT431" s="413">
        <f>AT428</f>
        <v>15.219999999999999</v>
      </c>
      <c r="AU431" s="374">
        <f t="shared" si="99"/>
        <v>58</v>
      </c>
      <c r="AV431" s="815"/>
      <c r="AW431" s="815"/>
      <c r="AX431" s="816"/>
      <c r="AY431" s="817"/>
      <c r="AZ431" s="363">
        <f t="shared" si="100"/>
        <v>107</v>
      </c>
      <c r="BA431" s="364">
        <f t="shared" si="98"/>
        <v>0</v>
      </c>
      <c r="BB431" s="395"/>
      <c r="BC431" s="365">
        <f t="shared" si="96"/>
        <v>58</v>
      </c>
      <c r="BD431" s="414"/>
      <c r="BE431" s="415"/>
      <c r="BF431" s="415"/>
      <c r="BG431" s="415"/>
      <c r="BH431" s="415"/>
      <c r="BI431" s="415"/>
      <c r="BJ431" s="415"/>
      <c r="BK431" s="415"/>
      <c r="BL431" s="415"/>
      <c r="BM431" s="415"/>
      <c r="BN431" s="415"/>
      <c r="BO431" s="415"/>
      <c r="BP431" s="415"/>
      <c r="BQ431" s="415"/>
      <c r="BR431" s="415"/>
      <c r="BS431" s="415"/>
      <c r="BT431" s="415"/>
      <c r="BU431" s="415"/>
      <c r="BV431" s="415"/>
      <c r="BW431" s="415"/>
      <c r="BX431" s="415"/>
      <c r="BY431" s="357">
        <v>1</v>
      </c>
      <c r="BZ431" s="357"/>
      <c r="CA431" s="357"/>
      <c r="CB431" s="375"/>
      <c r="CC431" s="375"/>
      <c r="CD431" s="357"/>
      <c r="CE431" s="357"/>
      <c r="CF431" s="357">
        <v>1</v>
      </c>
      <c r="CG431" s="415"/>
      <c r="CH431" s="415"/>
      <c r="CI431" s="416"/>
      <c r="CJ431" s="416"/>
      <c r="CK431" s="416"/>
      <c r="CL431" s="416"/>
      <c r="CM431" s="416"/>
      <c r="CN431" s="416"/>
      <c r="CO431" s="416"/>
      <c r="CP431" s="416"/>
      <c r="CQ431" s="416"/>
      <c r="CR431" s="416"/>
      <c r="CS431" s="416"/>
      <c r="CT431" s="416"/>
      <c r="CU431" s="416"/>
      <c r="CV431" s="416"/>
      <c r="CW431" s="416"/>
      <c r="CX431" s="416"/>
      <c r="CY431" s="416"/>
      <c r="CZ431" s="416"/>
      <c r="DA431" s="416"/>
      <c r="DB431" s="416"/>
      <c r="DC431" s="416"/>
      <c r="DD431" s="416"/>
      <c r="DE431" s="416"/>
      <c r="DF431" s="416"/>
      <c r="DG431" s="416"/>
      <c r="DH431" s="416"/>
      <c r="DI431" s="416"/>
      <c r="DJ431" s="416"/>
      <c r="DK431" s="416"/>
      <c r="DL431" s="416"/>
      <c r="DM431" s="416"/>
      <c r="DN431" s="818"/>
      <c r="DO431" s="417"/>
    </row>
    <row r="432" spans="1:128" ht="18">
      <c r="A432" s="813"/>
      <c r="B432" s="819" t="s">
        <v>395</v>
      </c>
      <c r="C432" s="408"/>
      <c r="D432" s="408">
        <v>24</v>
      </c>
      <c r="E432" s="408"/>
      <c r="F432" s="408"/>
      <c r="G432" s="408"/>
      <c r="H432" s="408"/>
      <c r="I432" s="408"/>
      <c r="J432" s="408"/>
      <c r="K432" s="408"/>
      <c r="L432" s="408"/>
      <c r="M432" s="408"/>
      <c r="N432" s="408"/>
      <c r="O432" s="408"/>
      <c r="P432" s="412"/>
      <c r="Q432" s="412"/>
      <c r="R432" s="412"/>
      <c r="S432" s="412"/>
      <c r="T432" s="360"/>
      <c r="U432" s="405">
        <f>ROUND((19.8*3.5)-BY300,0)</f>
        <v>64</v>
      </c>
      <c r="V432" s="405"/>
      <c r="W432" s="405"/>
      <c r="X432" s="408"/>
      <c r="Y432" s="408"/>
      <c r="Z432" s="408"/>
      <c r="AA432" s="408"/>
      <c r="AB432" s="408"/>
      <c r="AC432" s="408"/>
      <c r="AD432" s="408">
        <f>ROUND((19.4*3.5)-BY300,0)</f>
        <v>63</v>
      </c>
      <c r="AE432" s="408"/>
      <c r="AF432" s="408"/>
      <c r="AG432" s="408"/>
      <c r="AH432" s="408"/>
      <c r="AI432" s="408"/>
      <c r="AJ432" s="408"/>
      <c r="AK432" s="408"/>
      <c r="AL432" s="408"/>
      <c r="AM432" s="408"/>
      <c r="AN432" s="408"/>
      <c r="AO432" s="408"/>
      <c r="AP432" s="408"/>
      <c r="AQ432" s="408">
        <f>(4*3.5)+BY302</f>
        <v>23.3</v>
      </c>
      <c r="AR432" s="408"/>
      <c r="AS432" s="412"/>
      <c r="AT432" s="413">
        <f>BY301</f>
        <v>6.7</v>
      </c>
      <c r="AU432" s="374">
        <f t="shared" si="99"/>
        <v>24</v>
      </c>
      <c r="AV432" s="815"/>
      <c r="AW432" s="815"/>
      <c r="AX432" s="816"/>
      <c r="AY432" s="817"/>
      <c r="AZ432" s="363">
        <f t="shared" si="100"/>
        <v>63</v>
      </c>
      <c r="BA432" s="364">
        <f t="shared" si="98"/>
        <v>0</v>
      </c>
      <c r="BB432" s="395"/>
      <c r="BC432" s="365">
        <f t="shared" si="96"/>
        <v>24</v>
      </c>
      <c r="BD432" s="414"/>
      <c r="BE432" s="415"/>
      <c r="BF432" s="415"/>
      <c r="BG432" s="415"/>
      <c r="BH432" s="415"/>
      <c r="BI432" s="415"/>
      <c r="BJ432" s="415"/>
      <c r="BK432" s="415"/>
      <c r="BL432" s="415"/>
      <c r="BM432" s="415"/>
      <c r="BN432" s="415"/>
      <c r="BO432" s="415"/>
      <c r="BP432" s="415"/>
      <c r="BQ432" s="415"/>
      <c r="BR432" s="415"/>
      <c r="BS432" s="415"/>
      <c r="BT432" s="415"/>
      <c r="BU432" s="415"/>
      <c r="BV432" s="415"/>
      <c r="BW432" s="415"/>
      <c r="BX432" s="415"/>
      <c r="BY432" s="357">
        <v>1</v>
      </c>
      <c r="BZ432" s="415"/>
      <c r="CA432" s="415"/>
      <c r="CB432" s="415"/>
      <c r="CC432" s="415"/>
      <c r="CD432" s="415"/>
      <c r="CE432" s="415"/>
      <c r="CF432" s="415"/>
      <c r="CG432" s="415"/>
      <c r="CH432" s="415"/>
      <c r="CI432" s="416"/>
      <c r="CJ432" s="416"/>
      <c r="CK432" s="416"/>
      <c r="CL432" s="416"/>
      <c r="CM432" s="416"/>
      <c r="CN432" s="416"/>
      <c r="CO432" s="416"/>
      <c r="CP432" s="416"/>
      <c r="CQ432" s="416"/>
      <c r="CR432" s="416"/>
      <c r="CS432" s="416"/>
      <c r="CT432" s="416"/>
      <c r="CU432" s="416"/>
      <c r="CV432" s="416"/>
      <c r="CW432" s="416"/>
      <c r="CX432" s="416"/>
      <c r="CY432" s="416"/>
      <c r="CZ432" s="416"/>
      <c r="DA432" s="416"/>
      <c r="DB432" s="416"/>
      <c r="DC432" s="416"/>
      <c r="DD432" s="416"/>
      <c r="DE432" s="416"/>
      <c r="DF432" s="416"/>
      <c r="DG432" s="416"/>
      <c r="DH432" s="416"/>
      <c r="DI432" s="416"/>
      <c r="DJ432" s="416"/>
      <c r="DK432" s="416"/>
      <c r="DL432" s="416"/>
      <c r="DM432" s="416"/>
      <c r="DN432" s="818"/>
      <c r="DO432" s="417"/>
    </row>
    <row r="433" spans="1:119" ht="18">
      <c r="A433" s="813"/>
      <c r="B433" s="819" t="s">
        <v>396</v>
      </c>
      <c r="C433" s="408"/>
      <c r="D433" s="408">
        <v>23</v>
      </c>
      <c r="E433" s="408"/>
      <c r="F433" s="408"/>
      <c r="G433" s="408"/>
      <c r="H433" s="408"/>
      <c r="I433" s="408"/>
      <c r="J433" s="408"/>
      <c r="K433" s="408"/>
      <c r="L433" s="408"/>
      <c r="M433" s="408"/>
      <c r="N433" s="408"/>
      <c r="O433" s="408"/>
      <c r="P433" s="412"/>
      <c r="Q433" s="412"/>
      <c r="R433" s="412"/>
      <c r="S433" s="412"/>
      <c r="T433" s="360"/>
      <c r="U433" s="405">
        <f>ROUND((19.5*3.5)-(BY300+CA300),0)</f>
        <v>62</v>
      </c>
      <c r="V433" s="405"/>
      <c r="W433" s="405"/>
      <c r="X433" s="408"/>
      <c r="Y433" s="408"/>
      <c r="Z433" s="408"/>
      <c r="AA433" s="408"/>
      <c r="AB433" s="408"/>
      <c r="AC433" s="408"/>
      <c r="AD433" s="408">
        <f>ROUND((19.5*3.5)-(BY300+CA300),0)</f>
        <v>62</v>
      </c>
      <c r="AE433" s="408"/>
      <c r="AF433" s="408"/>
      <c r="AG433" s="408"/>
      <c r="AH433" s="408"/>
      <c r="AI433" s="408"/>
      <c r="AJ433" s="408"/>
      <c r="AK433" s="408"/>
      <c r="AL433" s="408"/>
      <c r="AM433" s="408"/>
      <c r="AN433" s="408"/>
      <c r="AO433" s="408"/>
      <c r="AP433" s="408"/>
      <c r="AQ433" s="408">
        <f>(3*3.5)+BY302+CA302</f>
        <v>21.900000000000002</v>
      </c>
      <c r="AR433" s="408"/>
      <c r="AS433" s="412"/>
      <c r="AT433" s="413">
        <f>BY301+CA301</f>
        <v>9.6999999999999993</v>
      </c>
      <c r="AU433" s="374">
        <f t="shared" si="99"/>
        <v>23</v>
      </c>
      <c r="AV433" s="815"/>
      <c r="AW433" s="815"/>
      <c r="AX433" s="816"/>
      <c r="AY433" s="817"/>
      <c r="AZ433" s="363">
        <f t="shared" si="100"/>
        <v>62</v>
      </c>
      <c r="BA433" s="364">
        <f t="shared" si="98"/>
        <v>0</v>
      </c>
      <c r="BB433" s="395"/>
      <c r="BC433" s="365">
        <f t="shared" si="96"/>
        <v>23</v>
      </c>
      <c r="BD433" s="414"/>
      <c r="BE433" s="415"/>
      <c r="BF433" s="415"/>
      <c r="BG433" s="415"/>
      <c r="BH433" s="415"/>
      <c r="BI433" s="415"/>
      <c r="BJ433" s="415"/>
      <c r="BK433" s="415"/>
      <c r="BL433" s="415"/>
      <c r="BM433" s="415"/>
      <c r="BN433" s="415"/>
      <c r="BO433" s="415"/>
      <c r="BP433" s="415"/>
      <c r="BQ433" s="415"/>
      <c r="BR433" s="415"/>
      <c r="BS433" s="415"/>
      <c r="BT433" s="415"/>
      <c r="BU433" s="415"/>
      <c r="BV433" s="415"/>
      <c r="BW433" s="415"/>
      <c r="BX433" s="415"/>
      <c r="BY433" s="357">
        <v>1</v>
      </c>
      <c r="BZ433" s="415"/>
      <c r="CA433" s="415">
        <v>1</v>
      </c>
      <c r="CB433" s="415"/>
      <c r="CC433" s="415"/>
      <c r="CD433" s="415"/>
      <c r="CE433" s="415"/>
      <c r="CF433" s="415"/>
      <c r="CG433" s="415"/>
      <c r="CH433" s="415"/>
      <c r="CI433" s="416"/>
      <c r="CJ433" s="416"/>
      <c r="CK433" s="416"/>
      <c r="CL433" s="416"/>
      <c r="CM433" s="416"/>
      <c r="CN433" s="416"/>
      <c r="CO433" s="416"/>
      <c r="CP433" s="416"/>
      <c r="CQ433" s="416"/>
      <c r="CR433" s="416"/>
      <c r="CS433" s="416"/>
      <c r="CT433" s="416"/>
      <c r="CU433" s="416"/>
      <c r="CV433" s="416"/>
      <c r="CW433" s="416"/>
      <c r="CX433" s="416"/>
      <c r="CY433" s="416"/>
      <c r="CZ433" s="416"/>
      <c r="DA433" s="416"/>
      <c r="DB433" s="416"/>
      <c r="DC433" s="416"/>
      <c r="DD433" s="416"/>
      <c r="DE433" s="416"/>
      <c r="DF433" s="416"/>
      <c r="DG433" s="416"/>
      <c r="DH433" s="416"/>
      <c r="DI433" s="416"/>
      <c r="DJ433" s="416"/>
      <c r="DK433" s="416"/>
      <c r="DL433" s="416"/>
      <c r="DM433" s="416"/>
      <c r="DN433" s="818"/>
      <c r="DO433" s="417"/>
    </row>
    <row r="434" spans="1:119" ht="18">
      <c r="A434" s="813"/>
      <c r="B434" s="819" t="s">
        <v>397</v>
      </c>
      <c r="C434" s="408"/>
      <c r="D434" s="408">
        <v>24</v>
      </c>
      <c r="E434" s="408"/>
      <c r="F434" s="408"/>
      <c r="G434" s="408"/>
      <c r="H434" s="408"/>
      <c r="I434" s="408"/>
      <c r="J434" s="408"/>
      <c r="K434" s="408"/>
      <c r="L434" s="408"/>
      <c r="M434" s="408"/>
      <c r="N434" s="408"/>
      <c r="O434" s="408"/>
      <c r="P434" s="412"/>
      <c r="Q434" s="412"/>
      <c r="R434" s="412"/>
      <c r="S434" s="412"/>
      <c r="T434" s="360"/>
      <c r="U434" s="405">
        <f>ROUND((19.4*3.5)-BY300,0)</f>
        <v>63</v>
      </c>
      <c r="V434" s="405"/>
      <c r="W434" s="405"/>
      <c r="X434" s="408"/>
      <c r="Y434" s="408"/>
      <c r="Z434" s="408"/>
      <c r="AA434" s="408"/>
      <c r="AB434" s="408"/>
      <c r="AC434" s="408"/>
      <c r="AD434" s="408">
        <f>AD432</f>
        <v>63</v>
      </c>
      <c r="AE434" s="408"/>
      <c r="AF434" s="408"/>
      <c r="AG434" s="408"/>
      <c r="AH434" s="408"/>
      <c r="AI434" s="408"/>
      <c r="AJ434" s="408"/>
      <c r="AK434" s="408"/>
      <c r="AL434" s="408"/>
      <c r="AM434" s="408"/>
      <c r="AN434" s="408"/>
      <c r="AO434" s="408"/>
      <c r="AP434" s="408"/>
      <c r="AQ434" s="408">
        <f>(2*3.5)+BY302</f>
        <v>16.3</v>
      </c>
      <c r="AR434" s="408"/>
      <c r="AS434" s="412"/>
      <c r="AT434" s="413">
        <f>BY301</f>
        <v>6.7</v>
      </c>
      <c r="AU434" s="374">
        <f t="shared" si="99"/>
        <v>24</v>
      </c>
      <c r="AV434" s="815"/>
      <c r="AW434" s="815"/>
      <c r="AX434" s="816"/>
      <c r="AY434" s="817"/>
      <c r="AZ434" s="363">
        <f t="shared" si="100"/>
        <v>63</v>
      </c>
      <c r="BA434" s="364">
        <f t="shared" si="98"/>
        <v>0</v>
      </c>
      <c r="BB434" s="395"/>
      <c r="BC434" s="365">
        <f t="shared" si="96"/>
        <v>24</v>
      </c>
      <c r="BD434" s="414"/>
      <c r="BE434" s="415"/>
      <c r="BF434" s="415"/>
      <c r="BG434" s="415"/>
      <c r="BH434" s="415"/>
      <c r="BI434" s="415"/>
      <c r="BJ434" s="415"/>
      <c r="BK434" s="415"/>
      <c r="BL434" s="415"/>
      <c r="BM434" s="415"/>
      <c r="BN434" s="415"/>
      <c r="BO434" s="415"/>
      <c r="BP434" s="415"/>
      <c r="BQ434" s="415"/>
      <c r="BR434" s="415"/>
      <c r="BS434" s="415"/>
      <c r="BT434" s="415"/>
      <c r="BU434" s="415"/>
      <c r="BV434" s="415"/>
      <c r="BW434" s="415"/>
      <c r="BX434" s="415"/>
      <c r="BY434" s="357">
        <v>1</v>
      </c>
      <c r="BZ434" s="415"/>
      <c r="CA434" s="415"/>
      <c r="CB434" s="415"/>
      <c r="CC434" s="415"/>
      <c r="CD434" s="415"/>
      <c r="CE434" s="415"/>
      <c r="CF434" s="415"/>
      <c r="CG434" s="415"/>
      <c r="CH434" s="415"/>
      <c r="CI434" s="416"/>
      <c r="CJ434" s="416"/>
      <c r="CK434" s="416"/>
      <c r="CL434" s="416"/>
      <c r="CM434" s="416"/>
      <c r="CN434" s="416"/>
      <c r="CO434" s="416"/>
      <c r="CP434" s="416"/>
      <c r="CQ434" s="416"/>
      <c r="CR434" s="416"/>
      <c r="CS434" s="416"/>
      <c r="CT434" s="416"/>
      <c r="CU434" s="416"/>
      <c r="CV434" s="416"/>
      <c r="CW434" s="416"/>
      <c r="CX434" s="416"/>
      <c r="CY434" s="416"/>
      <c r="CZ434" s="416"/>
      <c r="DA434" s="416"/>
      <c r="DB434" s="416"/>
      <c r="DC434" s="416"/>
      <c r="DD434" s="416"/>
      <c r="DE434" s="416"/>
      <c r="DF434" s="416"/>
      <c r="DG434" s="416"/>
      <c r="DH434" s="416"/>
      <c r="DI434" s="416"/>
      <c r="DJ434" s="416"/>
      <c r="DK434" s="416"/>
      <c r="DL434" s="416"/>
      <c r="DM434" s="416"/>
      <c r="DN434" s="818"/>
      <c r="DO434" s="417"/>
    </row>
    <row r="435" spans="1:119" ht="18">
      <c r="A435" s="813"/>
      <c r="B435" s="819" t="s">
        <v>398</v>
      </c>
      <c r="C435" s="408"/>
      <c r="D435" s="408">
        <v>20</v>
      </c>
      <c r="E435" s="408"/>
      <c r="F435" s="408"/>
      <c r="G435" s="408"/>
      <c r="H435" s="408"/>
      <c r="I435" s="408"/>
      <c r="J435" s="408"/>
      <c r="K435" s="408"/>
      <c r="L435" s="408"/>
      <c r="M435" s="408"/>
      <c r="N435" s="408"/>
      <c r="O435" s="408"/>
      <c r="P435" s="412"/>
      <c r="Q435" s="412"/>
      <c r="R435" s="412"/>
      <c r="S435" s="412"/>
      <c r="T435" s="360"/>
      <c r="U435" s="405">
        <f>ROUND((17.99*3.5)-CC300,0)</f>
        <v>58</v>
      </c>
      <c r="V435" s="405"/>
      <c r="W435" s="405"/>
      <c r="X435" s="408"/>
      <c r="Y435" s="408"/>
      <c r="Z435" s="408"/>
      <c r="AA435" s="408"/>
      <c r="AB435" s="408"/>
      <c r="AC435" s="408"/>
      <c r="AD435" s="408">
        <f>ROUND((17.99*3.5)-CC300,0)</f>
        <v>58</v>
      </c>
      <c r="AE435" s="408"/>
      <c r="AF435" s="408"/>
      <c r="AG435" s="408"/>
      <c r="AH435" s="408"/>
      <c r="AI435" s="408"/>
      <c r="AJ435" s="408"/>
      <c r="AK435" s="408"/>
      <c r="AL435" s="408"/>
      <c r="AM435" s="408"/>
      <c r="AN435" s="408"/>
      <c r="AO435" s="408"/>
      <c r="AP435" s="408"/>
      <c r="AQ435" s="408">
        <f>(2*3.5)+CC302</f>
        <v>15.7</v>
      </c>
      <c r="AR435" s="408"/>
      <c r="AS435" s="412"/>
      <c r="AT435" s="413">
        <f>CC301</f>
        <v>4.8</v>
      </c>
      <c r="AU435" s="374">
        <f t="shared" si="99"/>
        <v>20</v>
      </c>
      <c r="AV435" s="815"/>
      <c r="AW435" s="815"/>
      <c r="AX435" s="816"/>
      <c r="AY435" s="817"/>
      <c r="AZ435" s="363">
        <f t="shared" si="100"/>
        <v>58</v>
      </c>
      <c r="BA435" s="364">
        <f t="shared" si="98"/>
        <v>0</v>
      </c>
      <c r="BB435" s="395"/>
      <c r="BC435" s="365">
        <f t="shared" si="96"/>
        <v>20</v>
      </c>
      <c r="BD435" s="414"/>
      <c r="BE435" s="415"/>
      <c r="BF435" s="415"/>
      <c r="BG435" s="415"/>
      <c r="BH435" s="415"/>
      <c r="BI435" s="415"/>
      <c r="BJ435" s="415"/>
      <c r="BK435" s="415"/>
      <c r="BL435" s="415"/>
      <c r="BM435" s="415"/>
      <c r="BN435" s="415"/>
      <c r="BO435" s="415"/>
      <c r="BP435" s="415"/>
      <c r="BQ435" s="415"/>
      <c r="BR435" s="415"/>
      <c r="BS435" s="415"/>
      <c r="BT435" s="415"/>
      <c r="BU435" s="415"/>
      <c r="BV435" s="415"/>
      <c r="BW435" s="415"/>
      <c r="BX435" s="415"/>
      <c r="BY435" s="415"/>
      <c r="BZ435" s="415"/>
      <c r="CA435" s="415"/>
      <c r="CB435" s="415"/>
      <c r="CC435" s="415">
        <v>1</v>
      </c>
      <c r="CD435" s="415"/>
      <c r="CE435" s="415"/>
      <c r="CF435" s="415"/>
      <c r="CG435" s="415"/>
      <c r="CH435" s="415"/>
      <c r="CI435" s="416"/>
      <c r="CJ435" s="416"/>
      <c r="CK435" s="416"/>
      <c r="CL435" s="416"/>
      <c r="CM435" s="416"/>
      <c r="CN435" s="416"/>
      <c r="CO435" s="416"/>
      <c r="CP435" s="416"/>
      <c r="CQ435" s="416"/>
      <c r="CR435" s="416"/>
      <c r="CS435" s="416"/>
      <c r="CT435" s="416"/>
      <c r="CU435" s="416"/>
      <c r="CV435" s="416"/>
      <c r="CW435" s="416"/>
      <c r="CX435" s="416"/>
      <c r="CY435" s="416"/>
      <c r="CZ435" s="416"/>
      <c r="DA435" s="416"/>
      <c r="DB435" s="416"/>
      <c r="DC435" s="416"/>
      <c r="DD435" s="416"/>
      <c r="DE435" s="416"/>
      <c r="DF435" s="416"/>
      <c r="DG435" s="416"/>
      <c r="DH435" s="416"/>
      <c r="DI435" s="416"/>
      <c r="DJ435" s="416"/>
      <c r="DK435" s="416"/>
      <c r="DL435" s="416"/>
      <c r="DM435" s="416"/>
      <c r="DN435" s="818"/>
      <c r="DO435" s="417"/>
    </row>
    <row r="436" spans="1:119" ht="18">
      <c r="A436" s="813"/>
      <c r="B436" s="819" t="s">
        <v>399</v>
      </c>
      <c r="C436" s="408"/>
      <c r="D436" s="408">
        <v>20</v>
      </c>
      <c r="E436" s="408"/>
      <c r="F436" s="408"/>
      <c r="G436" s="408"/>
      <c r="H436" s="408"/>
      <c r="I436" s="408"/>
      <c r="J436" s="408"/>
      <c r="K436" s="408"/>
      <c r="L436" s="408"/>
      <c r="M436" s="408"/>
      <c r="N436" s="408"/>
      <c r="O436" s="408"/>
      <c r="P436" s="412"/>
      <c r="Q436" s="412"/>
      <c r="R436" s="412"/>
      <c r="S436" s="412"/>
      <c r="T436" s="360"/>
      <c r="U436" s="405">
        <f>U435</f>
        <v>58</v>
      </c>
      <c r="V436" s="405"/>
      <c r="W436" s="405"/>
      <c r="X436" s="408"/>
      <c r="Y436" s="408"/>
      <c r="Z436" s="408"/>
      <c r="AA436" s="408"/>
      <c r="AB436" s="408"/>
      <c r="AC436" s="408"/>
      <c r="AD436" s="408">
        <f>AD435</f>
        <v>58</v>
      </c>
      <c r="AE436" s="408"/>
      <c r="AF436" s="408"/>
      <c r="AG436" s="408"/>
      <c r="AH436" s="408"/>
      <c r="AI436" s="408"/>
      <c r="AJ436" s="408"/>
      <c r="AK436" s="408"/>
      <c r="AL436" s="408"/>
      <c r="AM436" s="408"/>
      <c r="AN436" s="408"/>
      <c r="AO436" s="408"/>
      <c r="AP436" s="408"/>
      <c r="AQ436" s="405">
        <f>AQ435</f>
        <v>15.7</v>
      </c>
      <c r="AR436" s="408"/>
      <c r="AS436" s="412"/>
      <c r="AT436" s="405">
        <f>AT435</f>
        <v>4.8</v>
      </c>
      <c r="AU436" s="374">
        <f>D436</f>
        <v>20</v>
      </c>
      <c r="AV436" s="815"/>
      <c r="AW436" s="815"/>
      <c r="AX436" s="816"/>
      <c r="AY436" s="817"/>
      <c r="AZ436" s="363">
        <f t="shared" si="100"/>
        <v>58</v>
      </c>
      <c r="BA436" s="364">
        <f t="shared" si="98"/>
        <v>0</v>
      </c>
      <c r="BB436" s="395"/>
      <c r="BC436" s="365">
        <f t="shared" si="96"/>
        <v>20</v>
      </c>
      <c r="BD436" s="414"/>
      <c r="BE436" s="415"/>
      <c r="BF436" s="415"/>
      <c r="BG436" s="415"/>
      <c r="BH436" s="415"/>
      <c r="BI436" s="415"/>
      <c r="BJ436" s="415"/>
      <c r="BK436" s="415"/>
      <c r="BL436" s="415"/>
      <c r="BM436" s="415"/>
      <c r="BN436" s="415"/>
      <c r="BO436" s="415"/>
      <c r="BP436" s="415"/>
      <c r="BQ436" s="415"/>
      <c r="BR436" s="415"/>
      <c r="BS436" s="415"/>
      <c r="BT436" s="415"/>
      <c r="BU436" s="415"/>
      <c r="BV436" s="415"/>
      <c r="BW436" s="415"/>
      <c r="BX436" s="415"/>
      <c r="BY436" s="415"/>
      <c r="BZ436" s="415"/>
      <c r="CA436" s="415"/>
      <c r="CB436" s="415"/>
      <c r="CC436" s="415">
        <v>1</v>
      </c>
      <c r="CD436" s="415"/>
      <c r="CE436" s="415"/>
      <c r="CF436" s="415"/>
      <c r="CG436" s="415"/>
      <c r="CH436" s="415"/>
      <c r="CI436" s="416"/>
      <c r="CJ436" s="416"/>
      <c r="CK436" s="416"/>
      <c r="CL436" s="416"/>
      <c r="CM436" s="416"/>
      <c r="CN436" s="416"/>
      <c r="CO436" s="416"/>
      <c r="CP436" s="416"/>
      <c r="CQ436" s="416"/>
      <c r="CR436" s="416"/>
      <c r="CS436" s="416"/>
      <c r="CT436" s="416"/>
      <c r="CU436" s="416"/>
      <c r="CV436" s="416"/>
      <c r="CW436" s="416"/>
      <c r="CX436" s="416"/>
      <c r="CY436" s="416"/>
      <c r="CZ436" s="416"/>
      <c r="DA436" s="416"/>
      <c r="DB436" s="416"/>
      <c r="DC436" s="416"/>
      <c r="DD436" s="416"/>
      <c r="DE436" s="416"/>
      <c r="DF436" s="416"/>
      <c r="DG436" s="416"/>
      <c r="DH436" s="416"/>
      <c r="DI436" s="416"/>
      <c r="DJ436" s="416"/>
      <c r="DK436" s="416"/>
      <c r="DL436" s="416"/>
      <c r="DM436" s="416"/>
      <c r="DN436" s="818"/>
      <c r="DO436" s="417"/>
    </row>
    <row r="437" spans="1:119" ht="18">
      <c r="A437" s="813"/>
      <c r="B437" s="819" t="s">
        <v>400</v>
      </c>
      <c r="C437" s="408"/>
      <c r="D437" s="408">
        <v>20</v>
      </c>
      <c r="E437" s="408"/>
      <c r="F437" s="408"/>
      <c r="G437" s="408"/>
      <c r="H437" s="408"/>
      <c r="I437" s="408"/>
      <c r="J437" s="408"/>
      <c r="K437" s="408"/>
      <c r="L437" s="408"/>
      <c r="M437" s="408"/>
      <c r="N437" s="408"/>
      <c r="O437" s="408"/>
      <c r="P437" s="412"/>
      <c r="Q437" s="412"/>
      <c r="R437" s="412"/>
      <c r="S437" s="412"/>
      <c r="T437" s="360"/>
      <c r="U437" s="405">
        <f>U435</f>
        <v>58</v>
      </c>
      <c r="V437" s="405"/>
      <c r="W437" s="405"/>
      <c r="X437" s="408"/>
      <c r="Y437" s="408"/>
      <c r="Z437" s="408"/>
      <c r="AA437" s="408"/>
      <c r="AB437" s="408"/>
      <c r="AC437" s="408"/>
      <c r="AD437" s="408">
        <f>AD435</f>
        <v>58</v>
      </c>
      <c r="AE437" s="408"/>
      <c r="AF437" s="408"/>
      <c r="AG437" s="408"/>
      <c r="AH437" s="408"/>
      <c r="AI437" s="408"/>
      <c r="AJ437" s="408"/>
      <c r="AK437" s="408"/>
      <c r="AL437" s="408"/>
      <c r="AM437" s="408"/>
      <c r="AN437" s="408"/>
      <c r="AO437" s="408"/>
      <c r="AP437" s="408"/>
      <c r="AQ437" s="405">
        <f>AQ435</f>
        <v>15.7</v>
      </c>
      <c r="AR437" s="408"/>
      <c r="AS437" s="412"/>
      <c r="AT437" s="405">
        <f>AT435</f>
        <v>4.8</v>
      </c>
      <c r="AU437" s="374">
        <f t="shared" si="99"/>
        <v>20</v>
      </c>
      <c r="AV437" s="815"/>
      <c r="AW437" s="815"/>
      <c r="AX437" s="816"/>
      <c r="AY437" s="817"/>
      <c r="AZ437" s="363">
        <f t="shared" si="100"/>
        <v>58</v>
      </c>
      <c r="BA437" s="364">
        <f t="shared" si="98"/>
        <v>0</v>
      </c>
      <c r="BB437" s="395"/>
      <c r="BC437" s="365">
        <f t="shared" si="96"/>
        <v>20</v>
      </c>
      <c r="BD437" s="414"/>
      <c r="BE437" s="415"/>
      <c r="BF437" s="415"/>
      <c r="BG437" s="415"/>
      <c r="BH437" s="415"/>
      <c r="BI437" s="415"/>
      <c r="BJ437" s="415"/>
      <c r="BK437" s="415"/>
      <c r="BL437" s="415"/>
      <c r="BM437" s="415"/>
      <c r="BN437" s="415"/>
      <c r="BO437" s="415"/>
      <c r="BP437" s="415"/>
      <c r="BQ437" s="415"/>
      <c r="BR437" s="415"/>
      <c r="BS437" s="415"/>
      <c r="BT437" s="415"/>
      <c r="BU437" s="415"/>
      <c r="BV437" s="415"/>
      <c r="BW437" s="415"/>
      <c r="BX437" s="415"/>
      <c r="BY437" s="415"/>
      <c r="BZ437" s="415"/>
      <c r="CA437" s="415"/>
      <c r="CB437" s="415"/>
      <c r="CC437" s="415">
        <v>1</v>
      </c>
      <c r="CD437" s="415"/>
      <c r="CE437" s="415"/>
      <c r="CF437" s="415"/>
      <c r="CG437" s="415"/>
      <c r="CH437" s="415"/>
      <c r="CI437" s="416"/>
      <c r="CJ437" s="416"/>
      <c r="CK437" s="416"/>
      <c r="CL437" s="416"/>
      <c r="CM437" s="416"/>
      <c r="CN437" s="416"/>
      <c r="CO437" s="416"/>
      <c r="CP437" s="416"/>
      <c r="CQ437" s="416"/>
      <c r="CR437" s="416"/>
      <c r="CS437" s="416"/>
      <c r="CT437" s="416"/>
      <c r="CU437" s="416"/>
      <c r="CV437" s="416"/>
      <c r="CW437" s="416"/>
      <c r="CX437" s="416"/>
      <c r="CY437" s="416"/>
      <c r="CZ437" s="416"/>
      <c r="DA437" s="416"/>
      <c r="DB437" s="416"/>
      <c r="DC437" s="416"/>
      <c r="DD437" s="416"/>
      <c r="DE437" s="416"/>
      <c r="DF437" s="416"/>
      <c r="DG437" s="416"/>
      <c r="DH437" s="416"/>
      <c r="DI437" s="416"/>
      <c r="DJ437" s="416"/>
      <c r="DK437" s="416"/>
      <c r="DL437" s="416"/>
      <c r="DM437" s="416"/>
      <c r="DN437" s="818"/>
      <c r="DO437" s="417"/>
    </row>
    <row r="438" spans="1:119" ht="18">
      <c r="A438" s="813"/>
      <c r="B438" s="819" t="s">
        <v>407</v>
      </c>
      <c r="C438" s="408"/>
      <c r="D438" s="408">
        <v>23</v>
      </c>
      <c r="E438" s="408"/>
      <c r="F438" s="408"/>
      <c r="G438" s="408"/>
      <c r="H438" s="408"/>
      <c r="I438" s="408"/>
      <c r="J438" s="408"/>
      <c r="K438" s="408"/>
      <c r="L438" s="408"/>
      <c r="M438" s="408"/>
      <c r="N438" s="408"/>
      <c r="O438" s="408"/>
      <c r="P438" s="412"/>
      <c r="Q438" s="412"/>
      <c r="R438" s="412"/>
      <c r="S438" s="412"/>
      <c r="T438" s="360"/>
      <c r="U438" s="405">
        <f>U432</f>
        <v>64</v>
      </c>
      <c r="V438" s="405"/>
      <c r="W438" s="405"/>
      <c r="X438" s="408"/>
      <c r="Y438" s="408"/>
      <c r="Z438" s="408"/>
      <c r="AA438" s="408"/>
      <c r="AB438" s="408"/>
      <c r="AC438" s="408"/>
      <c r="AD438" s="408">
        <f>ROUND((19.6*3.5)-BY300,0)</f>
        <v>64</v>
      </c>
      <c r="AE438" s="408"/>
      <c r="AF438" s="408"/>
      <c r="AG438" s="408"/>
      <c r="AH438" s="408"/>
      <c r="AI438" s="408"/>
      <c r="AJ438" s="408"/>
      <c r="AK438" s="408"/>
      <c r="AL438" s="408"/>
      <c r="AM438" s="408"/>
      <c r="AN438" s="408"/>
      <c r="AO438" s="408"/>
      <c r="AP438" s="408"/>
      <c r="AQ438" s="405">
        <f>AQ432</f>
        <v>23.3</v>
      </c>
      <c r="AR438" s="408"/>
      <c r="AS438" s="412"/>
      <c r="AT438" s="405">
        <f>AT432</f>
        <v>6.7</v>
      </c>
      <c r="AU438" s="374">
        <f t="shared" si="99"/>
        <v>23</v>
      </c>
      <c r="AV438" s="815"/>
      <c r="AW438" s="815"/>
      <c r="AX438" s="816"/>
      <c r="AY438" s="817"/>
      <c r="AZ438" s="363">
        <f t="shared" si="100"/>
        <v>64</v>
      </c>
      <c r="BA438" s="364">
        <f t="shared" si="98"/>
        <v>0</v>
      </c>
      <c r="BB438" s="395"/>
      <c r="BC438" s="365">
        <f t="shared" si="96"/>
        <v>23</v>
      </c>
      <c r="BD438" s="414"/>
      <c r="BE438" s="415"/>
      <c r="BF438" s="415"/>
      <c r="BG438" s="415"/>
      <c r="BH438" s="415"/>
      <c r="BI438" s="415"/>
      <c r="BJ438" s="415"/>
      <c r="BK438" s="415"/>
      <c r="BL438" s="415"/>
      <c r="BM438" s="415"/>
      <c r="BN438" s="415"/>
      <c r="BO438" s="415"/>
      <c r="BP438" s="415"/>
      <c r="BQ438" s="415"/>
      <c r="BR438" s="415"/>
      <c r="BS438" s="415"/>
      <c r="BT438" s="415"/>
      <c r="BU438" s="415"/>
      <c r="BV438" s="415"/>
      <c r="BW438" s="415"/>
      <c r="BX438" s="415"/>
      <c r="BY438" s="415">
        <v>1</v>
      </c>
      <c r="BZ438" s="415"/>
      <c r="CA438" s="415"/>
      <c r="CB438" s="415"/>
      <c r="CC438" s="415"/>
      <c r="CD438" s="415"/>
      <c r="CE438" s="415"/>
      <c r="CF438" s="415"/>
      <c r="CG438" s="415"/>
      <c r="CH438" s="415"/>
      <c r="CI438" s="416"/>
      <c r="CJ438" s="416"/>
      <c r="CK438" s="416"/>
      <c r="CL438" s="416"/>
      <c r="CM438" s="416"/>
      <c r="CN438" s="416"/>
      <c r="CO438" s="416"/>
      <c r="CP438" s="416"/>
      <c r="CQ438" s="416"/>
      <c r="CR438" s="416"/>
      <c r="CS438" s="416"/>
      <c r="CT438" s="416"/>
      <c r="CU438" s="416"/>
      <c r="CV438" s="416"/>
      <c r="CW438" s="416"/>
      <c r="CX438" s="416"/>
      <c r="CY438" s="416"/>
      <c r="CZ438" s="416"/>
      <c r="DA438" s="416"/>
      <c r="DB438" s="416"/>
      <c r="DC438" s="416"/>
      <c r="DD438" s="416"/>
      <c r="DE438" s="416"/>
      <c r="DF438" s="416"/>
      <c r="DG438" s="416"/>
      <c r="DH438" s="416"/>
      <c r="DI438" s="416"/>
      <c r="DJ438" s="416"/>
      <c r="DK438" s="416"/>
      <c r="DL438" s="416"/>
      <c r="DM438" s="416"/>
      <c r="DN438" s="818"/>
      <c r="DO438" s="417"/>
    </row>
    <row r="439" spans="1:119" ht="18">
      <c r="A439" s="813"/>
      <c r="B439" s="819" t="s">
        <v>408</v>
      </c>
      <c r="C439" s="408"/>
      <c r="D439" s="408">
        <v>23</v>
      </c>
      <c r="E439" s="408"/>
      <c r="F439" s="408"/>
      <c r="G439" s="408"/>
      <c r="H439" s="408"/>
      <c r="I439" s="408"/>
      <c r="J439" s="408"/>
      <c r="K439" s="408"/>
      <c r="L439" s="408"/>
      <c r="M439" s="408"/>
      <c r="N439" s="408"/>
      <c r="O439" s="408"/>
      <c r="P439" s="412"/>
      <c r="Q439" s="412"/>
      <c r="R439" s="412"/>
      <c r="S439" s="412"/>
      <c r="T439" s="360"/>
      <c r="U439" s="405">
        <f>U433</f>
        <v>62</v>
      </c>
      <c r="V439" s="405"/>
      <c r="W439" s="405"/>
      <c r="X439" s="408"/>
      <c r="Y439" s="408"/>
      <c r="Z439" s="408"/>
      <c r="AA439" s="408"/>
      <c r="AB439" s="408"/>
      <c r="AC439" s="408"/>
      <c r="AD439" s="408">
        <f>ROUND((18.5*3.5)-(BY300+CA300),0)</f>
        <v>58</v>
      </c>
      <c r="AE439" s="408"/>
      <c r="AF439" s="408"/>
      <c r="AG439" s="408"/>
      <c r="AH439" s="408"/>
      <c r="AI439" s="408"/>
      <c r="AJ439" s="408"/>
      <c r="AK439" s="408"/>
      <c r="AL439" s="408"/>
      <c r="AM439" s="408"/>
      <c r="AN439" s="408"/>
      <c r="AO439" s="408"/>
      <c r="AP439" s="408"/>
      <c r="AQ439" s="405">
        <f>AQ433</f>
        <v>21.900000000000002</v>
      </c>
      <c r="AR439" s="408"/>
      <c r="AS439" s="412"/>
      <c r="AT439" s="405">
        <f>AT433</f>
        <v>9.6999999999999993</v>
      </c>
      <c r="AU439" s="374">
        <f t="shared" si="99"/>
        <v>23</v>
      </c>
      <c r="AV439" s="815"/>
      <c r="AW439" s="815"/>
      <c r="AX439" s="816"/>
      <c r="AY439" s="817"/>
      <c r="AZ439" s="363">
        <f t="shared" si="100"/>
        <v>58</v>
      </c>
      <c r="BA439" s="364">
        <f t="shared" si="98"/>
        <v>0</v>
      </c>
      <c r="BB439" s="395"/>
      <c r="BC439" s="365">
        <f t="shared" si="96"/>
        <v>23</v>
      </c>
      <c r="BD439" s="414"/>
      <c r="BE439" s="415"/>
      <c r="BF439" s="415"/>
      <c r="BG439" s="415"/>
      <c r="BH439" s="415"/>
      <c r="BI439" s="415"/>
      <c r="BJ439" s="415"/>
      <c r="BK439" s="415"/>
      <c r="BL439" s="415"/>
      <c r="BM439" s="415"/>
      <c r="BN439" s="415"/>
      <c r="BO439" s="415"/>
      <c r="BP439" s="415"/>
      <c r="BQ439" s="415"/>
      <c r="BR439" s="415"/>
      <c r="BS439" s="415"/>
      <c r="BT439" s="415"/>
      <c r="BU439" s="415"/>
      <c r="BV439" s="415"/>
      <c r="BW439" s="415"/>
      <c r="BX439" s="415"/>
      <c r="BY439" s="415">
        <v>1</v>
      </c>
      <c r="BZ439" s="415"/>
      <c r="CA439" s="415">
        <v>1</v>
      </c>
      <c r="CB439" s="415"/>
      <c r="CC439" s="415"/>
      <c r="CD439" s="415"/>
      <c r="CE439" s="415"/>
      <c r="CF439" s="415"/>
      <c r="CG439" s="415"/>
      <c r="CH439" s="415"/>
      <c r="CI439" s="416"/>
      <c r="CJ439" s="416"/>
      <c r="CK439" s="416"/>
      <c r="CL439" s="416"/>
      <c r="CM439" s="416"/>
      <c r="CN439" s="416"/>
      <c r="CO439" s="416"/>
      <c r="CP439" s="416"/>
      <c r="CQ439" s="416"/>
      <c r="CR439" s="416"/>
      <c r="CS439" s="416"/>
      <c r="CT439" s="416"/>
      <c r="CU439" s="416"/>
      <c r="CV439" s="416"/>
      <c r="CW439" s="416"/>
      <c r="CX439" s="416"/>
      <c r="CY439" s="416"/>
      <c r="CZ439" s="416"/>
      <c r="DA439" s="416"/>
      <c r="DB439" s="416"/>
      <c r="DC439" s="416"/>
      <c r="DD439" s="416"/>
      <c r="DE439" s="416"/>
      <c r="DF439" s="416"/>
      <c r="DG439" s="416"/>
      <c r="DH439" s="416"/>
      <c r="DI439" s="416"/>
      <c r="DJ439" s="416"/>
      <c r="DK439" s="416"/>
      <c r="DL439" s="416"/>
      <c r="DM439" s="416"/>
      <c r="DN439" s="818"/>
      <c r="DO439" s="417"/>
    </row>
    <row r="440" spans="1:119" ht="18">
      <c r="A440" s="813"/>
      <c r="B440" s="819" t="s">
        <v>409</v>
      </c>
      <c r="C440" s="408"/>
      <c r="D440" s="408">
        <v>23</v>
      </c>
      <c r="E440" s="408"/>
      <c r="F440" s="408"/>
      <c r="G440" s="408"/>
      <c r="H440" s="408"/>
      <c r="I440" s="408"/>
      <c r="J440" s="408"/>
      <c r="K440" s="408"/>
      <c r="L440" s="408"/>
      <c r="M440" s="408"/>
      <c r="N440" s="408"/>
      <c r="O440" s="408"/>
      <c r="P440" s="412"/>
      <c r="Q440" s="412"/>
      <c r="R440" s="412"/>
      <c r="S440" s="412"/>
      <c r="T440" s="360"/>
      <c r="U440" s="405">
        <f>U434</f>
        <v>63</v>
      </c>
      <c r="V440" s="405"/>
      <c r="W440" s="405"/>
      <c r="X440" s="408"/>
      <c r="Y440" s="408"/>
      <c r="Z440" s="408"/>
      <c r="AA440" s="408"/>
      <c r="AB440" s="408"/>
      <c r="AC440" s="408"/>
      <c r="AD440" s="408">
        <f>AD432</f>
        <v>63</v>
      </c>
      <c r="AE440" s="408"/>
      <c r="AF440" s="408"/>
      <c r="AG440" s="408"/>
      <c r="AH440" s="408"/>
      <c r="AI440" s="408"/>
      <c r="AJ440" s="408"/>
      <c r="AK440" s="408"/>
      <c r="AL440" s="408"/>
      <c r="AM440" s="408"/>
      <c r="AN440" s="408"/>
      <c r="AO440" s="408"/>
      <c r="AP440" s="408"/>
      <c r="AQ440" s="405">
        <f>AQ434</f>
        <v>16.3</v>
      </c>
      <c r="AR440" s="408"/>
      <c r="AS440" s="412"/>
      <c r="AT440" s="405">
        <f>AT434</f>
        <v>6.7</v>
      </c>
      <c r="AU440" s="374">
        <f t="shared" si="99"/>
        <v>23</v>
      </c>
      <c r="AV440" s="815"/>
      <c r="AW440" s="815"/>
      <c r="AX440" s="816"/>
      <c r="AY440" s="817"/>
      <c r="AZ440" s="363">
        <f t="shared" si="100"/>
        <v>63</v>
      </c>
      <c r="BA440" s="364">
        <f t="shared" si="98"/>
        <v>0</v>
      </c>
      <c r="BB440" s="395"/>
      <c r="BC440" s="365">
        <f t="shared" si="96"/>
        <v>23</v>
      </c>
      <c r="BD440" s="414"/>
      <c r="BE440" s="415"/>
      <c r="BF440" s="415"/>
      <c r="BG440" s="415"/>
      <c r="BH440" s="415"/>
      <c r="BI440" s="415"/>
      <c r="BJ440" s="415"/>
      <c r="BK440" s="415"/>
      <c r="BL440" s="415"/>
      <c r="BM440" s="415"/>
      <c r="BN440" s="415"/>
      <c r="BO440" s="415"/>
      <c r="BP440" s="415"/>
      <c r="BQ440" s="415"/>
      <c r="BR440" s="415"/>
      <c r="BS440" s="415"/>
      <c r="BT440" s="415"/>
      <c r="BU440" s="415"/>
      <c r="BV440" s="415"/>
      <c r="BW440" s="415"/>
      <c r="BX440" s="415"/>
      <c r="BY440" s="415">
        <v>1</v>
      </c>
      <c r="BZ440" s="415"/>
      <c r="CA440" s="415"/>
      <c r="CB440" s="415"/>
      <c r="CC440" s="415"/>
      <c r="CD440" s="415"/>
      <c r="CE440" s="415"/>
      <c r="CF440" s="415"/>
      <c r="CG440" s="415"/>
      <c r="CH440" s="415"/>
      <c r="CI440" s="416"/>
      <c r="CJ440" s="416"/>
      <c r="CK440" s="416"/>
      <c r="CL440" s="416"/>
      <c r="CM440" s="416"/>
      <c r="CN440" s="416"/>
      <c r="CO440" s="416"/>
      <c r="CP440" s="416"/>
      <c r="CQ440" s="416"/>
      <c r="CR440" s="416"/>
      <c r="CS440" s="416"/>
      <c r="CT440" s="416"/>
      <c r="CU440" s="416"/>
      <c r="CV440" s="416"/>
      <c r="CW440" s="416"/>
      <c r="CX440" s="416"/>
      <c r="CY440" s="416"/>
      <c r="CZ440" s="416"/>
      <c r="DA440" s="416"/>
      <c r="DB440" s="416"/>
      <c r="DC440" s="416"/>
      <c r="DD440" s="416"/>
      <c r="DE440" s="416"/>
      <c r="DF440" s="416"/>
      <c r="DG440" s="416"/>
      <c r="DH440" s="416"/>
      <c r="DI440" s="416"/>
      <c r="DJ440" s="416"/>
      <c r="DK440" s="416"/>
      <c r="DL440" s="416"/>
      <c r="DM440" s="416"/>
      <c r="DN440" s="818"/>
      <c r="DO440" s="417"/>
    </row>
    <row r="441" spans="1:119" ht="18">
      <c r="A441" s="813"/>
      <c r="B441" s="819" t="s">
        <v>410</v>
      </c>
      <c r="C441" s="408"/>
      <c r="D441" s="408">
        <v>19</v>
      </c>
      <c r="E441" s="408"/>
      <c r="F441" s="408"/>
      <c r="G441" s="408"/>
      <c r="H441" s="408"/>
      <c r="I441" s="408"/>
      <c r="J441" s="408"/>
      <c r="K441" s="408"/>
      <c r="L441" s="408"/>
      <c r="M441" s="408"/>
      <c r="N441" s="408"/>
      <c r="O441" s="408"/>
      <c r="P441" s="412"/>
      <c r="Q441" s="412"/>
      <c r="R441" s="412"/>
      <c r="S441" s="412"/>
      <c r="T441" s="360"/>
      <c r="U441" s="405">
        <f>ROUND((14.2*3.5)-CC300,0)</f>
        <v>45</v>
      </c>
      <c r="V441" s="405"/>
      <c r="W441" s="405"/>
      <c r="X441" s="408"/>
      <c r="Y441" s="408"/>
      <c r="Z441" s="408"/>
      <c r="AA441" s="408"/>
      <c r="AB441" s="408"/>
      <c r="AC441" s="408"/>
      <c r="AD441" s="408">
        <f>ROUND((19.2*3.5)-CC300,0)</f>
        <v>63</v>
      </c>
      <c r="AE441" s="408"/>
      <c r="AF441" s="408"/>
      <c r="AG441" s="408"/>
      <c r="AH441" s="408"/>
      <c r="AI441" s="408"/>
      <c r="AJ441" s="408"/>
      <c r="AK441" s="408"/>
      <c r="AL441" s="408"/>
      <c r="AM441" s="408"/>
      <c r="AN441" s="408"/>
      <c r="AO441" s="408"/>
      <c r="AP441" s="408"/>
      <c r="AQ441" s="408">
        <f>CC302</f>
        <v>8.6999999999999993</v>
      </c>
      <c r="AR441" s="408"/>
      <c r="AS441" s="412"/>
      <c r="AT441" s="413">
        <f>CC301</f>
        <v>4.8</v>
      </c>
      <c r="AU441" s="374">
        <f>D441</f>
        <v>19</v>
      </c>
      <c r="AV441" s="815"/>
      <c r="AW441" s="815"/>
      <c r="AX441" s="816"/>
      <c r="AY441" s="817"/>
      <c r="AZ441" s="363">
        <f t="shared" si="100"/>
        <v>63</v>
      </c>
      <c r="BA441" s="364">
        <f t="shared" si="98"/>
        <v>0</v>
      </c>
      <c r="BB441" s="395"/>
      <c r="BC441" s="365">
        <f t="shared" si="96"/>
        <v>19</v>
      </c>
      <c r="BD441" s="414"/>
      <c r="BE441" s="415"/>
      <c r="BF441" s="415"/>
      <c r="BG441" s="415"/>
      <c r="BH441" s="415"/>
      <c r="BI441" s="415"/>
      <c r="BJ441" s="415"/>
      <c r="BK441" s="415"/>
      <c r="BL441" s="415"/>
      <c r="BM441" s="415"/>
      <c r="BN441" s="415"/>
      <c r="BO441" s="415"/>
      <c r="BP441" s="415"/>
      <c r="BQ441" s="415"/>
      <c r="BR441" s="415"/>
      <c r="BS441" s="415"/>
      <c r="BT441" s="415"/>
      <c r="BU441" s="415"/>
      <c r="BV441" s="415"/>
      <c r="BW441" s="415"/>
      <c r="BX441" s="415"/>
      <c r="BY441" s="415"/>
      <c r="BZ441" s="415"/>
      <c r="CA441" s="415"/>
      <c r="CB441" s="415"/>
      <c r="CC441" s="415">
        <v>1</v>
      </c>
      <c r="CD441" s="415"/>
      <c r="CE441" s="415"/>
      <c r="CF441" s="415"/>
      <c r="CG441" s="415"/>
      <c r="CH441" s="415"/>
      <c r="CI441" s="416"/>
      <c r="CJ441" s="416"/>
      <c r="CK441" s="416"/>
      <c r="CL441" s="416"/>
      <c r="CM441" s="416"/>
      <c r="CN441" s="416"/>
      <c r="CO441" s="416"/>
      <c r="CP441" s="416"/>
      <c r="CQ441" s="416"/>
      <c r="CR441" s="416"/>
      <c r="CS441" s="416"/>
      <c r="CT441" s="416"/>
      <c r="CU441" s="416"/>
      <c r="CV441" s="416"/>
      <c r="CW441" s="416"/>
      <c r="CX441" s="416"/>
      <c r="CY441" s="416"/>
      <c r="CZ441" s="416"/>
      <c r="DA441" s="416"/>
      <c r="DB441" s="416"/>
      <c r="DC441" s="416"/>
      <c r="DD441" s="416"/>
      <c r="DE441" s="416"/>
      <c r="DF441" s="416"/>
      <c r="DG441" s="416"/>
      <c r="DH441" s="416"/>
      <c r="DI441" s="416"/>
      <c r="DJ441" s="416"/>
      <c r="DK441" s="416"/>
      <c r="DL441" s="416"/>
      <c r="DM441" s="416"/>
      <c r="DN441" s="818"/>
      <c r="DO441" s="417"/>
    </row>
    <row r="442" spans="1:119" ht="18">
      <c r="A442" s="813"/>
      <c r="B442" s="819" t="s">
        <v>411</v>
      </c>
      <c r="C442" s="408"/>
      <c r="D442" s="408">
        <v>19</v>
      </c>
      <c r="E442" s="408"/>
      <c r="F442" s="408"/>
      <c r="G442" s="408"/>
      <c r="H442" s="408"/>
      <c r="I442" s="408"/>
      <c r="J442" s="408"/>
      <c r="K442" s="408"/>
      <c r="L442" s="408"/>
      <c r="M442" s="408"/>
      <c r="N442" s="408"/>
      <c r="O442" s="408"/>
      <c r="P442" s="412"/>
      <c r="Q442" s="412"/>
      <c r="R442" s="412"/>
      <c r="S442" s="412"/>
      <c r="T442" s="360"/>
      <c r="U442" s="405">
        <f>U441</f>
        <v>45</v>
      </c>
      <c r="V442" s="405"/>
      <c r="W442" s="405"/>
      <c r="X442" s="408"/>
      <c r="Y442" s="408"/>
      <c r="Z442" s="408"/>
      <c r="AA442" s="408"/>
      <c r="AB442" s="408"/>
      <c r="AC442" s="408"/>
      <c r="AD442" s="408">
        <f>AD441</f>
        <v>63</v>
      </c>
      <c r="AE442" s="408"/>
      <c r="AF442" s="408"/>
      <c r="AG442" s="408"/>
      <c r="AH442" s="408"/>
      <c r="AI442" s="408"/>
      <c r="AJ442" s="408"/>
      <c r="AK442" s="408"/>
      <c r="AL442" s="408"/>
      <c r="AM442" s="408"/>
      <c r="AN442" s="408"/>
      <c r="AO442" s="408"/>
      <c r="AP442" s="408"/>
      <c r="AQ442" s="405">
        <f>AQ441</f>
        <v>8.6999999999999993</v>
      </c>
      <c r="AR442" s="408"/>
      <c r="AS442" s="412"/>
      <c r="AT442" s="405">
        <f>AT441</f>
        <v>4.8</v>
      </c>
      <c r="AU442" s="374">
        <f t="shared" si="99"/>
        <v>19</v>
      </c>
      <c r="AV442" s="815"/>
      <c r="AW442" s="815"/>
      <c r="AX442" s="816"/>
      <c r="AY442" s="817"/>
      <c r="AZ442" s="363">
        <f t="shared" si="100"/>
        <v>63</v>
      </c>
      <c r="BA442" s="364">
        <f t="shared" si="98"/>
        <v>0</v>
      </c>
      <c r="BB442" s="395"/>
      <c r="BC442" s="365">
        <f t="shared" si="96"/>
        <v>19</v>
      </c>
      <c r="BD442" s="414"/>
      <c r="BE442" s="415"/>
      <c r="BF442" s="415"/>
      <c r="BG442" s="415"/>
      <c r="BH442" s="415"/>
      <c r="BI442" s="415"/>
      <c r="BJ442" s="415"/>
      <c r="BK442" s="415"/>
      <c r="BL442" s="415"/>
      <c r="BM442" s="415"/>
      <c r="BN442" s="415"/>
      <c r="BO442" s="415"/>
      <c r="BP442" s="415"/>
      <c r="BQ442" s="415"/>
      <c r="BR442" s="415"/>
      <c r="BS442" s="415"/>
      <c r="BT442" s="415"/>
      <c r="BU442" s="415"/>
      <c r="BV442" s="415"/>
      <c r="BW442" s="415"/>
      <c r="BX442" s="415"/>
      <c r="BY442" s="415"/>
      <c r="BZ442" s="415"/>
      <c r="CA442" s="415"/>
      <c r="CB442" s="415"/>
      <c r="CC442" s="415">
        <v>1</v>
      </c>
      <c r="CD442" s="415"/>
      <c r="CE442" s="415"/>
      <c r="CF442" s="415"/>
      <c r="CG442" s="415"/>
      <c r="CH442" s="415"/>
      <c r="CI442" s="416"/>
      <c r="CJ442" s="416"/>
      <c r="CK442" s="416"/>
      <c r="CL442" s="416"/>
      <c r="CM442" s="416"/>
      <c r="CN442" s="416"/>
      <c r="CO442" s="416"/>
      <c r="CP442" s="416"/>
      <c r="CQ442" s="416"/>
      <c r="CR442" s="416"/>
      <c r="CS442" s="416"/>
      <c r="CT442" s="416"/>
      <c r="CU442" s="416"/>
      <c r="CV442" s="416"/>
      <c r="CW442" s="416"/>
      <c r="CX442" s="416"/>
      <c r="CY442" s="416"/>
      <c r="CZ442" s="416"/>
      <c r="DA442" s="416"/>
      <c r="DB442" s="416"/>
      <c r="DC442" s="416"/>
      <c r="DD442" s="416"/>
      <c r="DE442" s="416"/>
      <c r="DF442" s="416"/>
      <c r="DG442" s="416"/>
      <c r="DH442" s="416"/>
      <c r="DI442" s="416"/>
      <c r="DJ442" s="416"/>
      <c r="DK442" s="416"/>
      <c r="DL442" s="416"/>
      <c r="DM442" s="416"/>
      <c r="DN442" s="818"/>
      <c r="DO442" s="417"/>
    </row>
    <row r="443" spans="1:119" ht="18">
      <c r="A443" s="813"/>
      <c r="B443" s="819" t="s">
        <v>412</v>
      </c>
      <c r="C443" s="408"/>
      <c r="D443" s="408">
        <v>20</v>
      </c>
      <c r="E443" s="408"/>
      <c r="F443" s="408"/>
      <c r="G443" s="408"/>
      <c r="H443" s="408"/>
      <c r="I443" s="408"/>
      <c r="J443" s="408"/>
      <c r="K443" s="408"/>
      <c r="L443" s="408"/>
      <c r="M443" s="408"/>
      <c r="N443" s="408"/>
      <c r="O443" s="408"/>
      <c r="P443" s="412"/>
      <c r="Q443" s="412"/>
      <c r="R443" s="412"/>
      <c r="S443" s="412"/>
      <c r="T443" s="360"/>
      <c r="U443" s="405">
        <f>U441</f>
        <v>45</v>
      </c>
      <c r="V443" s="405"/>
      <c r="W443" s="405"/>
      <c r="X443" s="408"/>
      <c r="Y443" s="408"/>
      <c r="Z443" s="408"/>
      <c r="AA443" s="408"/>
      <c r="AB443" s="408"/>
      <c r="AC443" s="408"/>
      <c r="AD443" s="408">
        <f>AD441</f>
        <v>63</v>
      </c>
      <c r="AE443" s="408"/>
      <c r="AF443" s="408"/>
      <c r="AG443" s="408"/>
      <c r="AH443" s="408"/>
      <c r="AI443" s="408"/>
      <c r="AJ443" s="408"/>
      <c r="AK443" s="408"/>
      <c r="AL443" s="408"/>
      <c r="AM443" s="408"/>
      <c r="AN443" s="408"/>
      <c r="AO443" s="408"/>
      <c r="AP443" s="408"/>
      <c r="AQ443" s="405">
        <f>AQ441</f>
        <v>8.6999999999999993</v>
      </c>
      <c r="AR443" s="408"/>
      <c r="AS443" s="412"/>
      <c r="AT443" s="405">
        <f>AT441</f>
        <v>4.8</v>
      </c>
      <c r="AU443" s="374">
        <f t="shared" si="99"/>
        <v>20</v>
      </c>
      <c r="AV443" s="815"/>
      <c r="AW443" s="815"/>
      <c r="AX443" s="816"/>
      <c r="AY443" s="817"/>
      <c r="AZ443" s="363">
        <f t="shared" si="100"/>
        <v>63</v>
      </c>
      <c r="BA443" s="364">
        <f t="shared" si="98"/>
        <v>0</v>
      </c>
      <c r="BB443" s="395"/>
      <c r="BC443" s="365">
        <f t="shared" si="96"/>
        <v>20</v>
      </c>
      <c r="BD443" s="414"/>
      <c r="BE443" s="415"/>
      <c r="BF443" s="415"/>
      <c r="BG443" s="415"/>
      <c r="BH443" s="415"/>
      <c r="BI443" s="415"/>
      <c r="BJ443" s="415"/>
      <c r="BK443" s="415"/>
      <c r="BL443" s="415"/>
      <c r="BM443" s="415"/>
      <c r="BN443" s="415"/>
      <c r="BO443" s="415"/>
      <c r="BP443" s="415"/>
      <c r="BQ443" s="415"/>
      <c r="BR443" s="415"/>
      <c r="BS443" s="415"/>
      <c r="BT443" s="415"/>
      <c r="BU443" s="415"/>
      <c r="BV443" s="415"/>
      <c r="BW443" s="415"/>
      <c r="BX443" s="415"/>
      <c r="BY443" s="415"/>
      <c r="BZ443" s="415"/>
      <c r="CA443" s="415"/>
      <c r="CB443" s="415"/>
      <c r="CC443" s="415">
        <v>1</v>
      </c>
      <c r="CD443" s="415"/>
      <c r="CE443" s="415"/>
      <c r="CF443" s="415"/>
      <c r="CG443" s="415"/>
      <c r="CH443" s="415"/>
      <c r="CI443" s="416"/>
      <c r="CJ443" s="416"/>
      <c r="CK443" s="416"/>
      <c r="CL443" s="416"/>
      <c r="CM443" s="416"/>
      <c r="CN443" s="416"/>
      <c r="CO443" s="416"/>
      <c r="CP443" s="416"/>
      <c r="CQ443" s="416"/>
      <c r="CR443" s="416"/>
      <c r="CS443" s="416"/>
      <c r="CT443" s="416"/>
      <c r="CU443" s="416"/>
      <c r="CV443" s="416"/>
      <c r="CW443" s="416"/>
      <c r="CX443" s="416"/>
      <c r="CY443" s="416"/>
      <c r="CZ443" s="416"/>
      <c r="DA443" s="416"/>
      <c r="DB443" s="416"/>
      <c r="DC443" s="416"/>
      <c r="DD443" s="416"/>
      <c r="DE443" s="416"/>
      <c r="DF443" s="416"/>
      <c r="DG443" s="416"/>
      <c r="DH443" s="416"/>
      <c r="DI443" s="416"/>
      <c r="DJ443" s="416"/>
      <c r="DK443" s="416"/>
      <c r="DL443" s="416"/>
      <c r="DM443" s="416"/>
      <c r="DN443" s="818"/>
      <c r="DO443" s="417"/>
    </row>
    <row r="444" spans="1:119" ht="18">
      <c r="A444" s="813"/>
      <c r="B444" s="819" t="s">
        <v>413</v>
      </c>
      <c r="C444" s="408"/>
      <c r="D444" s="408">
        <v>20</v>
      </c>
      <c r="E444" s="408"/>
      <c r="F444" s="408"/>
      <c r="G444" s="408"/>
      <c r="H444" s="408"/>
      <c r="I444" s="408"/>
      <c r="J444" s="408"/>
      <c r="K444" s="408"/>
      <c r="L444" s="408"/>
      <c r="M444" s="408"/>
      <c r="N444" s="408"/>
      <c r="O444" s="408"/>
      <c r="P444" s="412"/>
      <c r="Q444" s="412"/>
      <c r="R444" s="412"/>
      <c r="S444" s="412"/>
      <c r="T444" s="360"/>
      <c r="U444" s="405">
        <f>ROUND((21.5*3.5)-(CC300+CF300),0)</f>
        <v>64</v>
      </c>
      <c r="V444" s="405"/>
      <c r="W444" s="405"/>
      <c r="X444" s="408"/>
      <c r="Y444" s="408"/>
      <c r="Z444" s="408"/>
      <c r="AA444" s="408"/>
      <c r="AB444" s="408"/>
      <c r="AC444" s="408"/>
      <c r="AD444" s="408">
        <f>ROUND((18.8*3.5)-(CC300+CG300),0)</f>
        <v>53</v>
      </c>
      <c r="AE444" s="408"/>
      <c r="AF444" s="408"/>
      <c r="AG444" s="408"/>
      <c r="AH444" s="408"/>
      <c r="AI444" s="408"/>
      <c r="AJ444" s="408"/>
      <c r="AK444" s="408"/>
      <c r="AL444" s="408"/>
      <c r="AM444" s="408"/>
      <c r="AN444" s="408"/>
      <c r="AO444" s="408"/>
      <c r="AP444" s="408"/>
      <c r="AQ444" s="408">
        <f>CC302+CF302</f>
        <v>12</v>
      </c>
      <c r="AR444" s="408"/>
      <c r="AS444" s="412"/>
      <c r="AT444" s="413">
        <f>CC301+CF301</f>
        <v>13.32</v>
      </c>
      <c r="AU444" s="374">
        <f t="shared" si="99"/>
        <v>20</v>
      </c>
      <c r="AV444" s="815"/>
      <c r="AW444" s="815"/>
      <c r="AX444" s="816"/>
      <c r="AY444" s="817"/>
      <c r="AZ444" s="363">
        <f t="shared" si="100"/>
        <v>53</v>
      </c>
      <c r="BA444" s="364">
        <f t="shared" si="98"/>
        <v>0</v>
      </c>
      <c r="BB444" s="395"/>
      <c r="BC444" s="365">
        <f t="shared" si="96"/>
        <v>20</v>
      </c>
      <c r="BD444" s="414"/>
      <c r="BE444" s="415"/>
      <c r="BF444" s="415"/>
      <c r="BG444" s="415"/>
      <c r="BH444" s="415"/>
      <c r="BI444" s="415"/>
      <c r="BJ444" s="415"/>
      <c r="BK444" s="415"/>
      <c r="BL444" s="415"/>
      <c r="BM444" s="415"/>
      <c r="BN444" s="415"/>
      <c r="BO444" s="415"/>
      <c r="BP444" s="415"/>
      <c r="BQ444" s="415"/>
      <c r="BR444" s="415"/>
      <c r="BS444" s="415"/>
      <c r="BT444" s="415"/>
      <c r="BU444" s="415"/>
      <c r="BV444" s="415"/>
      <c r="BW444" s="415"/>
      <c r="BX444" s="415"/>
      <c r="BY444" s="415"/>
      <c r="BZ444" s="415"/>
      <c r="CA444" s="415"/>
      <c r="CB444" s="415"/>
      <c r="CC444" s="415">
        <v>1</v>
      </c>
      <c r="CD444" s="415"/>
      <c r="CE444" s="415"/>
      <c r="CF444" s="415"/>
      <c r="CG444" s="415">
        <v>1</v>
      </c>
      <c r="CH444" s="415"/>
      <c r="CI444" s="416"/>
      <c r="CJ444" s="416"/>
      <c r="CK444" s="416"/>
      <c r="CL444" s="416"/>
      <c r="CM444" s="416"/>
      <c r="CN444" s="416"/>
      <c r="CO444" s="416"/>
      <c r="CP444" s="416"/>
      <c r="CQ444" s="416"/>
      <c r="CR444" s="416"/>
      <c r="CS444" s="416"/>
      <c r="CT444" s="416"/>
      <c r="CU444" s="416"/>
      <c r="CV444" s="416"/>
      <c r="CW444" s="416"/>
      <c r="CX444" s="416"/>
      <c r="CY444" s="416"/>
      <c r="CZ444" s="416"/>
      <c r="DA444" s="416"/>
      <c r="DB444" s="416"/>
      <c r="DC444" s="416"/>
      <c r="DD444" s="416"/>
      <c r="DE444" s="416"/>
      <c r="DF444" s="416"/>
      <c r="DG444" s="416"/>
      <c r="DH444" s="416"/>
      <c r="DI444" s="416"/>
      <c r="DJ444" s="416"/>
      <c r="DK444" s="416"/>
      <c r="DL444" s="416"/>
      <c r="DM444" s="416"/>
      <c r="DN444" s="818"/>
      <c r="DO444" s="417"/>
    </row>
    <row r="445" spans="1:119" ht="18">
      <c r="A445" s="813"/>
      <c r="B445" s="819" t="s">
        <v>1591</v>
      </c>
      <c r="C445" s="463"/>
      <c r="D445" s="463"/>
      <c r="E445" s="459">
        <v>24</v>
      </c>
      <c r="F445" s="408"/>
      <c r="G445" s="408"/>
      <c r="H445" s="408"/>
      <c r="I445" s="408"/>
      <c r="J445" s="408"/>
      <c r="K445" s="408"/>
      <c r="L445" s="408"/>
      <c r="M445" s="408"/>
      <c r="N445" s="408"/>
      <c r="O445" s="408"/>
      <c r="P445" s="412"/>
      <c r="Q445" s="412"/>
      <c r="R445" s="412"/>
      <c r="S445" s="412"/>
      <c r="T445" s="360"/>
      <c r="U445" s="361">
        <f>ROUND((21.8*3.6)-BR300,0)</f>
        <v>76</v>
      </c>
      <c r="V445" s="361"/>
      <c r="W445" s="361"/>
      <c r="X445" s="357"/>
      <c r="Y445" s="357"/>
      <c r="Z445" s="357"/>
      <c r="AA445" s="357"/>
      <c r="AB445" s="357"/>
      <c r="AC445" s="357"/>
      <c r="AD445" s="357">
        <f>ROUND((21.8*3.5)-BR300,0)</f>
        <v>74</v>
      </c>
      <c r="AE445" s="357"/>
      <c r="AF445" s="357"/>
      <c r="AG445" s="357">
        <f>AD445</f>
        <v>74</v>
      </c>
      <c r="AH445" s="357"/>
      <c r="AI445" s="357"/>
      <c r="AJ445" s="357"/>
      <c r="AK445" s="357"/>
      <c r="AL445" s="357"/>
      <c r="AM445" s="357"/>
      <c r="AN445" s="357"/>
      <c r="AO445" s="357"/>
      <c r="AP445" s="357"/>
      <c r="AQ445" s="357">
        <f>ROUND(5*4.7,0)</f>
        <v>24</v>
      </c>
      <c r="AR445" s="357"/>
      <c r="AS445" s="362"/>
      <c r="AT445" s="360">
        <f>ROUND(BR301,0)</f>
        <v>1</v>
      </c>
      <c r="AU445" s="814"/>
      <c r="AV445" s="815">
        <f>E445</f>
        <v>24</v>
      </c>
      <c r="AW445" s="815"/>
      <c r="AX445" s="816"/>
      <c r="AY445" s="817"/>
      <c r="AZ445" s="363"/>
      <c r="BA445" s="364">
        <f t="shared" si="98"/>
        <v>0</v>
      </c>
      <c r="BB445" s="395"/>
      <c r="BC445" s="365">
        <f t="shared" si="96"/>
        <v>24</v>
      </c>
      <c r="BD445" s="414"/>
      <c r="BE445" s="415"/>
      <c r="BF445" s="415"/>
      <c r="BG445" s="415"/>
      <c r="BH445" s="415"/>
      <c r="BI445" s="415"/>
      <c r="BJ445" s="415"/>
      <c r="BK445" s="415"/>
      <c r="BL445" s="415"/>
      <c r="BM445" s="415"/>
      <c r="BN445" s="415"/>
      <c r="BO445" s="415"/>
      <c r="BP445" s="415"/>
      <c r="BQ445" s="415"/>
      <c r="BR445" s="415">
        <v>1</v>
      </c>
      <c r="BS445" s="415"/>
      <c r="BT445" s="415"/>
      <c r="BU445" s="415"/>
      <c r="BV445" s="415"/>
      <c r="BW445" s="415"/>
      <c r="BX445" s="415"/>
      <c r="BY445" s="415"/>
      <c r="BZ445" s="415"/>
      <c r="CA445" s="415"/>
      <c r="CB445" s="415"/>
      <c r="CC445" s="415"/>
      <c r="CD445" s="415"/>
      <c r="CE445" s="415"/>
      <c r="CF445" s="415"/>
      <c r="CG445" s="415"/>
      <c r="CH445" s="415"/>
      <c r="CI445" s="416"/>
      <c r="CJ445" s="416"/>
      <c r="CK445" s="416"/>
      <c r="CL445" s="416"/>
      <c r="CM445" s="416"/>
      <c r="CN445" s="416"/>
      <c r="CO445" s="416"/>
      <c r="CP445" s="416"/>
      <c r="CQ445" s="416"/>
      <c r="CR445" s="416"/>
      <c r="CS445" s="416"/>
      <c r="CT445" s="416"/>
      <c r="CU445" s="416"/>
      <c r="CV445" s="416"/>
      <c r="CW445" s="416"/>
      <c r="CX445" s="416"/>
      <c r="CY445" s="416"/>
      <c r="CZ445" s="416"/>
      <c r="DA445" s="416"/>
      <c r="DB445" s="416"/>
      <c r="DC445" s="416"/>
      <c r="DD445" s="416"/>
      <c r="DE445" s="416"/>
      <c r="DF445" s="416"/>
      <c r="DG445" s="416"/>
      <c r="DH445" s="416"/>
      <c r="DI445" s="416"/>
      <c r="DJ445" s="416"/>
      <c r="DK445" s="416"/>
      <c r="DL445" s="416"/>
      <c r="DM445" s="416"/>
      <c r="DN445" s="818"/>
      <c r="DO445" s="417"/>
    </row>
    <row r="446" spans="1:119" ht="18">
      <c r="A446" s="406"/>
      <c r="B446" s="819" t="s">
        <v>1592</v>
      </c>
      <c r="C446" s="463"/>
      <c r="D446" s="463"/>
      <c r="E446" s="459">
        <v>24</v>
      </c>
      <c r="F446" s="409"/>
      <c r="G446" s="409"/>
      <c r="H446" s="409"/>
      <c r="I446" s="409"/>
      <c r="J446" s="409"/>
      <c r="K446" s="409"/>
      <c r="L446" s="409"/>
      <c r="M446" s="409"/>
      <c r="N446" s="409"/>
      <c r="O446" s="409"/>
      <c r="P446" s="410"/>
      <c r="Q446" s="410"/>
      <c r="R446" s="410"/>
      <c r="S446" s="410"/>
      <c r="T446" s="360"/>
      <c r="U446" s="361">
        <f>ROUND((17.1*3.6)-BR300,0)</f>
        <v>59</v>
      </c>
      <c r="V446" s="361"/>
      <c r="W446" s="361"/>
      <c r="X446" s="357"/>
      <c r="Y446" s="357"/>
      <c r="Z446" s="357"/>
      <c r="AA446" s="357"/>
      <c r="AB446" s="357"/>
      <c r="AC446" s="357"/>
      <c r="AD446" s="357">
        <f>AD445</f>
        <v>74</v>
      </c>
      <c r="AE446" s="357"/>
      <c r="AF446" s="357"/>
      <c r="AG446" s="357">
        <f>AD446</f>
        <v>74</v>
      </c>
      <c r="AH446" s="357"/>
      <c r="AI446" s="357"/>
      <c r="AJ446" s="357"/>
      <c r="AK446" s="357"/>
      <c r="AL446" s="357"/>
      <c r="AM446" s="357"/>
      <c r="AN446" s="357"/>
      <c r="AO446" s="357"/>
      <c r="AP446" s="357"/>
      <c r="AQ446" s="357">
        <f>AQ445</f>
        <v>24</v>
      </c>
      <c r="AR446" s="357"/>
      <c r="AS446" s="362"/>
      <c r="AT446" s="360">
        <f>AT445</f>
        <v>1</v>
      </c>
      <c r="AU446" s="405"/>
      <c r="AV446" s="815">
        <f>E446</f>
        <v>24</v>
      </c>
      <c r="AW446" s="408"/>
      <c r="AX446" s="412"/>
      <c r="AY446" s="413"/>
      <c r="AZ446" s="363"/>
      <c r="BA446" s="364">
        <f t="shared" si="98"/>
        <v>0</v>
      </c>
      <c r="BB446" s="395"/>
      <c r="BC446" s="365">
        <f t="shared" si="96"/>
        <v>24</v>
      </c>
      <c r="BD446" s="414"/>
      <c r="BE446" s="415"/>
      <c r="BF446" s="415"/>
      <c r="BG446" s="415"/>
      <c r="BH446" s="415"/>
      <c r="BI446" s="415"/>
      <c r="BJ446" s="655"/>
      <c r="BK446" s="415"/>
      <c r="BL446" s="415"/>
      <c r="BM446" s="415"/>
      <c r="BN446" s="415"/>
      <c r="BO446" s="415"/>
      <c r="BP446" s="415"/>
      <c r="BQ446" s="415"/>
      <c r="BR446" s="415">
        <v>1</v>
      </c>
      <c r="BS446" s="415"/>
      <c r="BT446" s="415"/>
      <c r="BU446" s="655"/>
      <c r="BV446" s="415"/>
      <c r="BW446" s="415"/>
      <c r="BX446" s="415"/>
      <c r="BY446" s="655"/>
      <c r="BZ446" s="655"/>
      <c r="CA446" s="655"/>
      <c r="CB446" s="415"/>
      <c r="CC446" s="655"/>
      <c r="CD446" s="415"/>
      <c r="CE446" s="415"/>
      <c r="CF446" s="415"/>
      <c r="CG446" s="415"/>
      <c r="CH446" s="415"/>
      <c r="CI446" s="656"/>
      <c r="CJ446" s="416"/>
      <c r="CK446" s="656"/>
      <c r="CL446" s="416"/>
      <c r="CM446" s="656"/>
      <c r="CN446" s="416"/>
      <c r="CO446" s="416"/>
      <c r="CP446" s="416"/>
      <c r="CQ446" s="656"/>
      <c r="CR446" s="656"/>
      <c r="CS446" s="416"/>
      <c r="CT446" s="416"/>
      <c r="CU446" s="416"/>
      <c r="CV446" s="416"/>
      <c r="CW446" s="416"/>
      <c r="CX446" s="656"/>
      <c r="CY446" s="656"/>
      <c r="CZ446" s="416"/>
      <c r="DA446" s="416"/>
      <c r="DB446" s="416"/>
      <c r="DC446" s="416"/>
      <c r="DD446" s="416"/>
      <c r="DE446" s="416"/>
      <c r="DF446" s="416"/>
      <c r="DG446" s="416"/>
      <c r="DH446" s="416"/>
      <c r="DI446" s="416"/>
      <c r="DJ446" s="416"/>
      <c r="DK446" s="416"/>
      <c r="DL446" s="416"/>
      <c r="DM446" s="416"/>
      <c r="DN446" s="416"/>
      <c r="DO446" s="417"/>
    </row>
    <row r="447" spans="1:119" ht="18">
      <c r="A447" s="406"/>
      <c r="B447" s="819" t="s">
        <v>1609</v>
      </c>
      <c r="C447" s="463">
        <f>ROUNDUP(((0.25*1.5)*20)+((0.17*1.5)*22)+(1.8*3.2)+((3.3*3.2)*2),0)</f>
        <v>40</v>
      </c>
      <c r="D447" s="463"/>
      <c r="E447" s="357"/>
      <c r="F447" s="409"/>
      <c r="G447" s="409"/>
      <c r="H447" s="409"/>
      <c r="I447" s="409"/>
      <c r="J447" s="409"/>
      <c r="K447" s="409"/>
      <c r="L447" s="409"/>
      <c r="M447" s="409"/>
      <c r="N447" s="409"/>
      <c r="O447" s="409"/>
      <c r="P447" s="410"/>
      <c r="Q447" s="410"/>
      <c r="R447" s="410"/>
      <c r="S447" s="410"/>
      <c r="T447" s="360"/>
      <c r="U447" s="405"/>
      <c r="V447" s="405"/>
      <c r="W447" s="405"/>
      <c r="X447" s="408"/>
      <c r="Y447" s="408"/>
      <c r="Z447" s="408"/>
      <c r="AA447" s="408"/>
      <c r="AB447" s="408"/>
      <c r="AC447" s="408"/>
      <c r="AD447" s="408"/>
      <c r="AE447" s="408"/>
      <c r="AF447" s="408"/>
      <c r="AG447" s="408"/>
      <c r="AH447" s="408"/>
      <c r="AI447" s="408"/>
      <c r="AJ447" s="408"/>
      <c r="AK447" s="408"/>
      <c r="AL447" s="408"/>
      <c r="AM447" s="408"/>
      <c r="AN447" s="408"/>
      <c r="AO447" s="408"/>
      <c r="AP447" s="408"/>
      <c r="AQ447" s="408"/>
      <c r="AR447" s="408"/>
      <c r="AS447" s="412"/>
      <c r="AT447" s="413"/>
      <c r="AU447" s="405"/>
      <c r="AV447" s="408"/>
      <c r="AW447" s="408"/>
      <c r="AX447" s="412"/>
      <c r="AY447" s="413"/>
      <c r="AZ447" s="363">
        <f t="shared" si="100"/>
        <v>0</v>
      </c>
      <c r="BA447" s="364">
        <f t="shared" si="98"/>
        <v>0</v>
      </c>
      <c r="BB447" s="395"/>
      <c r="BC447" s="365">
        <f t="shared" si="96"/>
        <v>0</v>
      </c>
      <c r="BD447" s="414"/>
      <c r="BE447" s="415"/>
      <c r="BF447" s="415"/>
      <c r="BG447" s="415"/>
      <c r="BH447" s="415"/>
      <c r="BI447" s="415"/>
      <c r="BJ447" s="655"/>
      <c r="BK447" s="415"/>
      <c r="BL447" s="415"/>
      <c r="BM447" s="415"/>
      <c r="BN447" s="415"/>
      <c r="BO447" s="415"/>
      <c r="BP447" s="415"/>
      <c r="BQ447" s="415"/>
      <c r="BR447" s="415"/>
      <c r="BS447" s="415"/>
      <c r="BT447" s="415"/>
      <c r="BU447" s="655"/>
      <c r="BV447" s="415"/>
      <c r="BW447" s="415"/>
      <c r="BX447" s="415"/>
      <c r="BY447" s="655"/>
      <c r="BZ447" s="655"/>
      <c r="CA447" s="655"/>
      <c r="CB447" s="415"/>
      <c r="CC447" s="655"/>
      <c r="CD447" s="415"/>
      <c r="CE447" s="415"/>
      <c r="CF447" s="415"/>
      <c r="CG447" s="415"/>
      <c r="CH447" s="415"/>
      <c r="CI447" s="656"/>
      <c r="CJ447" s="416"/>
      <c r="CK447" s="656"/>
      <c r="CL447" s="416"/>
      <c r="CM447" s="656"/>
      <c r="CN447" s="416"/>
      <c r="CO447" s="416"/>
      <c r="CP447" s="416"/>
      <c r="CQ447" s="656"/>
      <c r="CR447" s="656"/>
      <c r="CS447" s="416"/>
      <c r="CT447" s="416"/>
      <c r="CU447" s="416"/>
      <c r="CV447" s="416"/>
      <c r="CW447" s="416"/>
      <c r="CX447" s="656"/>
      <c r="CY447" s="656"/>
      <c r="CZ447" s="416"/>
      <c r="DA447" s="416"/>
      <c r="DB447" s="416"/>
      <c r="DC447" s="416"/>
      <c r="DD447" s="416"/>
      <c r="DE447" s="416"/>
      <c r="DF447" s="416"/>
      <c r="DG447" s="416"/>
      <c r="DH447" s="416"/>
      <c r="DI447" s="416"/>
      <c r="DJ447" s="416"/>
      <c r="DK447" s="416"/>
      <c r="DL447" s="416"/>
      <c r="DM447" s="416"/>
      <c r="DN447" s="416"/>
      <c r="DO447" s="417"/>
    </row>
    <row r="448" spans="1:119" ht="18">
      <c r="A448" s="406"/>
      <c r="B448" s="819" t="s">
        <v>1610</v>
      </c>
      <c r="C448" s="357"/>
      <c r="D448" s="357"/>
      <c r="E448" s="357"/>
      <c r="F448" s="409"/>
      <c r="G448" s="409"/>
      <c r="H448" s="409"/>
      <c r="I448" s="409"/>
      <c r="J448" s="409"/>
      <c r="K448" s="409"/>
      <c r="L448" s="409"/>
      <c r="M448" s="409"/>
      <c r="N448" s="409"/>
      <c r="O448" s="409"/>
      <c r="P448" s="410"/>
      <c r="Q448" s="410"/>
      <c r="R448" s="410"/>
      <c r="S448" s="410"/>
      <c r="T448" s="360"/>
      <c r="U448" s="453">
        <f>ROUND(7.2*3.8,0)</f>
        <v>27</v>
      </c>
      <c r="V448" s="453">
        <f>ROUND((22*5.3)-BU300,0)</f>
        <v>114</v>
      </c>
      <c r="W448" s="453"/>
      <c r="X448" s="357"/>
      <c r="Y448" s="357"/>
      <c r="Z448" s="357"/>
      <c r="AA448" s="357"/>
      <c r="AB448" s="357"/>
      <c r="AC448" s="357"/>
      <c r="AD448" s="357">
        <f>ROUND((22.2*5.3)-BU300,0)</f>
        <v>115</v>
      </c>
      <c r="AE448" s="357"/>
      <c r="AF448" s="357"/>
      <c r="AG448" s="357"/>
      <c r="AH448" s="357"/>
      <c r="AI448" s="357"/>
      <c r="AJ448" s="357"/>
      <c r="AK448" s="357"/>
      <c r="AL448" s="357"/>
      <c r="AM448" s="357"/>
      <c r="AN448" s="357"/>
      <c r="AO448" s="357"/>
      <c r="AP448" s="357"/>
      <c r="AQ448" s="357">
        <f>BU302</f>
        <v>4.0999999999999996</v>
      </c>
      <c r="AR448" s="357">
        <f>2*5.3</f>
        <v>10.6</v>
      </c>
      <c r="AS448" s="362"/>
      <c r="AT448" s="360">
        <f>BU301</f>
        <v>1.1000000000000001</v>
      </c>
      <c r="AU448" s="405"/>
      <c r="AV448" s="408"/>
      <c r="AW448" s="408">
        <v>25</v>
      </c>
      <c r="AX448" s="412"/>
      <c r="AY448" s="413"/>
      <c r="AZ448" s="363">
        <f t="shared" si="100"/>
        <v>115</v>
      </c>
      <c r="BA448" s="364">
        <f t="shared" si="98"/>
        <v>0</v>
      </c>
      <c r="BB448" s="395"/>
      <c r="BC448" s="365">
        <f t="shared" si="96"/>
        <v>25</v>
      </c>
      <c r="BD448" s="414"/>
      <c r="BE448" s="415"/>
      <c r="BF448" s="415"/>
      <c r="BG448" s="415"/>
      <c r="BH448" s="415"/>
      <c r="BI448" s="415"/>
      <c r="BJ448" s="655"/>
      <c r="BK448" s="415"/>
      <c r="BL448" s="415"/>
      <c r="BM448" s="415"/>
      <c r="BN448" s="415"/>
      <c r="BO448" s="415"/>
      <c r="BP448" s="415"/>
      <c r="BQ448" s="415"/>
      <c r="BR448" s="415"/>
      <c r="BS448" s="415"/>
      <c r="BT448" s="415"/>
      <c r="BU448" s="655">
        <v>1</v>
      </c>
      <c r="BV448" s="415"/>
      <c r="BW448" s="415"/>
      <c r="BX448" s="415"/>
      <c r="BY448" s="655"/>
      <c r="BZ448" s="655"/>
      <c r="CA448" s="655"/>
      <c r="CB448" s="415"/>
      <c r="CC448" s="655"/>
      <c r="CD448" s="415"/>
      <c r="CE448" s="415"/>
      <c r="CF448" s="415"/>
      <c r="CG448" s="415"/>
      <c r="CH448" s="415"/>
      <c r="CI448" s="656"/>
      <c r="CJ448" s="416"/>
      <c r="CK448" s="656"/>
      <c r="CL448" s="416"/>
      <c r="CM448" s="656"/>
      <c r="CN448" s="416"/>
      <c r="CO448" s="416"/>
      <c r="CP448" s="416"/>
      <c r="CQ448" s="656"/>
      <c r="CR448" s="656"/>
      <c r="CS448" s="416"/>
      <c r="CT448" s="416"/>
      <c r="CU448" s="416"/>
      <c r="CV448" s="416"/>
      <c r="CW448" s="416"/>
      <c r="CX448" s="656"/>
      <c r="CY448" s="656"/>
      <c r="CZ448" s="416"/>
      <c r="DA448" s="416"/>
      <c r="DB448" s="416"/>
      <c r="DC448" s="416"/>
      <c r="DD448" s="416"/>
      <c r="DE448" s="416"/>
      <c r="DF448" s="416"/>
      <c r="DG448" s="416"/>
      <c r="DH448" s="416"/>
      <c r="DI448" s="416"/>
      <c r="DJ448" s="416"/>
      <c r="DK448" s="416"/>
      <c r="DL448" s="416"/>
      <c r="DM448" s="416"/>
      <c r="DN448" s="416"/>
      <c r="DO448" s="417"/>
    </row>
    <row r="449" spans="1:119" ht="18">
      <c r="A449" s="406"/>
      <c r="B449" s="819" t="s">
        <v>1611</v>
      </c>
      <c r="C449" s="357"/>
      <c r="D449" s="357">
        <f>ROUNDUP(((0.25*2.1)*20)+((0.18*2.1)*22)+((4.5*3)*2)+(4.5*2),0)</f>
        <v>55</v>
      </c>
      <c r="E449" s="357"/>
      <c r="F449" s="409"/>
      <c r="G449" s="409"/>
      <c r="H449" s="409"/>
      <c r="I449" s="409"/>
      <c r="J449" s="409"/>
      <c r="K449" s="409"/>
      <c r="L449" s="409"/>
      <c r="M449" s="409"/>
      <c r="N449" s="409"/>
      <c r="O449" s="409"/>
      <c r="P449" s="410"/>
      <c r="Q449" s="410"/>
      <c r="R449" s="410"/>
      <c r="S449" s="410"/>
      <c r="T449" s="360"/>
      <c r="U449" s="453"/>
      <c r="V449" s="453"/>
      <c r="W449" s="453"/>
      <c r="X449" s="357"/>
      <c r="Y449" s="357"/>
      <c r="Z449" s="357"/>
      <c r="AA449" s="357"/>
      <c r="AB449" s="357"/>
      <c r="AC449" s="357"/>
      <c r="AD449" s="357"/>
      <c r="AE449" s="357"/>
      <c r="AF449" s="357"/>
      <c r="AG449" s="357"/>
      <c r="AH449" s="357"/>
      <c r="AI449" s="357"/>
      <c r="AJ449" s="357"/>
      <c r="AK449" s="357"/>
      <c r="AL449" s="357"/>
      <c r="AM449" s="357"/>
      <c r="AN449" s="357"/>
      <c r="AO449" s="357"/>
      <c r="AP449" s="357"/>
      <c r="AQ449" s="357"/>
      <c r="AR449" s="357"/>
      <c r="AS449" s="362"/>
      <c r="AT449" s="360"/>
      <c r="AU449" s="405"/>
      <c r="AV449" s="408"/>
      <c r="AW449" s="408"/>
      <c r="AX449" s="412"/>
      <c r="AY449" s="413"/>
      <c r="AZ449" s="363">
        <f t="shared" si="100"/>
        <v>0</v>
      </c>
      <c r="BA449" s="364">
        <f t="shared" si="98"/>
        <v>0</v>
      </c>
      <c r="BB449" s="395"/>
      <c r="BC449" s="365">
        <f t="shared" si="96"/>
        <v>0</v>
      </c>
      <c r="BD449" s="414"/>
      <c r="BE449" s="415"/>
      <c r="BF449" s="415"/>
      <c r="BG449" s="415"/>
      <c r="BH449" s="415"/>
      <c r="BI449" s="415"/>
      <c r="BJ449" s="655"/>
      <c r="BK449" s="415"/>
      <c r="BL449" s="415"/>
      <c r="BM449" s="415"/>
      <c r="BN449" s="415"/>
      <c r="BO449" s="415"/>
      <c r="BP449" s="415"/>
      <c r="BQ449" s="415"/>
      <c r="BR449" s="415"/>
      <c r="BS449" s="415"/>
      <c r="BT449" s="415"/>
      <c r="BU449" s="655"/>
      <c r="BV449" s="415"/>
      <c r="BW449" s="415"/>
      <c r="BX449" s="415"/>
      <c r="BY449" s="655"/>
      <c r="BZ449" s="655"/>
      <c r="CA449" s="655"/>
      <c r="CB449" s="415"/>
      <c r="CC449" s="655"/>
      <c r="CD449" s="415"/>
      <c r="CE449" s="415"/>
      <c r="CF449" s="415"/>
      <c r="CG449" s="415"/>
      <c r="CH449" s="415"/>
      <c r="CI449" s="656"/>
      <c r="CJ449" s="416"/>
      <c r="CK449" s="656"/>
      <c r="CL449" s="416"/>
      <c r="CM449" s="656"/>
      <c r="CN449" s="416"/>
      <c r="CO449" s="416"/>
      <c r="CP449" s="416"/>
      <c r="CQ449" s="656"/>
      <c r="CR449" s="656"/>
      <c r="CS449" s="416"/>
      <c r="CT449" s="416"/>
      <c r="CU449" s="416"/>
      <c r="CV449" s="416"/>
      <c r="CW449" s="416"/>
      <c r="CX449" s="656"/>
      <c r="CY449" s="656"/>
      <c r="CZ449" s="416"/>
      <c r="DA449" s="416"/>
      <c r="DB449" s="416"/>
      <c r="DC449" s="416"/>
      <c r="DD449" s="416"/>
      <c r="DE449" s="416"/>
      <c r="DF449" s="416"/>
      <c r="DG449" s="416"/>
      <c r="DH449" s="416"/>
      <c r="DI449" s="416"/>
      <c r="DJ449" s="416"/>
      <c r="DK449" s="416"/>
      <c r="DL449" s="416"/>
      <c r="DM449" s="416"/>
      <c r="DN449" s="416"/>
      <c r="DO449" s="417"/>
    </row>
    <row r="450" spans="1:119" ht="18">
      <c r="A450" s="406"/>
      <c r="B450" s="819" t="s">
        <v>1612</v>
      </c>
      <c r="C450" s="357"/>
      <c r="D450" s="357"/>
      <c r="E450" s="357"/>
      <c r="F450" s="409"/>
      <c r="G450" s="409"/>
      <c r="H450" s="409"/>
      <c r="I450" s="409"/>
      <c r="J450" s="409"/>
      <c r="K450" s="409"/>
      <c r="L450" s="409"/>
      <c r="M450" s="409"/>
      <c r="N450" s="409"/>
      <c r="O450" s="409"/>
      <c r="P450" s="410"/>
      <c r="Q450" s="410"/>
      <c r="R450" s="410"/>
      <c r="S450" s="410"/>
      <c r="T450" s="360"/>
      <c r="U450" s="453">
        <f>ROUND((23.99*5.4)-(BP300+CL300),0)</f>
        <v>121</v>
      </c>
      <c r="V450" s="453"/>
      <c r="W450" s="453"/>
      <c r="X450" s="357"/>
      <c r="Y450" s="357"/>
      <c r="Z450" s="357"/>
      <c r="AA450" s="357"/>
      <c r="AB450" s="357"/>
      <c r="AC450" s="357"/>
      <c r="AD450" s="357">
        <f>ROUND((24*5.4)-(BP300+CL300),0)</f>
        <v>121</v>
      </c>
      <c r="AE450" s="357"/>
      <c r="AF450" s="357"/>
      <c r="AG450" s="357"/>
      <c r="AH450" s="357"/>
      <c r="AI450" s="357"/>
      <c r="AJ450" s="357"/>
      <c r="AK450" s="357"/>
      <c r="AL450" s="357"/>
      <c r="AM450" s="357"/>
      <c r="AN450" s="357"/>
      <c r="AO450" s="357"/>
      <c r="AP450" s="357"/>
      <c r="AQ450" s="357">
        <f>(2*5.4)+BP302+CL302</f>
        <v>19.100000000000001</v>
      </c>
      <c r="AR450" s="357"/>
      <c r="AS450" s="362"/>
      <c r="AT450" s="360">
        <f>BP301+CL301</f>
        <v>5.68</v>
      </c>
      <c r="AU450" s="405"/>
      <c r="AV450" s="408"/>
      <c r="AW450" s="408">
        <v>35</v>
      </c>
      <c r="AX450" s="412"/>
      <c r="AY450" s="413"/>
      <c r="AZ450" s="363">
        <f t="shared" si="100"/>
        <v>121</v>
      </c>
      <c r="BA450" s="364">
        <f t="shared" si="98"/>
        <v>0</v>
      </c>
      <c r="BB450" s="395"/>
      <c r="BC450" s="365">
        <f t="shared" si="96"/>
        <v>35</v>
      </c>
      <c r="BD450" s="414"/>
      <c r="BE450" s="415"/>
      <c r="BF450" s="415"/>
      <c r="BG450" s="415"/>
      <c r="BH450" s="415"/>
      <c r="BI450" s="415"/>
      <c r="BJ450" s="655"/>
      <c r="BK450" s="415"/>
      <c r="BL450" s="415"/>
      <c r="BM450" s="415"/>
      <c r="BN450" s="415"/>
      <c r="BO450" s="415"/>
      <c r="BP450" s="415">
        <v>1</v>
      </c>
      <c r="BQ450" s="415"/>
      <c r="BR450" s="415"/>
      <c r="BS450" s="415"/>
      <c r="BT450" s="415"/>
      <c r="BU450" s="655"/>
      <c r="BV450" s="415"/>
      <c r="BW450" s="415"/>
      <c r="BX450" s="415"/>
      <c r="BY450" s="655"/>
      <c r="BZ450" s="655"/>
      <c r="CA450" s="655"/>
      <c r="CB450" s="415"/>
      <c r="CC450" s="655"/>
      <c r="CD450" s="415"/>
      <c r="CE450" s="415"/>
      <c r="CF450" s="415"/>
      <c r="CG450" s="415"/>
      <c r="CH450" s="415"/>
      <c r="CI450" s="656"/>
      <c r="CJ450" s="416"/>
      <c r="CK450" s="656"/>
      <c r="CL450" s="416">
        <v>1</v>
      </c>
      <c r="CM450" s="656"/>
      <c r="CN450" s="416"/>
      <c r="CO450" s="416"/>
      <c r="CP450" s="416"/>
      <c r="CQ450" s="656"/>
      <c r="CR450" s="656"/>
      <c r="CS450" s="416"/>
      <c r="CT450" s="416"/>
      <c r="CU450" s="416"/>
      <c r="CV450" s="416"/>
      <c r="CW450" s="416"/>
      <c r="CX450" s="656"/>
      <c r="CY450" s="656"/>
      <c r="CZ450" s="416"/>
      <c r="DA450" s="416"/>
      <c r="DB450" s="416"/>
      <c r="DC450" s="416"/>
      <c r="DD450" s="416"/>
      <c r="DE450" s="416"/>
      <c r="DF450" s="416"/>
      <c r="DG450" s="416"/>
      <c r="DH450" s="416"/>
      <c r="DI450" s="416"/>
      <c r="DJ450" s="416"/>
      <c r="DK450" s="416"/>
      <c r="DL450" s="416"/>
      <c r="DM450" s="416"/>
      <c r="DN450" s="416"/>
      <c r="DO450" s="417"/>
    </row>
    <row r="451" spans="1:119">
      <c r="A451" s="406"/>
      <c r="B451" s="374" t="s">
        <v>402</v>
      </c>
      <c r="C451" s="357"/>
      <c r="D451" s="357"/>
      <c r="E451" s="357"/>
      <c r="F451" s="409"/>
      <c r="G451" s="409"/>
      <c r="H451" s="409">
        <f>ROUNDUP(2.2+(5.6*9)+3.9+(5.2*13),0)</f>
        <v>125</v>
      </c>
      <c r="I451" s="409"/>
      <c r="J451" s="409"/>
      <c r="K451" s="409"/>
      <c r="L451" s="409"/>
      <c r="M451" s="409"/>
      <c r="N451" s="409"/>
      <c r="O451" s="409"/>
      <c r="P451" s="410"/>
      <c r="Q451" s="410"/>
      <c r="R451" s="410"/>
      <c r="S451" s="410"/>
      <c r="T451" s="360">
        <f>SUM(C451:O451)</f>
        <v>125</v>
      </c>
      <c r="U451" s="405"/>
      <c r="V451" s="405"/>
      <c r="W451" s="405"/>
      <c r="X451" s="408"/>
      <c r="Y451" s="408"/>
      <c r="Z451" s="408"/>
      <c r="AA451" s="408"/>
      <c r="AB451" s="408"/>
      <c r="AC451" s="408"/>
      <c r="AD451" s="408"/>
      <c r="AE451" s="408"/>
      <c r="AF451" s="408"/>
      <c r="AG451" s="408"/>
      <c r="AH451" s="408"/>
      <c r="AI451" s="408"/>
      <c r="AJ451" s="408"/>
      <c r="AK451" s="408"/>
      <c r="AL451" s="408"/>
      <c r="AM451" s="408"/>
      <c r="AN451" s="408"/>
      <c r="AO451" s="408"/>
      <c r="AP451" s="408"/>
      <c r="AQ451" s="408"/>
      <c r="AR451" s="408"/>
      <c r="AS451" s="412"/>
      <c r="AT451" s="413"/>
      <c r="AU451" s="405"/>
      <c r="AV451" s="408"/>
      <c r="AW451" s="408"/>
      <c r="AX451" s="412"/>
      <c r="AY451" s="413"/>
      <c r="AZ451" s="363">
        <f t="shared" si="100"/>
        <v>0</v>
      </c>
      <c r="BA451" s="364">
        <f t="shared" si="98"/>
        <v>0</v>
      </c>
      <c r="BB451" s="395"/>
      <c r="BC451" s="365">
        <f t="shared" si="96"/>
        <v>0</v>
      </c>
      <c r="BD451" s="414"/>
      <c r="BE451" s="415"/>
      <c r="BF451" s="415"/>
      <c r="BG451" s="415"/>
      <c r="BH451" s="415"/>
      <c r="BI451" s="415"/>
      <c r="BJ451" s="655"/>
      <c r="BK451" s="415"/>
      <c r="BL451" s="415"/>
      <c r="BM451" s="415"/>
      <c r="BN451" s="415"/>
      <c r="BO451" s="415"/>
      <c r="BP451" s="415"/>
      <c r="BQ451" s="415"/>
      <c r="BR451" s="415"/>
      <c r="BS451" s="415"/>
      <c r="BT451" s="415"/>
      <c r="BU451" s="655"/>
      <c r="BV451" s="415"/>
      <c r="BW451" s="415"/>
      <c r="BX451" s="415"/>
      <c r="BY451" s="655"/>
      <c r="BZ451" s="655"/>
      <c r="CA451" s="655"/>
      <c r="CB451" s="415"/>
      <c r="CC451" s="655"/>
      <c r="CD451" s="415"/>
      <c r="CE451" s="415"/>
      <c r="CF451" s="415"/>
      <c r="CG451" s="415"/>
      <c r="CH451" s="415"/>
      <c r="CI451" s="656"/>
      <c r="CJ451" s="416"/>
      <c r="CK451" s="656"/>
      <c r="CL451" s="416"/>
      <c r="CM451" s="656"/>
      <c r="CN451" s="416"/>
      <c r="CO451" s="416"/>
      <c r="CP451" s="416"/>
      <c r="CQ451" s="656"/>
      <c r="CR451" s="656"/>
      <c r="CS451" s="416"/>
      <c r="CT451" s="416"/>
      <c r="CU451" s="416"/>
      <c r="CV451" s="416"/>
      <c r="CW451" s="416"/>
      <c r="CX451" s="656"/>
      <c r="CY451" s="656"/>
      <c r="CZ451" s="416"/>
      <c r="DA451" s="416"/>
      <c r="DB451" s="416"/>
      <c r="DC451" s="416"/>
      <c r="DD451" s="416"/>
      <c r="DE451" s="416"/>
      <c r="DF451" s="416"/>
      <c r="DG451" s="416"/>
      <c r="DH451" s="416"/>
      <c r="DI451" s="416"/>
      <c r="DJ451" s="416"/>
      <c r="DK451" s="416"/>
      <c r="DL451" s="416"/>
      <c r="DM451" s="416"/>
      <c r="DN451" s="416"/>
      <c r="DO451" s="383"/>
    </row>
    <row r="452" spans="1:119" ht="18">
      <c r="A452" s="406"/>
      <c r="B452" s="819" t="s">
        <v>1364</v>
      </c>
      <c r="C452" s="357"/>
      <c r="D452" s="357"/>
      <c r="E452" s="357"/>
      <c r="F452" s="409"/>
      <c r="G452" s="409"/>
      <c r="H452" s="409"/>
      <c r="I452" s="409"/>
      <c r="J452" s="409"/>
      <c r="K452" s="409"/>
      <c r="L452" s="409"/>
      <c r="M452" s="409"/>
      <c r="N452" s="409"/>
      <c r="O452" s="409"/>
      <c r="P452" s="410"/>
      <c r="Q452" s="410"/>
      <c r="R452" s="410"/>
      <c r="S452" s="410"/>
      <c r="T452" s="360">
        <f>SUM(C452:O452)</f>
        <v>0</v>
      </c>
      <c r="U452" s="405"/>
      <c r="V452" s="405"/>
      <c r="W452" s="405"/>
      <c r="X452" s="408"/>
      <c r="Y452" s="408"/>
      <c r="Z452" s="408"/>
      <c r="AA452" s="408"/>
      <c r="AB452" s="408"/>
      <c r="AC452" s="408"/>
      <c r="AD452" s="408"/>
      <c r="AE452" s="408"/>
      <c r="AF452" s="408"/>
      <c r="AG452" s="408"/>
      <c r="AH452" s="408"/>
      <c r="AI452" s="408"/>
      <c r="AJ452" s="408"/>
      <c r="AK452" s="408"/>
      <c r="AL452" s="408"/>
      <c r="AM452" s="408"/>
      <c r="AN452" s="408"/>
      <c r="AO452" s="408"/>
      <c r="AP452" s="408"/>
      <c r="AQ452" s="408"/>
      <c r="AR452" s="408"/>
      <c r="AS452" s="412"/>
      <c r="AT452" s="413"/>
      <c r="AU452" s="405"/>
      <c r="AV452" s="408"/>
      <c r="AW452" s="408"/>
      <c r="AX452" s="412"/>
      <c r="AY452" s="413"/>
      <c r="AZ452" s="363">
        <f t="shared" si="100"/>
        <v>0</v>
      </c>
      <c r="BA452" s="364">
        <f t="shared" si="98"/>
        <v>0</v>
      </c>
      <c r="BB452" s="395"/>
      <c r="BC452" s="365">
        <f t="shared" si="96"/>
        <v>0</v>
      </c>
      <c r="BD452" s="414"/>
      <c r="BE452" s="415"/>
      <c r="BF452" s="415"/>
      <c r="BG452" s="415"/>
      <c r="BH452" s="415"/>
      <c r="BI452" s="415"/>
      <c r="BJ452" s="655"/>
      <c r="BK452" s="415"/>
      <c r="BL452" s="415"/>
      <c r="BM452" s="415"/>
      <c r="BN452" s="415"/>
      <c r="BO452" s="415"/>
      <c r="BP452" s="415"/>
      <c r="BQ452" s="415"/>
      <c r="BR452" s="415"/>
      <c r="BS452" s="415"/>
      <c r="BT452" s="415"/>
      <c r="BU452" s="655"/>
      <c r="BV452" s="415"/>
      <c r="BW452" s="415"/>
      <c r="BX452" s="415"/>
      <c r="BY452" s="655"/>
      <c r="BZ452" s="655"/>
      <c r="CA452" s="655"/>
      <c r="CB452" s="415"/>
      <c r="CC452" s="655"/>
      <c r="CD452" s="415"/>
      <c r="CE452" s="415"/>
      <c r="CF452" s="415"/>
      <c r="CG452" s="415"/>
      <c r="CH452" s="415"/>
      <c r="CI452" s="656"/>
      <c r="CJ452" s="416"/>
      <c r="CK452" s="656"/>
      <c r="CL452" s="416"/>
      <c r="CM452" s="656"/>
      <c r="CN452" s="416"/>
      <c r="CO452" s="416"/>
      <c r="CP452" s="416"/>
      <c r="CQ452" s="656"/>
      <c r="CR452" s="656"/>
      <c r="CS452" s="416"/>
      <c r="CT452" s="416"/>
      <c r="CU452" s="416"/>
      <c r="CV452" s="416"/>
      <c r="CW452" s="416"/>
      <c r="CX452" s="656"/>
      <c r="CY452" s="656"/>
      <c r="CZ452" s="416"/>
      <c r="DA452" s="416"/>
      <c r="DB452" s="416"/>
      <c r="DC452" s="416"/>
      <c r="DD452" s="416"/>
      <c r="DE452" s="416"/>
      <c r="DF452" s="416">
        <v>1735</v>
      </c>
      <c r="DG452" s="416"/>
      <c r="DH452" s="362">
        <f>ROUNDUP(66.4+40,0)</f>
        <v>107</v>
      </c>
      <c r="DI452" s="416"/>
      <c r="DJ452" s="416"/>
      <c r="DK452" s="416"/>
      <c r="DL452" s="416">
        <f>DF452</f>
        <v>1735</v>
      </c>
      <c r="DM452" s="362">
        <f>ROUNDUP(78.4+56,0)</f>
        <v>135</v>
      </c>
      <c r="DN452" s="416"/>
      <c r="DO452" s="417"/>
    </row>
    <row r="453" spans="1:119" ht="18">
      <c r="A453" s="406"/>
      <c r="B453" s="822" t="s">
        <v>1645</v>
      </c>
      <c r="C453" s="357"/>
      <c r="D453" s="357"/>
      <c r="E453" s="357"/>
      <c r="F453" s="409"/>
      <c r="G453" s="409"/>
      <c r="H453" s="409"/>
      <c r="I453" s="409"/>
      <c r="J453" s="409"/>
      <c r="K453" s="409"/>
      <c r="L453" s="409"/>
      <c r="M453" s="409"/>
      <c r="N453" s="409"/>
      <c r="O453" s="409"/>
      <c r="P453" s="410"/>
      <c r="Q453" s="410"/>
      <c r="R453" s="410"/>
      <c r="S453" s="410"/>
      <c r="T453" s="360">
        <f>SUM(C453:O453)</f>
        <v>0</v>
      </c>
      <c r="U453" s="405">
        <f>ROUNDUP(119.26*1.1,0)</f>
        <v>132</v>
      </c>
      <c r="V453" s="405"/>
      <c r="W453" s="405"/>
      <c r="X453" s="408"/>
      <c r="Y453" s="408"/>
      <c r="Z453" s="408"/>
      <c r="AA453" s="408"/>
      <c r="AB453" s="408"/>
      <c r="AC453" s="408"/>
      <c r="AD453" s="408"/>
      <c r="AE453" s="408"/>
      <c r="AF453" s="408"/>
      <c r="AG453" s="408"/>
      <c r="AH453" s="408"/>
      <c r="AI453" s="408"/>
      <c r="AJ453" s="408"/>
      <c r="AK453" s="408"/>
      <c r="AL453" s="408"/>
      <c r="AM453" s="408"/>
      <c r="AN453" s="408"/>
      <c r="AO453" s="408"/>
      <c r="AP453" s="408"/>
      <c r="AQ453" s="408"/>
      <c r="AR453" s="408"/>
      <c r="AS453" s="412"/>
      <c r="AT453" s="413">
        <v>120</v>
      </c>
      <c r="AU453" s="405"/>
      <c r="AV453" s="408"/>
      <c r="AW453" s="408"/>
      <c r="AX453" s="412"/>
      <c r="AY453" s="413"/>
      <c r="AZ453" s="363">
        <f t="shared" si="100"/>
        <v>0</v>
      </c>
      <c r="BA453" s="364">
        <f t="shared" si="98"/>
        <v>0</v>
      </c>
      <c r="BB453" s="395"/>
      <c r="BC453" s="365">
        <f t="shared" si="96"/>
        <v>0</v>
      </c>
      <c r="BD453" s="414"/>
      <c r="BE453" s="415"/>
      <c r="BF453" s="415"/>
      <c r="BG453" s="415"/>
      <c r="BH453" s="415"/>
      <c r="BI453" s="415"/>
      <c r="BJ453" s="655"/>
      <c r="BK453" s="415"/>
      <c r="BL453" s="415"/>
      <c r="BM453" s="415"/>
      <c r="BN453" s="415"/>
      <c r="BO453" s="415"/>
      <c r="BP453" s="415"/>
      <c r="BQ453" s="415"/>
      <c r="BR453" s="415"/>
      <c r="BS453" s="415"/>
      <c r="BT453" s="415"/>
      <c r="BU453" s="655"/>
      <c r="BV453" s="415"/>
      <c r="BW453" s="415"/>
      <c r="BX453" s="415"/>
      <c r="BY453" s="655"/>
      <c r="BZ453" s="655"/>
      <c r="CA453" s="655"/>
      <c r="CB453" s="415"/>
      <c r="CC453" s="655"/>
      <c r="CD453" s="415"/>
      <c r="CE453" s="415"/>
      <c r="CF453" s="415"/>
      <c r="CG453" s="415"/>
      <c r="CH453" s="415"/>
      <c r="CI453" s="656"/>
      <c r="CJ453" s="416"/>
      <c r="CK453" s="656"/>
      <c r="CL453" s="416"/>
      <c r="CM453" s="656"/>
      <c r="CN453" s="416"/>
      <c r="CO453" s="416"/>
      <c r="CP453" s="416"/>
      <c r="CQ453" s="656"/>
      <c r="CR453" s="656"/>
      <c r="CS453" s="416"/>
      <c r="CT453" s="416"/>
      <c r="CU453" s="416"/>
      <c r="CV453" s="416"/>
      <c r="CW453" s="416"/>
      <c r="CX453" s="656"/>
      <c r="CY453" s="656"/>
      <c r="CZ453" s="416"/>
      <c r="DA453" s="416"/>
      <c r="DB453" s="416"/>
      <c r="DC453" s="416"/>
      <c r="DD453" s="416"/>
      <c r="DE453" s="416"/>
      <c r="DF453" s="416"/>
      <c r="DG453" s="416"/>
      <c r="DH453" s="416"/>
      <c r="DI453" s="416"/>
      <c r="DJ453" s="416"/>
      <c r="DK453" s="416"/>
      <c r="DL453" s="416"/>
      <c r="DM453" s="416"/>
      <c r="DN453" s="416"/>
      <c r="DO453" s="417"/>
    </row>
    <row r="454" spans="1:119" ht="18">
      <c r="A454" s="813"/>
      <c r="B454" s="819"/>
      <c r="C454" s="408"/>
      <c r="D454" s="408"/>
      <c r="E454" s="408"/>
      <c r="F454" s="409"/>
      <c r="G454" s="409"/>
      <c r="H454" s="409"/>
      <c r="I454" s="409"/>
      <c r="J454" s="409"/>
      <c r="K454" s="409"/>
      <c r="L454" s="409"/>
      <c r="M454" s="409"/>
      <c r="N454" s="409"/>
      <c r="O454" s="409"/>
      <c r="P454" s="410"/>
      <c r="Q454" s="410"/>
      <c r="R454" s="410"/>
      <c r="S454" s="410"/>
      <c r="T454" s="413"/>
      <c r="U454" s="405"/>
      <c r="V454" s="405"/>
      <c r="W454" s="405"/>
      <c r="X454" s="408"/>
      <c r="Y454" s="408"/>
      <c r="Z454" s="408"/>
      <c r="AA454" s="408"/>
      <c r="AB454" s="408"/>
      <c r="AC454" s="408"/>
      <c r="AD454" s="408"/>
      <c r="AE454" s="408"/>
      <c r="AF454" s="408"/>
      <c r="AG454" s="408"/>
      <c r="AH454" s="408"/>
      <c r="AI454" s="408"/>
      <c r="AJ454" s="408"/>
      <c r="AK454" s="408"/>
      <c r="AL454" s="408"/>
      <c r="AM454" s="408"/>
      <c r="AN454" s="408"/>
      <c r="AO454" s="408"/>
      <c r="AP454" s="408"/>
      <c r="AQ454" s="408"/>
      <c r="AR454" s="408"/>
      <c r="AS454" s="412"/>
      <c r="AT454" s="413"/>
      <c r="AU454" s="405"/>
      <c r="AV454" s="408"/>
      <c r="AW454" s="408"/>
      <c r="AX454" s="412"/>
      <c r="AY454" s="413"/>
      <c r="AZ454" s="363">
        <f t="shared" si="100"/>
        <v>0</v>
      </c>
      <c r="BA454" s="364">
        <f t="shared" si="98"/>
        <v>0</v>
      </c>
      <c r="BB454" s="1184"/>
      <c r="BC454" s="413"/>
      <c r="BD454" s="414"/>
      <c r="BE454" s="415"/>
      <c r="BF454" s="415"/>
      <c r="BG454" s="415"/>
      <c r="BH454" s="415"/>
      <c r="BI454" s="415"/>
      <c r="BJ454" s="415"/>
      <c r="BK454" s="415"/>
      <c r="BL454" s="415"/>
      <c r="BM454" s="415"/>
      <c r="BN454" s="415"/>
      <c r="BO454" s="415"/>
      <c r="BP454" s="415"/>
      <c r="BQ454" s="415"/>
      <c r="BR454" s="415"/>
      <c r="BS454" s="415"/>
      <c r="BT454" s="415"/>
      <c r="BU454" s="415"/>
      <c r="BV454" s="415"/>
      <c r="BW454" s="415"/>
      <c r="BX454" s="415"/>
      <c r="BY454" s="415"/>
      <c r="BZ454" s="415"/>
      <c r="CA454" s="415"/>
      <c r="CB454" s="415"/>
      <c r="CC454" s="415"/>
      <c r="CD454" s="415"/>
      <c r="CE454" s="415"/>
      <c r="CF454" s="415"/>
      <c r="CG454" s="415"/>
      <c r="CH454" s="415"/>
      <c r="CI454" s="416"/>
      <c r="CJ454" s="416"/>
      <c r="CK454" s="416"/>
      <c r="CL454" s="416"/>
      <c r="CM454" s="416"/>
      <c r="CN454" s="416"/>
      <c r="CO454" s="416"/>
      <c r="CP454" s="416"/>
      <c r="CQ454" s="416"/>
      <c r="CR454" s="416"/>
      <c r="CS454" s="416"/>
      <c r="CT454" s="416"/>
      <c r="CU454" s="416"/>
      <c r="CV454" s="416"/>
      <c r="CW454" s="416"/>
      <c r="CX454" s="416"/>
      <c r="CY454" s="416"/>
      <c r="CZ454" s="416"/>
      <c r="DA454" s="416"/>
      <c r="DB454" s="416"/>
      <c r="DC454" s="416"/>
      <c r="DD454" s="416"/>
      <c r="DE454" s="416"/>
      <c r="DF454" s="416"/>
      <c r="DG454" s="416"/>
      <c r="DH454" s="416"/>
      <c r="DI454" s="416"/>
      <c r="DJ454" s="416"/>
      <c r="DK454" s="416"/>
      <c r="DL454" s="416"/>
      <c r="DM454" s="416"/>
      <c r="DN454" s="416"/>
      <c r="DO454" s="417"/>
    </row>
    <row r="455" spans="1:119" ht="18">
      <c r="A455" s="813"/>
      <c r="B455" s="822" t="s">
        <v>1707</v>
      </c>
      <c r="C455" s="408"/>
      <c r="D455" s="408"/>
      <c r="E455" s="408"/>
      <c r="F455" s="409"/>
      <c r="G455" s="409"/>
      <c r="H455" s="409"/>
      <c r="I455" s="409"/>
      <c r="J455" s="409"/>
      <c r="K455" s="409"/>
      <c r="L455" s="409"/>
      <c r="M455" s="409"/>
      <c r="N455" s="409"/>
      <c r="O455" s="409"/>
      <c r="P455" s="410"/>
      <c r="Q455" s="410"/>
      <c r="R455" s="410"/>
      <c r="S455" s="410"/>
      <c r="T455" s="413"/>
      <c r="U455" s="405"/>
      <c r="V455" s="405"/>
      <c r="W455" s="405"/>
      <c r="X455" s="408"/>
      <c r="Y455" s="408"/>
      <c r="Z455" s="408"/>
      <c r="AA455" s="408"/>
      <c r="AB455" s="408"/>
      <c r="AC455" s="408">
        <f>ROUND((216.54*6.65)-((CF300*11)+(CH300*11)+(CX300*5)),0)</f>
        <v>1143</v>
      </c>
      <c r="AD455" s="408"/>
      <c r="AE455" s="408"/>
      <c r="AF455" s="408"/>
      <c r="AG455" s="408"/>
      <c r="AH455" s="408"/>
      <c r="AI455" s="408"/>
      <c r="AJ455" s="408"/>
      <c r="AK455" s="408"/>
      <c r="AL455" s="408"/>
      <c r="AM455" s="408"/>
      <c r="AN455" s="408"/>
      <c r="AO455" s="408"/>
      <c r="AP455" s="408"/>
      <c r="AQ455" s="408"/>
      <c r="AR455" s="408"/>
      <c r="AS455" s="412"/>
      <c r="AT455" s="413"/>
      <c r="AU455" s="405"/>
      <c r="AV455" s="408"/>
      <c r="AW455" s="408"/>
      <c r="AX455" s="412"/>
      <c r="AY455" s="413"/>
      <c r="AZ455" s="363">
        <f t="shared" si="100"/>
        <v>0</v>
      </c>
      <c r="BA455" s="364">
        <f t="shared" si="98"/>
        <v>1143</v>
      </c>
      <c r="BB455" s="1184"/>
      <c r="BC455" s="413"/>
      <c r="BD455" s="414"/>
      <c r="BE455" s="415"/>
      <c r="BF455" s="415"/>
      <c r="BG455" s="415"/>
      <c r="BH455" s="415"/>
      <c r="BI455" s="415"/>
      <c r="BJ455" s="415"/>
      <c r="BK455" s="415"/>
      <c r="BL455" s="415"/>
      <c r="BM455" s="415"/>
      <c r="BN455" s="415"/>
      <c r="BO455" s="415"/>
      <c r="BP455" s="415"/>
      <c r="BQ455" s="415"/>
      <c r="BR455" s="415"/>
      <c r="BS455" s="415"/>
      <c r="BT455" s="415"/>
      <c r="BU455" s="415"/>
      <c r="BV455" s="415"/>
      <c r="BW455" s="415"/>
      <c r="BX455" s="415"/>
      <c r="BY455" s="415"/>
      <c r="BZ455" s="415"/>
      <c r="CA455" s="415"/>
      <c r="CB455" s="415"/>
      <c r="CC455" s="415"/>
      <c r="CD455" s="415"/>
      <c r="CE455" s="415"/>
      <c r="CF455" s="415"/>
      <c r="CG455" s="415"/>
      <c r="CH455" s="415"/>
      <c r="CI455" s="416"/>
      <c r="CJ455" s="416"/>
      <c r="CK455" s="416"/>
      <c r="CL455" s="416"/>
      <c r="CM455" s="416"/>
      <c r="CN455" s="416"/>
      <c r="CO455" s="416"/>
      <c r="CP455" s="416"/>
      <c r="CQ455" s="416"/>
      <c r="CR455" s="416"/>
      <c r="CS455" s="416"/>
      <c r="CT455" s="416"/>
      <c r="CU455" s="416"/>
      <c r="CV455" s="416"/>
      <c r="CW455" s="416"/>
      <c r="CX455" s="416"/>
      <c r="CY455" s="416"/>
      <c r="CZ455" s="416"/>
      <c r="DA455" s="416"/>
      <c r="DB455" s="416"/>
      <c r="DC455" s="416"/>
      <c r="DD455" s="416"/>
      <c r="DE455" s="416"/>
      <c r="DF455" s="416"/>
      <c r="DG455" s="416"/>
      <c r="DH455" s="416"/>
      <c r="DI455" s="416"/>
      <c r="DJ455" s="416"/>
      <c r="DK455" s="416"/>
      <c r="DL455" s="416"/>
      <c r="DM455" s="416"/>
      <c r="DN455" s="416"/>
      <c r="DO455" s="417"/>
    </row>
    <row r="456" spans="1:119" ht="18">
      <c r="A456" s="813"/>
      <c r="B456" s="822"/>
      <c r="C456" s="408"/>
      <c r="D456" s="408"/>
      <c r="E456" s="408"/>
      <c r="F456" s="409"/>
      <c r="G456" s="409"/>
      <c r="H456" s="409"/>
      <c r="I456" s="409"/>
      <c r="J456" s="409"/>
      <c r="K456" s="409"/>
      <c r="L456" s="409"/>
      <c r="M456" s="409"/>
      <c r="N456" s="409"/>
      <c r="O456" s="409"/>
      <c r="P456" s="410"/>
      <c r="Q456" s="410"/>
      <c r="R456" s="410"/>
      <c r="S456" s="410"/>
      <c r="T456" s="413"/>
      <c r="U456" s="405"/>
      <c r="V456" s="405"/>
      <c r="W456" s="405"/>
      <c r="X456" s="408"/>
      <c r="Y456" s="408"/>
      <c r="Z456" s="408"/>
      <c r="AA456" s="408"/>
      <c r="AB456" s="408"/>
      <c r="AC456" s="408"/>
      <c r="AD456" s="408"/>
      <c r="AE456" s="408"/>
      <c r="AF456" s="408"/>
      <c r="AG456" s="408"/>
      <c r="AH456" s="408"/>
      <c r="AI456" s="408"/>
      <c r="AJ456" s="408"/>
      <c r="AK456" s="408"/>
      <c r="AL456" s="408"/>
      <c r="AM456" s="408"/>
      <c r="AN456" s="408"/>
      <c r="AO456" s="408"/>
      <c r="AP456" s="408"/>
      <c r="AQ456" s="408"/>
      <c r="AR456" s="408"/>
      <c r="AS456" s="412"/>
      <c r="AT456" s="413"/>
      <c r="AU456" s="405"/>
      <c r="AV456" s="408"/>
      <c r="AW456" s="408"/>
      <c r="AX456" s="412"/>
      <c r="AY456" s="413"/>
      <c r="AZ456" s="405"/>
      <c r="BA456" s="408"/>
      <c r="BB456" s="1183"/>
      <c r="BC456" s="413"/>
      <c r="BD456" s="414"/>
      <c r="BE456" s="415"/>
      <c r="BF456" s="415"/>
      <c r="BG456" s="415"/>
      <c r="BH456" s="415"/>
      <c r="BI456" s="415"/>
      <c r="BJ456" s="415"/>
      <c r="BK456" s="415"/>
      <c r="BL456" s="415"/>
      <c r="BM456" s="415"/>
      <c r="BN456" s="415"/>
      <c r="BO456" s="415"/>
      <c r="BP456" s="415"/>
      <c r="BQ456" s="415"/>
      <c r="BR456" s="415"/>
      <c r="BS456" s="415"/>
      <c r="BT456" s="415"/>
      <c r="BU456" s="415"/>
      <c r="BV456" s="415"/>
      <c r="BW456" s="415"/>
      <c r="BX456" s="415"/>
      <c r="BY456" s="415"/>
      <c r="BZ456" s="415"/>
      <c r="CA456" s="415"/>
      <c r="CB456" s="415"/>
      <c r="CC456" s="415"/>
      <c r="CD456" s="415"/>
      <c r="CE456" s="415"/>
      <c r="CF456" s="415"/>
      <c r="CG456" s="415"/>
      <c r="CH456" s="415"/>
      <c r="CI456" s="416"/>
      <c r="CJ456" s="416"/>
      <c r="CK456" s="416"/>
      <c r="CL456" s="416"/>
      <c r="CM456" s="416"/>
      <c r="CN456" s="416"/>
      <c r="CO456" s="416"/>
      <c r="CP456" s="416"/>
      <c r="CQ456" s="416"/>
      <c r="CR456" s="416"/>
      <c r="CS456" s="416"/>
      <c r="CT456" s="416"/>
      <c r="CU456" s="416"/>
      <c r="CV456" s="416"/>
      <c r="CW456" s="416"/>
      <c r="CX456" s="416"/>
      <c r="CY456" s="416"/>
      <c r="CZ456" s="416"/>
      <c r="DA456" s="416"/>
      <c r="DB456" s="416"/>
      <c r="DC456" s="416"/>
      <c r="DD456" s="416"/>
      <c r="DE456" s="416"/>
      <c r="DF456" s="416"/>
      <c r="DG456" s="416"/>
      <c r="DH456" s="416"/>
      <c r="DI456" s="416"/>
      <c r="DJ456" s="416"/>
      <c r="DK456" s="416"/>
      <c r="DL456" s="416"/>
      <c r="DM456" s="416"/>
      <c r="DN456" s="416"/>
      <c r="DO456" s="417"/>
    </row>
    <row r="457" spans="1:119" ht="18">
      <c r="A457" s="813"/>
      <c r="B457" s="822"/>
      <c r="C457" s="408"/>
      <c r="D457" s="408"/>
      <c r="E457" s="408"/>
      <c r="F457" s="409"/>
      <c r="G457" s="409"/>
      <c r="H457" s="409"/>
      <c r="I457" s="409"/>
      <c r="J457" s="409"/>
      <c r="K457" s="409"/>
      <c r="L457" s="409"/>
      <c r="M457" s="409"/>
      <c r="N457" s="409"/>
      <c r="O457" s="409"/>
      <c r="P457" s="410"/>
      <c r="Q457" s="410"/>
      <c r="R457" s="410"/>
      <c r="S457" s="410"/>
      <c r="T457" s="413"/>
      <c r="U457" s="405"/>
      <c r="V457" s="405"/>
      <c r="W457" s="405"/>
      <c r="X457" s="408"/>
      <c r="Y457" s="408"/>
      <c r="Z457" s="408"/>
      <c r="AA457" s="408"/>
      <c r="AB457" s="408"/>
      <c r="AC457" s="408"/>
      <c r="AD457" s="408"/>
      <c r="AE457" s="408"/>
      <c r="AF457" s="408"/>
      <c r="AG457" s="408"/>
      <c r="AH457" s="408"/>
      <c r="AI457" s="408"/>
      <c r="AJ457" s="408"/>
      <c r="AK457" s="408"/>
      <c r="AL457" s="408"/>
      <c r="AM457" s="408"/>
      <c r="AN457" s="408"/>
      <c r="AO457" s="408"/>
      <c r="AP457" s="408"/>
      <c r="AQ457" s="408"/>
      <c r="AR457" s="408"/>
      <c r="AS457" s="412"/>
      <c r="AT457" s="413"/>
      <c r="AU457" s="405"/>
      <c r="AV457" s="408"/>
      <c r="AW457" s="408"/>
      <c r="AX457" s="412"/>
      <c r="AY457" s="413"/>
      <c r="AZ457" s="405"/>
      <c r="BA457" s="408"/>
      <c r="BB457" s="1183"/>
      <c r="BC457" s="413"/>
      <c r="BD457" s="414"/>
      <c r="BE457" s="415"/>
      <c r="BF457" s="415"/>
      <c r="BG457" s="415"/>
      <c r="BH457" s="415"/>
      <c r="BI457" s="415"/>
      <c r="BJ457" s="415"/>
      <c r="BK457" s="415"/>
      <c r="BL457" s="415"/>
      <c r="BM457" s="415"/>
      <c r="BN457" s="415"/>
      <c r="BO457" s="415"/>
      <c r="BP457" s="415"/>
      <c r="BQ457" s="415"/>
      <c r="BR457" s="415"/>
      <c r="BS457" s="415"/>
      <c r="BT457" s="415"/>
      <c r="BU457" s="415"/>
      <c r="BV457" s="415"/>
      <c r="BW457" s="415"/>
      <c r="BX457" s="415"/>
      <c r="BY457" s="415"/>
      <c r="BZ457" s="415"/>
      <c r="CA457" s="415"/>
      <c r="CB457" s="415"/>
      <c r="CC457" s="415"/>
      <c r="CD457" s="415"/>
      <c r="CE457" s="415"/>
      <c r="CF457" s="415"/>
      <c r="CG457" s="415"/>
      <c r="CH457" s="415"/>
      <c r="CI457" s="416"/>
      <c r="CJ457" s="416"/>
      <c r="CK457" s="416"/>
      <c r="CL457" s="416"/>
      <c r="CM457" s="416"/>
      <c r="CN457" s="416"/>
      <c r="CO457" s="416"/>
      <c r="CP457" s="416"/>
      <c r="CQ457" s="416"/>
      <c r="CR457" s="416"/>
      <c r="CS457" s="416"/>
      <c r="CT457" s="416"/>
      <c r="CU457" s="416"/>
      <c r="CV457" s="416"/>
      <c r="CW457" s="416"/>
      <c r="CX457" s="416"/>
      <c r="CY457" s="416"/>
      <c r="CZ457" s="416"/>
      <c r="DA457" s="416"/>
      <c r="DB457" s="416"/>
      <c r="DC457" s="416"/>
      <c r="DD457" s="416"/>
      <c r="DE457" s="416"/>
      <c r="DF457" s="416"/>
      <c r="DG457" s="416"/>
      <c r="DH457" s="416"/>
      <c r="DI457" s="416"/>
      <c r="DJ457" s="416"/>
      <c r="DK457" s="416"/>
      <c r="DL457" s="416"/>
      <c r="DM457" s="416"/>
      <c r="DN457" s="416"/>
      <c r="DO457" s="417"/>
    </row>
    <row r="458" spans="1:119">
      <c r="A458" s="406"/>
      <c r="B458" s="405"/>
      <c r="C458" s="408"/>
      <c r="D458" s="409"/>
      <c r="E458" s="409"/>
      <c r="F458" s="409"/>
      <c r="G458" s="409"/>
      <c r="H458" s="409"/>
      <c r="I458" s="409"/>
      <c r="J458" s="409"/>
      <c r="K458" s="409"/>
      <c r="L458" s="409"/>
      <c r="M458" s="409"/>
      <c r="N458" s="409"/>
      <c r="O458" s="409"/>
      <c r="P458" s="410"/>
      <c r="Q458" s="410"/>
      <c r="R458" s="410"/>
      <c r="S458" s="410"/>
      <c r="T458" s="411"/>
      <c r="U458" s="405"/>
      <c r="V458" s="405"/>
      <c r="W458" s="405"/>
      <c r="X458" s="408"/>
      <c r="Y458" s="408"/>
      <c r="Z458" s="408"/>
      <c r="AA458" s="408"/>
      <c r="AB458" s="408"/>
      <c r="AC458" s="408"/>
      <c r="AD458" s="408"/>
      <c r="AE458" s="408"/>
      <c r="AF458" s="408"/>
      <c r="AG458" s="408"/>
      <c r="AH458" s="408"/>
      <c r="AI458" s="408"/>
      <c r="AJ458" s="408"/>
      <c r="AK458" s="408"/>
      <c r="AL458" s="408"/>
      <c r="AM458" s="408"/>
      <c r="AN458" s="408"/>
      <c r="AO458" s="408"/>
      <c r="AP458" s="408"/>
      <c r="AQ458" s="408"/>
      <c r="AR458" s="408"/>
      <c r="AS458" s="412"/>
      <c r="AT458" s="413"/>
      <c r="AU458" s="405"/>
      <c r="AV458" s="408"/>
      <c r="AW458" s="408"/>
      <c r="AX458" s="412"/>
      <c r="AY458" s="413"/>
      <c r="AZ458" s="405"/>
      <c r="BA458" s="408"/>
      <c r="BB458" s="1183"/>
      <c r="BC458" s="413"/>
      <c r="BD458" s="414"/>
      <c r="BE458" s="415"/>
      <c r="BF458" s="415"/>
      <c r="BG458" s="415"/>
      <c r="BH458" s="415"/>
      <c r="BI458" s="415"/>
      <c r="BJ458" s="655"/>
      <c r="BK458" s="415"/>
      <c r="BL458" s="415"/>
      <c r="BM458" s="415"/>
      <c r="BN458" s="415"/>
      <c r="BO458" s="415"/>
      <c r="BP458" s="415"/>
      <c r="BQ458" s="415"/>
      <c r="BR458" s="415"/>
      <c r="BS458" s="415"/>
      <c r="BT458" s="415"/>
      <c r="BU458" s="655"/>
      <c r="BV458" s="415"/>
      <c r="BW458" s="415"/>
      <c r="BX458" s="415"/>
      <c r="BY458" s="655"/>
      <c r="BZ458" s="655"/>
      <c r="CA458" s="655"/>
      <c r="CB458" s="415"/>
      <c r="CC458" s="655"/>
      <c r="CD458" s="415"/>
      <c r="CE458" s="415"/>
      <c r="CF458" s="415"/>
      <c r="CG458" s="415"/>
      <c r="CH458" s="415"/>
      <c r="CI458" s="656"/>
      <c r="CJ458" s="416"/>
      <c r="CK458" s="656"/>
      <c r="CL458" s="416"/>
      <c r="CM458" s="656"/>
      <c r="CN458" s="416"/>
      <c r="CO458" s="416"/>
      <c r="CP458" s="416"/>
      <c r="CQ458" s="656"/>
      <c r="CR458" s="656"/>
      <c r="CS458" s="416"/>
      <c r="CT458" s="416"/>
      <c r="CU458" s="416"/>
      <c r="CV458" s="416"/>
      <c r="CW458" s="416"/>
      <c r="CX458" s="656"/>
      <c r="CY458" s="656"/>
      <c r="CZ458" s="416"/>
      <c r="DA458" s="416"/>
      <c r="DB458" s="416"/>
      <c r="DC458" s="416"/>
      <c r="DD458" s="416"/>
      <c r="DE458" s="416"/>
      <c r="DF458" s="416"/>
      <c r="DG458" s="416"/>
      <c r="DH458" s="416"/>
      <c r="DI458" s="416"/>
      <c r="DJ458" s="416"/>
      <c r="DK458" s="416"/>
      <c r="DL458" s="416"/>
      <c r="DM458" s="416"/>
      <c r="DN458" s="416"/>
      <c r="DO458" s="417"/>
    </row>
    <row r="459" spans="1:119">
      <c r="A459" s="406"/>
      <c r="B459" s="405"/>
      <c r="C459" s="408"/>
      <c r="D459" s="409"/>
      <c r="E459" s="409"/>
      <c r="F459" s="409"/>
      <c r="G459" s="409"/>
      <c r="H459" s="409"/>
      <c r="I459" s="409"/>
      <c r="J459" s="409"/>
      <c r="K459" s="409"/>
      <c r="L459" s="409"/>
      <c r="M459" s="409"/>
      <c r="N459" s="409"/>
      <c r="O459" s="409"/>
      <c r="P459" s="410"/>
      <c r="Q459" s="410"/>
      <c r="R459" s="410"/>
      <c r="S459" s="410"/>
      <c r="T459" s="411"/>
      <c r="U459" s="405"/>
      <c r="V459" s="405"/>
      <c r="W459" s="405"/>
      <c r="X459" s="408"/>
      <c r="Y459" s="408"/>
      <c r="Z459" s="408"/>
      <c r="AA459" s="408"/>
      <c r="AB459" s="408"/>
      <c r="AC459" s="408"/>
      <c r="AD459" s="408"/>
      <c r="AE459" s="408"/>
      <c r="AF459" s="408"/>
      <c r="AG459" s="408"/>
      <c r="AH459" s="408"/>
      <c r="AI459" s="408"/>
      <c r="AJ459" s="408"/>
      <c r="AK459" s="408"/>
      <c r="AL459" s="408"/>
      <c r="AM459" s="408"/>
      <c r="AN459" s="408"/>
      <c r="AO459" s="408"/>
      <c r="AP459" s="408"/>
      <c r="AQ459" s="408"/>
      <c r="AR459" s="408"/>
      <c r="AS459" s="412"/>
      <c r="AT459" s="413"/>
      <c r="AU459" s="405"/>
      <c r="AV459" s="408"/>
      <c r="AW459" s="408"/>
      <c r="AX459" s="412"/>
      <c r="AY459" s="413"/>
      <c r="AZ459" s="405"/>
      <c r="BA459" s="408"/>
      <c r="BB459" s="1183"/>
      <c r="BC459" s="413"/>
      <c r="BD459" s="414"/>
      <c r="BE459" s="415"/>
      <c r="BF459" s="415"/>
      <c r="BG459" s="415"/>
      <c r="BH459" s="415"/>
      <c r="BI459" s="415"/>
      <c r="BJ459" s="655"/>
      <c r="BK459" s="415"/>
      <c r="BL459" s="415"/>
      <c r="BM459" s="415"/>
      <c r="BN459" s="415"/>
      <c r="BO459" s="415"/>
      <c r="BP459" s="415"/>
      <c r="BQ459" s="415"/>
      <c r="BR459" s="415"/>
      <c r="BS459" s="415"/>
      <c r="BT459" s="415"/>
      <c r="BU459" s="655"/>
      <c r="BV459" s="415"/>
      <c r="BW459" s="415"/>
      <c r="BX459" s="415"/>
      <c r="BY459" s="655"/>
      <c r="BZ459" s="655"/>
      <c r="CA459" s="655"/>
      <c r="CB459" s="415"/>
      <c r="CC459" s="655"/>
      <c r="CD459" s="415"/>
      <c r="CE459" s="415"/>
      <c r="CF459" s="415"/>
      <c r="CG459" s="415"/>
      <c r="CH459" s="415"/>
      <c r="CI459" s="656"/>
      <c r="CJ459" s="416"/>
      <c r="CK459" s="656"/>
      <c r="CL459" s="416"/>
      <c r="CM459" s="656"/>
      <c r="CN459" s="416"/>
      <c r="CO459" s="416"/>
      <c r="CP459" s="416"/>
      <c r="CQ459" s="656"/>
      <c r="CR459" s="656"/>
      <c r="CS459" s="416"/>
      <c r="CT459" s="416"/>
      <c r="CU459" s="416"/>
      <c r="CV459" s="416"/>
      <c r="CW459" s="416"/>
      <c r="CX459" s="656"/>
      <c r="CY459" s="656"/>
      <c r="CZ459" s="416"/>
      <c r="DA459" s="416"/>
      <c r="DB459" s="416"/>
      <c r="DC459" s="416"/>
      <c r="DD459" s="416"/>
      <c r="DE459" s="416"/>
      <c r="DF459" s="416"/>
      <c r="DG459" s="416"/>
      <c r="DH459" s="416"/>
      <c r="DI459" s="416"/>
      <c r="DJ459" s="416"/>
      <c r="DK459" s="416"/>
      <c r="DL459" s="416"/>
      <c r="DM459" s="416"/>
      <c r="DN459" s="416"/>
      <c r="DO459" s="417"/>
    </row>
    <row r="460" spans="1:119" ht="18.75">
      <c r="A460" s="406"/>
      <c r="B460" s="385" t="s">
        <v>182</v>
      </c>
      <c r="C460" s="386">
        <f>SUM(C414:C459)</f>
        <v>128</v>
      </c>
      <c r="D460" s="386">
        <f t="shared" ref="D460:BP460" si="101">SUM(D414:D459)</f>
        <v>1691</v>
      </c>
      <c r="E460" s="386">
        <f t="shared" si="101"/>
        <v>112</v>
      </c>
      <c r="F460" s="386">
        <f t="shared" si="101"/>
        <v>0</v>
      </c>
      <c r="G460" s="386">
        <f t="shared" si="101"/>
        <v>0</v>
      </c>
      <c r="H460" s="386">
        <f t="shared" si="101"/>
        <v>125</v>
      </c>
      <c r="I460" s="386">
        <f t="shared" si="101"/>
        <v>0</v>
      </c>
      <c r="J460" s="386">
        <f t="shared" si="101"/>
        <v>0</v>
      </c>
      <c r="K460" s="386">
        <f t="shared" si="101"/>
        <v>0</v>
      </c>
      <c r="L460" s="386">
        <f t="shared" si="101"/>
        <v>0</v>
      </c>
      <c r="M460" s="386">
        <f t="shared" si="101"/>
        <v>0</v>
      </c>
      <c r="N460" s="386">
        <f t="shared" si="101"/>
        <v>0</v>
      </c>
      <c r="O460" s="386">
        <f t="shared" si="101"/>
        <v>0</v>
      </c>
      <c r="P460" s="386">
        <f t="shared" si="101"/>
        <v>0</v>
      </c>
      <c r="Q460" s="386">
        <f t="shared" si="101"/>
        <v>0</v>
      </c>
      <c r="R460" s="386">
        <f t="shared" si="101"/>
        <v>0</v>
      </c>
      <c r="S460" s="386">
        <f t="shared" si="101"/>
        <v>0</v>
      </c>
      <c r="T460" s="386">
        <f t="shared" si="101"/>
        <v>125</v>
      </c>
      <c r="U460" s="386">
        <f t="shared" si="101"/>
        <v>2437</v>
      </c>
      <c r="V460" s="386">
        <f t="shared" si="101"/>
        <v>114</v>
      </c>
      <c r="W460" s="386">
        <f t="shared" si="101"/>
        <v>0</v>
      </c>
      <c r="X460" s="386">
        <f t="shared" si="101"/>
        <v>0</v>
      </c>
      <c r="Y460" s="386">
        <f t="shared" si="101"/>
        <v>0</v>
      </c>
      <c r="Z460" s="386">
        <f t="shared" si="101"/>
        <v>0</v>
      </c>
      <c r="AA460" s="386">
        <f t="shared" si="101"/>
        <v>0</v>
      </c>
      <c r="AB460" s="386">
        <f t="shared" si="101"/>
        <v>0</v>
      </c>
      <c r="AC460" s="386">
        <f t="shared" si="101"/>
        <v>1143</v>
      </c>
      <c r="AD460" s="386">
        <f t="shared" si="101"/>
        <v>3401</v>
      </c>
      <c r="AE460" s="386">
        <f t="shared" si="101"/>
        <v>126</v>
      </c>
      <c r="AF460" s="386">
        <f t="shared" si="101"/>
        <v>0</v>
      </c>
      <c r="AG460" s="386">
        <f t="shared" si="101"/>
        <v>351</v>
      </c>
      <c r="AH460" s="386">
        <f t="shared" si="101"/>
        <v>0</v>
      </c>
      <c r="AI460" s="386">
        <f t="shared" si="101"/>
        <v>0</v>
      </c>
      <c r="AJ460" s="386">
        <f t="shared" si="101"/>
        <v>0</v>
      </c>
      <c r="AK460" s="386">
        <f t="shared" si="101"/>
        <v>0</v>
      </c>
      <c r="AL460" s="386">
        <f t="shared" si="101"/>
        <v>0</v>
      </c>
      <c r="AM460" s="386">
        <f t="shared" si="101"/>
        <v>0</v>
      </c>
      <c r="AN460" s="386">
        <f t="shared" si="101"/>
        <v>0</v>
      </c>
      <c r="AO460" s="386">
        <f t="shared" si="101"/>
        <v>0</v>
      </c>
      <c r="AP460" s="386">
        <f t="shared" si="101"/>
        <v>0</v>
      </c>
      <c r="AQ460" s="386">
        <f>ROUND(SUM(AQ414:AQ459),0)</f>
        <v>803</v>
      </c>
      <c r="AR460" s="386">
        <f>ROUND(SUM(AR414:AR459),0)</f>
        <v>11</v>
      </c>
      <c r="AS460" s="386">
        <f>ROUND(SUM(AS414:AS459),0)</f>
        <v>0</v>
      </c>
      <c r="AT460" s="386">
        <f>ROUND(SUM(AT414:AT459),0)</f>
        <v>541</v>
      </c>
      <c r="AU460" s="386">
        <f t="shared" si="101"/>
        <v>930</v>
      </c>
      <c r="AV460" s="386">
        <f t="shared" si="101"/>
        <v>112</v>
      </c>
      <c r="AW460" s="386">
        <f t="shared" si="101"/>
        <v>854</v>
      </c>
      <c r="AX460" s="386">
        <f t="shared" si="101"/>
        <v>0</v>
      </c>
      <c r="AY460" s="386">
        <f t="shared" si="101"/>
        <v>0</v>
      </c>
      <c r="AZ460" s="386">
        <f t="shared" si="101"/>
        <v>3176</v>
      </c>
      <c r="BA460" s="386">
        <f t="shared" si="101"/>
        <v>1143</v>
      </c>
      <c r="BB460" s="386">
        <f t="shared" si="101"/>
        <v>0</v>
      </c>
      <c r="BC460" s="386">
        <f t="shared" si="101"/>
        <v>1896</v>
      </c>
      <c r="BD460" s="386">
        <f t="shared" si="101"/>
        <v>0</v>
      </c>
      <c r="BE460" s="386">
        <f t="shared" si="101"/>
        <v>0</v>
      </c>
      <c r="BF460" s="386">
        <f t="shared" si="101"/>
        <v>0</v>
      </c>
      <c r="BG460" s="386">
        <f t="shared" si="101"/>
        <v>0</v>
      </c>
      <c r="BH460" s="386">
        <f t="shared" si="101"/>
        <v>2</v>
      </c>
      <c r="BI460" s="386">
        <f t="shared" si="101"/>
        <v>0</v>
      </c>
      <c r="BJ460" s="386">
        <f t="shared" si="101"/>
        <v>0</v>
      </c>
      <c r="BK460" s="386">
        <f t="shared" si="101"/>
        <v>0</v>
      </c>
      <c r="BL460" s="386">
        <f t="shared" si="101"/>
        <v>0</v>
      </c>
      <c r="BM460" s="386">
        <f t="shared" si="101"/>
        <v>0</v>
      </c>
      <c r="BN460" s="386">
        <f t="shared" si="101"/>
        <v>0</v>
      </c>
      <c r="BO460" s="386">
        <f t="shared" si="101"/>
        <v>0</v>
      </c>
      <c r="BP460" s="386">
        <f t="shared" si="101"/>
        <v>1</v>
      </c>
      <c r="BQ460" s="386">
        <f t="shared" ref="BQ460:DO460" si="102">SUM(BQ414:BQ459)</f>
        <v>0</v>
      </c>
      <c r="BR460" s="386">
        <f t="shared" si="102"/>
        <v>4</v>
      </c>
      <c r="BS460" s="386">
        <f t="shared" si="102"/>
        <v>1</v>
      </c>
      <c r="BT460" s="386">
        <f t="shared" si="102"/>
        <v>2</v>
      </c>
      <c r="BU460" s="386">
        <f t="shared" si="102"/>
        <v>1</v>
      </c>
      <c r="BV460" s="386">
        <f t="shared" si="102"/>
        <v>0</v>
      </c>
      <c r="BW460" s="386">
        <f t="shared" si="102"/>
        <v>0</v>
      </c>
      <c r="BX460" s="386">
        <f t="shared" si="102"/>
        <v>0</v>
      </c>
      <c r="BY460" s="386">
        <f t="shared" si="102"/>
        <v>13</v>
      </c>
      <c r="BZ460" s="386">
        <f t="shared" si="102"/>
        <v>0</v>
      </c>
      <c r="CA460" s="386">
        <f t="shared" si="102"/>
        <v>6</v>
      </c>
      <c r="CB460" s="386">
        <f t="shared" si="102"/>
        <v>1</v>
      </c>
      <c r="CC460" s="386">
        <f t="shared" si="102"/>
        <v>7</v>
      </c>
      <c r="CD460" s="386">
        <f t="shared" si="102"/>
        <v>0</v>
      </c>
      <c r="CE460" s="386">
        <f t="shared" si="102"/>
        <v>0</v>
      </c>
      <c r="CF460" s="386">
        <f t="shared" si="102"/>
        <v>13</v>
      </c>
      <c r="CG460" s="386">
        <f t="shared" si="102"/>
        <v>9</v>
      </c>
      <c r="CH460" s="386">
        <f t="shared" si="102"/>
        <v>0</v>
      </c>
      <c r="CI460" s="386">
        <f t="shared" si="102"/>
        <v>1</v>
      </c>
      <c r="CJ460" s="386">
        <f t="shared" si="102"/>
        <v>0</v>
      </c>
      <c r="CK460" s="386">
        <f t="shared" si="102"/>
        <v>0</v>
      </c>
      <c r="CL460" s="386">
        <f t="shared" si="102"/>
        <v>1</v>
      </c>
      <c r="CM460" s="386">
        <f t="shared" si="102"/>
        <v>0</v>
      </c>
      <c r="CN460" s="386">
        <f t="shared" si="102"/>
        <v>0</v>
      </c>
      <c r="CO460" s="386">
        <f t="shared" si="102"/>
        <v>0</v>
      </c>
      <c r="CP460" s="386">
        <f t="shared" si="102"/>
        <v>2</v>
      </c>
      <c r="CQ460" s="386">
        <f t="shared" si="102"/>
        <v>1</v>
      </c>
      <c r="CR460" s="386">
        <f t="shared" si="102"/>
        <v>0</v>
      </c>
      <c r="CS460" s="386">
        <f t="shared" si="102"/>
        <v>0</v>
      </c>
      <c r="CT460" s="386">
        <f t="shared" si="102"/>
        <v>0</v>
      </c>
      <c r="CU460" s="386">
        <f t="shared" si="102"/>
        <v>0</v>
      </c>
      <c r="CV460" s="386">
        <f t="shared" si="102"/>
        <v>0</v>
      </c>
      <c r="CW460" s="386">
        <f t="shared" si="102"/>
        <v>1</v>
      </c>
      <c r="CX460" s="386">
        <f t="shared" si="102"/>
        <v>0</v>
      </c>
      <c r="CY460" s="386">
        <f t="shared" si="102"/>
        <v>0</v>
      </c>
      <c r="CZ460" s="386">
        <f t="shared" si="102"/>
        <v>0</v>
      </c>
      <c r="DA460" s="386">
        <f t="shared" si="102"/>
        <v>0</v>
      </c>
      <c r="DB460" s="386">
        <f t="shared" si="102"/>
        <v>1</v>
      </c>
      <c r="DC460" s="386">
        <f t="shared" si="102"/>
        <v>1</v>
      </c>
      <c r="DD460" s="386">
        <f t="shared" si="102"/>
        <v>3</v>
      </c>
      <c r="DE460" s="386">
        <f t="shared" si="102"/>
        <v>1</v>
      </c>
      <c r="DF460" s="386">
        <f t="shared" si="102"/>
        <v>1735</v>
      </c>
      <c r="DG460" s="386">
        <f t="shared" si="102"/>
        <v>0</v>
      </c>
      <c r="DH460" s="386">
        <f t="shared" si="102"/>
        <v>107</v>
      </c>
      <c r="DI460" s="386">
        <f t="shared" si="102"/>
        <v>0</v>
      </c>
      <c r="DJ460" s="386">
        <f t="shared" si="102"/>
        <v>0</v>
      </c>
      <c r="DK460" s="386">
        <f t="shared" si="102"/>
        <v>0</v>
      </c>
      <c r="DL460" s="386">
        <f t="shared" si="102"/>
        <v>1735</v>
      </c>
      <c r="DM460" s="386">
        <f t="shared" si="102"/>
        <v>135</v>
      </c>
      <c r="DN460" s="386">
        <f t="shared" si="102"/>
        <v>0</v>
      </c>
      <c r="DO460" s="386">
        <f t="shared" si="102"/>
        <v>0</v>
      </c>
    </row>
    <row r="461" spans="1:119">
      <c r="A461" s="406"/>
      <c r="B461" s="405"/>
      <c r="C461" s="408"/>
      <c r="D461" s="409"/>
      <c r="E461" s="409"/>
      <c r="F461" s="409"/>
      <c r="G461" s="409"/>
      <c r="H461" s="409"/>
      <c r="I461" s="409"/>
      <c r="J461" s="409"/>
      <c r="K461" s="409"/>
      <c r="L461" s="409"/>
      <c r="M461" s="409"/>
      <c r="N461" s="409"/>
      <c r="O461" s="409"/>
      <c r="P461" s="410"/>
      <c r="Q461" s="410"/>
      <c r="R461" s="410"/>
      <c r="S461" s="410"/>
      <c r="T461" s="411"/>
      <c r="U461" s="405"/>
      <c r="V461" s="405"/>
      <c r="W461" s="405"/>
      <c r="X461" s="408"/>
      <c r="Y461" s="408"/>
      <c r="Z461" s="408"/>
      <c r="AA461" s="408"/>
      <c r="AB461" s="408"/>
      <c r="AC461" s="408"/>
      <c r="AD461" s="408"/>
      <c r="AE461" s="408"/>
      <c r="AF461" s="408"/>
      <c r="AG461" s="408"/>
      <c r="AH461" s="408"/>
      <c r="AI461" s="408"/>
      <c r="AJ461" s="408"/>
      <c r="AK461" s="408"/>
      <c r="AL461" s="408"/>
      <c r="AM461" s="408"/>
      <c r="AN461" s="408"/>
      <c r="AO461" s="408"/>
      <c r="AP461" s="408"/>
      <c r="AQ461" s="408"/>
      <c r="AR461" s="408"/>
      <c r="AS461" s="412"/>
      <c r="AT461" s="413"/>
      <c r="AU461" s="405"/>
      <c r="AV461" s="408"/>
      <c r="AW461" s="408"/>
      <c r="AX461" s="412"/>
      <c r="AY461" s="413"/>
      <c r="AZ461" s="405"/>
      <c r="BA461" s="408"/>
      <c r="BB461" s="1183"/>
      <c r="BC461" s="413"/>
      <c r="BD461" s="327" t="s">
        <v>215</v>
      </c>
      <c r="BE461" s="327" t="s">
        <v>214</v>
      </c>
      <c r="BF461" s="327" t="s">
        <v>213</v>
      </c>
      <c r="BG461" s="327" t="s">
        <v>1505</v>
      </c>
      <c r="BH461" s="327" t="s">
        <v>1506</v>
      </c>
      <c r="BI461" s="327" t="s">
        <v>212</v>
      </c>
      <c r="BJ461" s="327" t="s">
        <v>352</v>
      </c>
      <c r="BK461" s="327" t="s">
        <v>353</v>
      </c>
      <c r="BL461" s="327" t="s">
        <v>354</v>
      </c>
      <c r="BM461" s="327" t="s">
        <v>355</v>
      </c>
      <c r="BN461" s="327" t="s">
        <v>1507</v>
      </c>
      <c r="BO461" s="327" t="s">
        <v>356</v>
      </c>
      <c r="BP461" s="327" t="s">
        <v>1328</v>
      </c>
      <c r="BQ461" s="327" t="s">
        <v>357</v>
      </c>
      <c r="BR461" s="327" t="s">
        <v>358</v>
      </c>
      <c r="BS461" s="327" t="s">
        <v>359</v>
      </c>
      <c r="BT461" s="327" t="s">
        <v>360</v>
      </c>
      <c r="BU461" s="327" t="s">
        <v>361</v>
      </c>
      <c r="BV461" s="327" t="s">
        <v>377</v>
      </c>
      <c r="BW461" s="327" t="s">
        <v>378</v>
      </c>
      <c r="BX461" s="327" t="s">
        <v>379</v>
      </c>
      <c r="BY461" s="327" t="s">
        <v>380</v>
      </c>
      <c r="BZ461" s="327" t="s">
        <v>1272</v>
      </c>
      <c r="CA461" s="327" t="s">
        <v>1273</v>
      </c>
      <c r="CB461" s="327" t="s">
        <v>1508</v>
      </c>
      <c r="CC461" s="327" t="s">
        <v>1509</v>
      </c>
      <c r="CD461" s="327" t="s">
        <v>1510</v>
      </c>
      <c r="CE461" s="315" t="s">
        <v>211</v>
      </c>
      <c r="CF461" s="315" t="s">
        <v>210</v>
      </c>
      <c r="CG461" s="315" t="s">
        <v>1511</v>
      </c>
      <c r="CH461" s="315" t="s">
        <v>209</v>
      </c>
      <c r="CI461" s="315" t="s">
        <v>208</v>
      </c>
      <c r="CJ461" s="315" t="s">
        <v>207</v>
      </c>
      <c r="CK461" s="315" t="s">
        <v>206</v>
      </c>
      <c r="CL461" s="315" t="s">
        <v>1280</v>
      </c>
      <c r="CM461" s="315" t="s">
        <v>1512</v>
      </c>
      <c r="CN461" s="315" t="s">
        <v>205</v>
      </c>
      <c r="CO461" s="315" t="s">
        <v>1281</v>
      </c>
      <c r="CP461" s="315" t="s">
        <v>1513</v>
      </c>
      <c r="CQ461" s="315" t="s">
        <v>1514</v>
      </c>
      <c r="CR461" s="315" t="s">
        <v>204</v>
      </c>
      <c r="CS461" s="315" t="s">
        <v>203</v>
      </c>
      <c r="CT461" s="315" t="s">
        <v>1515</v>
      </c>
      <c r="CU461" s="315" t="s">
        <v>202</v>
      </c>
      <c r="CV461" s="315" t="s">
        <v>201</v>
      </c>
      <c r="CW461" s="315" t="s">
        <v>200</v>
      </c>
      <c r="CX461" s="315" t="s">
        <v>199</v>
      </c>
      <c r="CY461" s="315" t="s">
        <v>198</v>
      </c>
      <c r="CZ461" s="315" t="s">
        <v>197</v>
      </c>
      <c r="DA461" s="315" t="s">
        <v>1274</v>
      </c>
      <c r="DB461" s="315" t="s">
        <v>1275</v>
      </c>
      <c r="DC461" s="315" t="s">
        <v>1516</v>
      </c>
      <c r="DD461" s="315" t="s">
        <v>1517</v>
      </c>
      <c r="DE461" s="315" t="s">
        <v>1518</v>
      </c>
      <c r="DF461" s="416"/>
      <c r="DG461" s="416"/>
      <c r="DH461" s="416"/>
      <c r="DI461" s="416"/>
      <c r="DJ461" s="416"/>
      <c r="DK461" s="416"/>
      <c r="DL461" s="416"/>
      <c r="DM461" s="416"/>
      <c r="DN461" s="416"/>
      <c r="DO461" s="417"/>
    </row>
    <row r="462" spans="1:119">
      <c r="A462" s="406"/>
      <c r="B462" s="394" t="s">
        <v>259</v>
      </c>
      <c r="C462" s="408"/>
      <c r="D462" s="409"/>
      <c r="E462" s="409"/>
      <c r="F462" s="409"/>
      <c r="G462" s="409"/>
      <c r="H462" s="409"/>
      <c r="I462" s="409"/>
      <c r="J462" s="409"/>
      <c r="K462" s="409"/>
      <c r="L462" s="409"/>
      <c r="M462" s="409"/>
      <c r="N462" s="409"/>
      <c r="O462" s="409"/>
      <c r="P462" s="410"/>
      <c r="Q462" s="410"/>
      <c r="R462" s="410"/>
      <c r="S462" s="410"/>
      <c r="T462" s="411"/>
      <c r="U462" s="405"/>
      <c r="V462" s="405"/>
      <c r="W462" s="405"/>
      <c r="X462" s="408"/>
      <c r="Y462" s="408"/>
      <c r="Z462" s="408"/>
      <c r="AA462" s="408"/>
      <c r="AB462" s="408"/>
      <c r="AC462" s="408"/>
      <c r="AD462" s="408"/>
      <c r="AE462" s="408"/>
      <c r="AF462" s="408"/>
      <c r="AG462" s="408"/>
      <c r="AH462" s="408"/>
      <c r="AI462" s="408"/>
      <c r="AJ462" s="408"/>
      <c r="AK462" s="408"/>
      <c r="AL462" s="408"/>
      <c r="AM462" s="408"/>
      <c r="AN462" s="408"/>
      <c r="AO462" s="408"/>
      <c r="AP462" s="408"/>
      <c r="AQ462" s="408"/>
      <c r="AR462" s="408"/>
      <c r="AS462" s="412"/>
      <c r="AT462" s="413"/>
      <c r="AU462" s="405"/>
      <c r="AV462" s="408"/>
      <c r="AW462" s="408"/>
      <c r="AX462" s="412"/>
      <c r="AY462" s="413"/>
      <c r="AZ462" s="405"/>
      <c r="BA462" s="408"/>
      <c r="BB462" s="1183"/>
      <c r="BC462" s="413"/>
      <c r="BD462" s="414"/>
      <c r="BE462" s="415"/>
      <c r="BF462" s="415"/>
      <c r="BG462" s="415"/>
      <c r="BH462" s="415"/>
      <c r="BI462" s="415"/>
      <c r="BJ462" s="655"/>
      <c r="BK462" s="415"/>
      <c r="BL462" s="415"/>
      <c r="BM462" s="415"/>
      <c r="BN462" s="415"/>
      <c r="BO462" s="415"/>
      <c r="BP462" s="415"/>
      <c r="BQ462" s="415"/>
      <c r="BR462" s="415"/>
      <c r="BS462" s="415"/>
      <c r="BT462" s="415"/>
      <c r="BU462" s="655"/>
      <c r="BV462" s="415"/>
      <c r="BW462" s="415"/>
      <c r="BX462" s="415"/>
      <c r="BY462" s="655"/>
      <c r="BZ462" s="655"/>
      <c r="CA462" s="655"/>
      <c r="CB462" s="415"/>
      <c r="CC462" s="655"/>
      <c r="CD462" s="415"/>
      <c r="CE462" s="415"/>
      <c r="CF462" s="415"/>
      <c r="CG462" s="415"/>
      <c r="CH462" s="415"/>
      <c r="CI462" s="656"/>
      <c r="CJ462" s="416"/>
      <c r="CK462" s="656"/>
      <c r="CL462" s="416"/>
      <c r="CM462" s="656"/>
      <c r="CN462" s="416"/>
      <c r="CO462" s="416"/>
      <c r="CP462" s="416"/>
      <c r="CQ462" s="656"/>
      <c r="CR462" s="656"/>
      <c r="CS462" s="416"/>
      <c r="CT462" s="416"/>
      <c r="CU462" s="416"/>
      <c r="CV462" s="416"/>
      <c r="CW462" s="416"/>
      <c r="CX462" s="656"/>
      <c r="CY462" s="656"/>
      <c r="CZ462" s="416"/>
      <c r="DA462" s="416"/>
      <c r="DB462" s="416"/>
      <c r="DC462" s="416"/>
      <c r="DD462" s="416"/>
      <c r="DE462" s="416"/>
      <c r="DF462" s="416"/>
      <c r="DG462" s="416"/>
      <c r="DH462" s="416"/>
      <c r="DI462" s="416"/>
      <c r="DJ462" s="416"/>
      <c r="DK462" s="416"/>
      <c r="DL462" s="416"/>
      <c r="DM462" s="416"/>
      <c r="DN462" s="416"/>
      <c r="DO462" s="417"/>
    </row>
    <row r="463" spans="1:119">
      <c r="A463" s="406"/>
      <c r="B463" s="405"/>
      <c r="C463" s="408"/>
      <c r="D463" s="409"/>
      <c r="E463" s="409"/>
      <c r="F463" s="409"/>
      <c r="G463" s="409"/>
      <c r="H463" s="409"/>
      <c r="I463" s="409"/>
      <c r="J463" s="409"/>
      <c r="K463" s="409"/>
      <c r="L463" s="409"/>
      <c r="M463" s="409"/>
      <c r="N463" s="409"/>
      <c r="O463" s="409"/>
      <c r="P463" s="410"/>
      <c r="Q463" s="410"/>
      <c r="R463" s="410"/>
      <c r="S463" s="410"/>
      <c r="T463" s="411"/>
      <c r="U463" s="405"/>
      <c r="V463" s="405"/>
      <c r="W463" s="405"/>
      <c r="X463" s="408"/>
      <c r="Y463" s="408"/>
      <c r="Z463" s="408"/>
      <c r="AA463" s="408"/>
      <c r="AB463" s="408"/>
      <c r="AC463" s="408"/>
      <c r="AD463" s="408"/>
      <c r="AE463" s="408"/>
      <c r="AF463" s="408"/>
      <c r="AG463" s="408"/>
      <c r="AH463" s="408"/>
      <c r="AI463" s="408"/>
      <c r="AJ463" s="408"/>
      <c r="AK463" s="408"/>
      <c r="AL463" s="408"/>
      <c r="AM463" s="408"/>
      <c r="AN463" s="408"/>
      <c r="AO463" s="408"/>
      <c r="AP463" s="408"/>
      <c r="AQ463" s="408"/>
      <c r="AR463" s="408"/>
      <c r="AS463" s="412"/>
      <c r="AT463" s="413"/>
      <c r="AU463" s="405"/>
      <c r="AV463" s="408"/>
      <c r="AW463" s="408"/>
      <c r="AX463" s="412"/>
      <c r="AY463" s="413"/>
      <c r="AZ463" s="405"/>
      <c r="BA463" s="408"/>
      <c r="BB463" s="1183"/>
      <c r="BC463" s="413"/>
      <c r="BD463" s="414"/>
      <c r="BE463" s="415"/>
      <c r="BF463" s="415"/>
      <c r="BG463" s="415"/>
      <c r="BH463" s="415"/>
      <c r="BI463" s="415"/>
      <c r="BJ463" s="655"/>
      <c r="BK463" s="415"/>
      <c r="BL463" s="415"/>
      <c r="BM463" s="415"/>
      <c r="BN463" s="415"/>
      <c r="BO463" s="415"/>
      <c r="BP463" s="415"/>
      <c r="BQ463" s="415"/>
      <c r="BR463" s="415"/>
      <c r="BS463" s="415"/>
      <c r="BT463" s="415"/>
      <c r="BU463" s="655"/>
      <c r="BV463" s="415"/>
      <c r="BW463" s="415"/>
      <c r="BX463" s="415"/>
      <c r="BY463" s="655"/>
      <c r="BZ463" s="655"/>
      <c r="CA463" s="655"/>
      <c r="CB463" s="415"/>
      <c r="CC463" s="655"/>
      <c r="CD463" s="415"/>
      <c r="CE463" s="415"/>
      <c r="CF463" s="415"/>
      <c r="CG463" s="415"/>
      <c r="CH463" s="415"/>
      <c r="CI463" s="656"/>
      <c r="CJ463" s="416"/>
      <c r="CK463" s="656"/>
      <c r="CL463" s="416"/>
      <c r="CM463" s="656"/>
      <c r="CN463" s="416"/>
      <c r="CO463" s="416"/>
      <c r="CP463" s="416"/>
      <c r="CQ463" s="656"/>
      <c r="CR463" s="656"/>
      <c r="CS463" s="416"/>
      <c r="CT463" s="416"/>
      <c r="CU463" s="416"/>
      <c r="CV463" s="416"/>
      <c r="CW463" s="416"/>
      <c r="CX463" s="656"/>
      <c r="CY463" s="656"/>
      <c r="CZ463" s="416"/>
      <c r="DA463" s="416"/>
      <c r="DB463" s="416"/>
      <c r="DC463" s="416"/>
      <c r="DD463" s="416"/>
      <c r="DE463" s="416"/>
      <c r="DF463" s="416"/>
      <c r="DG463" s="416"/>
      <c r="DH463" s="416"/>
      <c r="DI463" s="416"/>
      <c r="DJ463" s="416"/>
      <c r="DK463" s="416"/>
      <c r="DL463" s="416"/>
      <c r="DM463" s="416"/>
      <c r="DN463" s="416"/>
      <c r="DO463" s="383"/>
    </row>
    <row r="464" spans="1:119">
      <c r="A464" s="813"/>
      <c r="B464" s="405" t="s">
        <v>1639</v>
      </c>
      <c r="C464" s="408">
        <v>15</v>
      </c>
      <c r="D464" s="409"/>
      <c r="E464" s="409"/>
      <c r="F464" s="409"/>
      <c r="G464" s="409"/>
      <c r="H464" s="409"/>
      <c r="I464" s="409"/>
      <c r="J464" s="409"/>
      <c r="K464" s="409"/>
      <c r="L464" s="409"/>
      <c r="M464" s="409"/>
      <c r="N464" s="409"/>
      <c r="O464" s="409"/>
      <c r="P464" s="410"/>
      <c r="Q464" s="410"/>
      <c r="R464" s="410"/>
      <c r="S464" s="410"/>
      <c r="T464" s="411"/>
      <c r="U464" s="405"/>
      <c r="V464" s="405"/>
      <c r="W464" s="405">
        <f>ROUND((10*2.15)-BN300,0)</f>
        <v>17</v>
      </c>
      <c r="X464" s="408"/>
      <c r="Y464" s="408"/>
      <c r="Z464" s="408"/>
      <c r="AA464" s="408"/>
      <c r="AB464" s="408"/>
      <c r="AC464" s="408"/>
      <c r="AD464" s="408">
        <f>ROUND((12.9*2.25)-BN300,0)</f>
        <v>25</v>
      </c>
      <c r="AE464" s="408"/>
      <c r="AF464" s="408"/>
      <c r="AG464" s="408"/>
      <c r="AH464" s="408"/>
      <c r="AI464" s="408"/>
      <c r="AJ464" s="408"/>
      <c r="AK464" s="408"/>
      <c r="AL464" s="408"/>
      <c r="AM464" s="408"/>
      <c r="AN464" s="408"/>
      <c r="AO464" s="408"/>
      <c r="AP464" s="408"/>
      <c r="AQ464" s="408">
        <f>BN302</f>
        <v>4.0999999999999996</v>
      </c>
      <c r="AR464" s="408"/>
      <c r="AS464" s="412"/>
      <c r="AT464" s="413">
        <f>BN301</f>
        <v>2</v>
      </c>
      <c r="AU464" s="405"/>
      <c r="AV464" s="408"/>
      <c r="AW464" s="408">
        <f>C464</f>
        <v>15</v>
      </c>
      <c r="AX464" s="412"/>
      <c r="AY464" s="413"/>
      <c r="AZ464" s="361">
        <f>AD464</f>
        <v>25</v>
      </c>
      <c r="BA464" s="357">
        <f>AC464</f>
        <v>0</v>
      </c>
      <c r="BB464" s="362"/>
      <c r="BC464" s="365">
        <f t="shared" ref="BC464:BC472" si="103">SUM(AU464:AW464)</f>
        <v>15</v>
      </c>
      <c r="BD464" s="414"/>
      <c r="BE464" s="415"/>
      <c r="BF464" s="415"/>
      <c r="BG464" s="415"/>
      <c r="BH464" s="415"/>
      <c r="BI464" s="415"/>
      <c r="BJ464" s="415"/>
      <c r="BK464" s="415"/>
      <c r="BL464" s="415"/>
      <c r="BM464" s="415"/>
      <c r="BN464" s="415">
        <v>1</v>
      </c>
      <c r="BO464" s="415"/>
      <c r="BP464" s="415"/>
      <c r="BQ464" s="415"/>
      <c r="BR464" s="415"/>
      <c r="BS464" s="415"/>
      <c r="BT464" s="415"/>
      <c r="BU464" s="415"/>
      <c r="BV464" s="415"/>
      <c r="BW464" s="415"/>
      <c r="BX464" s="415"/>
      <c r="BY464" s="415"/>
      <c r="BZ464" s="415"/>
      <c r="CA464" s="415"/>
      <c r="CB464" s="415"/>
      <c r="CC464" s="415"/>
      <c r="CD464" s="415"/>
      <c r="CE464" s="415"/>
      <c r="CF464" s="415"/>
      <c r="CG464" s="415"/>
      <c r="CH464" s="415"/>
      <c r="CI464" s="416"/>
      <c r="CJ464" s="416"/>
      <c r="CK464" s="416"/>
      <c r="CL464" s="416"/>
      <c r="CM464" s="416"/>
      <c r="CN464" s="416"/>
      <c r="CO464" s="416"/>
      <c r="CP464" s="416"/>
      <c r="CQ464" s="416"/>
      <c r="CR464" s="416"/>
      <c r="CS464" s="416"/>
      <c r="CT464" s="416"/>
      <c r="CU464" s="416"/>
      <c r="CV464" s="416"/>
      <c r="CW464" s="416"/>
      <c r="CX464" s="416"/>
      <c r="CY464" s="416"/>
      <c r="CZ464" s="416"/>
      <c r="DA464" s="416"/>
      <c r="DB464" s="416"/>
      <c r="DC464" s="416"/>
      <c r="DD464" s="416"/>
      <c r="DE464" s="416"/>
      <c r="DF464" s="416"/>
      <c r="DG464" s="416"/>
      <c r="DH464" s="416"/>
      <c r="DI464" s="416"/>
      <c r="DJ464" s="416"/>
      <c r="DK464" s="416"/>
      <c r="DL464" s="416"/>
      <c r="DM464" s="416"/>
      <c r="DN464" s="416"/>
      <c r="DO464" s="383"/>
    </row>
    <row r="465" spans="1:128">
      <c r="A465" s="813"/>
      <c r="B465" s="405" t="s">
        <v>1640</v>
      </c>
      <c r="C465" s="408">
        <v>10</v>
      </c>
      <c r="D465" s="409"/>
      <c r="E465" s="409"/>
      <c r="F465" s="409"/>
      <c r="G465" s="409"/>
      <c r="H465" s="409"/>
      <c r="I465" s="409"/>
      <c r="J465" s="409"/>
      <c r="K465" s="409"/>
      <c r="L465" s="409"/>
      <c r="M465" s="409"/>
      <c r="N465" s="409"/>
      <c r="O465" s="409"/>
      <c r="P465" s="410"/>
      <c r="Q465" s="410"/>
      <c r="R465" s="410"/>
      <c r="S465" s="410"/>
      <c r="T465" s="411"/>
      <c r="U465" s="405">
        <f>ROUND((15.57*2.25)-BN300,0)</f>
        <v>31</v>
      </c>
      <c r="V465" s="405"/>
      <c r="W465" s="405"/>
      <c r="X465" s="408"/>
      <c r="Y465" s="408"/>
      <c r="Z465" s="408"/>
      <c r="AA465" s="408"/>
      <c r="AB465" s="408"/>
      <c r="AC465" s="408"/>
      <c r="AD465" s="408">
        <f>ROUND((15.57*2.5)-BN300,0)</f>
        <v>35</v>
      </c>
      <c r="AE465" s="408"/>
      <c r="AF465" s="408"/>
      <c r="AG465" s="408"/>
      <c r="AH465" s="408"/>
      <c r="AI465" s="408"/>
      <c r="AJ465" s="408"/>
      <c r="AK465" s="408"/>
      <c r="AL465" s="408"/>
      <c r="AM465" s="408"/>
      <c r="AN465" s="408"/>
      <c r="AO465" s="408"/>
      <c r="AP465" s="408"/>
      <c r="AQ465" s="408">
        <f>BN302</f>
        <v>4.0999999999999996</v>
      </c>
      <c r="AR465" s="408"/>
      <c r="AS465" s="412"/>
      <c r="AT465" s="413">
        <f>BN301</f>
        <v>2</v>
      </c>
      <c r="AU465" s="405"/>
      <c r="AV465" s="408"/>
      <c r="AW465" s="408">
        <f>C465</f>
        <v>10</v>
      </c>
      <c r="AX465" s="412"/>
      <c r="AY465" s="413"/>
      <c r="AZ465" s="361">
        <f>AD465</f>
        <v>35</v>
      </c>
      <c r="BA465" s="357">
        <f>AC465</f>
        <v>0</v>
      </c>
      <c r="BB465" s="362"/>
      <c r="BC465" s="365">
        <f t="shared" si="103"/>
        <v>10</v>
      </c>
      <c r="BD465" s="414"/>
      <c r="BE465" s="415"/>
      <c r="BF465" s="415"/>
      <c r="BG465" s="415"/>
      <c r="BH465" s="415"/>
      <c r="BI465" s="415"/>
      <c r="BJ465" s="415"/>
      <c r="BK465" s="415"/>
      <c r="BL465" s="415"/>
      <c r="BM465" s="415"/>
      <c r="BN465" s="415">
        <v>1</v>
      </c>
      <c r="BO465" s="415"/>
      <c r="BP465" s="415"/>
      <c r="BQ465" s="415"/>
      <c r="BR465" s="415"/>
      <c r="BS465" s="415"/>
      <c r="BT465" s="415"/>
      <c r="BU465" s="415"/>
      <c r="BV465" s="415"/>
      <c r="BW465" s="415"/>
      <c r="BX465" s="415"/>
      <c r="BY465" s="415"/>
      <c r="BZ465" s="415"/>
      <c r="CA465" s="415"/>
      <c r="CB465" s="415"/>
      <c r="CC465" s="415"/>
      <c r="CD465" s="415"/>
      <c r="CE465" s="415"/>
      <c r="CF465" s="415"/>
      <c r="CG465" s="415"/>
      <c r="CH465" s="415"/>
      <c r="CI465" s="416"/>
      <c r="CJ465" s="416"/>
      <c r="CK465" s="416"/>
      <c r="CL465" s="416"/>
      <c r="CM465" s="416"/>
      <c r="CN465" s="416"/>
      <c r="CO465" s="416"/>
      <c r="CP465" s="416"/>
      <c r="CQ465" s="416"/>
      <c r="CR465" s="416"/>
      <c r="CS465" s="416"/>
      <c r="CT465" s="416"/>
      <c r="CU465" s="416"/>
      <c r="CV465" s="416"/>
      <c r="CW465" s="416"/>
      <c r="CX465" s="416"/>
      <c r="CY465" s="416"/>
      <c r="CZ465" s="416"/>
      <c r="DA465" s="416"/>
      <c r="DB465" s="416"/>
      <c r="DC465" s="416"/>
      <c r="DD465" s="416"/>
      <c r="DE465" s="416"/>
      <c r="DF465" s="416"/>
      <c r="DG465" s="416"/>
      <c r="DH465" s="416"/>
      <c r="DI465" s="416"/>
      <c r="DJ465" s="416"/>
      <c r="DK465" s="416"/>
      <c r="DL465" s="416"/>
      <c r="DM465" s="416"/>
      <c r="DN465" s="416"/>
      <c r="DO465" s="383"/>
    </row>
    <row r="466" spans="1:128" s="63" customFormat="1" ht="18">
      <c r="A466" s="376"/>
      <c r="B466" s="819" t="s">
        <v>1593</v>
      </c>
      <c r="C466" s="357"/>
      <c r="D466" s="375"/>
      <c r="E466" s="357"/>
      <c r="F466" s="357"/>
      <c r="G466" s="357"/>
      <c r="H466" s="375">
        <v>2221</v>
      </c>
      <c r="I466" s="357"/>
      <c r="J466" s="357"/>
      <c r="K466" s="375"/>
      <c r="L466" s="357"/>
      <c r="M466" s="357"/>
      <c r="N466" s="357"/>
      <c r="O466" s="357"/>
      <c r="P466" s="362"/>
      <c r="Q466" s="362"/>
      <c r="R466" s="362"/>
      <c r="S466" s="362"/>
      <c r="T466" s="360"/>
      <c r="U466" s="361"/>
      <c r="V466" s="361"/>
      <c r="W466" s="361"/>
      <c r="X466" s="357"/>
      <c r="Y466" s="357"/>
      <c r="Z466" s="357"/>
      <c r="AA466" s="357"/>
      <c r="AB466" s="357"/>
      <c r="AC466" s="357"/>
      <c r="AD466" s="357"/>
      <c r="AE466" s="357"/>
      <c r="AF466" s="357"/>
      <c r="AG466" s="357"/>
      <c r="AH466" s="357"/>
      <c r="AI466" s="357"/>
      <c r="AJ466" s="357"/>
      <c r="AK466" s="357"/>
      <c r="AL466" s="357"/>
      <c r="AM466" s="357"/>
      <c r="AN466" s="357"/>
      <c r="AO466" s="357"/>
      <c r="AP466" s="357"/>
      <c r="AQ466" s="357"/>
      <c r="AR466" s="357"/>
      <c r="AS466" s="362"/>
      <c r="AT466" s="360"/>
      <c r="AU466" s="374"/>
      <c r="AV466" s="357"/>
      <c r="AW466" s="357"/>
      <c r="AX466" s="357"/>
      <c r="AY466" s="360"/>
      <c r="AZ466" s="361">
        <f>AD466</f>
        <v>0</v>
      </c>
      <c r="BA466" s="357">
        <f>AC466</f>
        <v>0</v>
      </c>
      <c r="BB466" s="362"/>
      <c r="BC466" s="365">
        <f t="shared" si="103"/>
        <v>0</v>
      </c>
      <c r="BD466" s="361"/>
      <c r="BE466" s="357"/>
      <c r="BF466" s="357"/>
      <c r="BG466" s="357"/>
      <c r="BH466" s="357"/>
      <c r="BI466" s="357"/>
      <c r="BJ466" s="357"/>
      <c r="BK466" s="357"/>
      <c r="BL466" s="357"/>
      <c r="BM466" s="357"/>
      <c r="BN466" s="357"/>
      <c r="BO466" s="357"/>
      <c r="BP466" s="357"/>
      <c r="BQ466" s="357"/>
      <c r="BR466" s="357"/>
      <c r="BS466" s="357"/>
      <c r="BT466" s="357"/>
      <c r="BU466" s="357"/>
      <c r="BV466" s="357"/>
      <c r="BW466" s="357"/>
      <c r="BX466" s="357"/>
      <c r="BY466" s="357"/>
      <c r="BZ466" s="357"/>
      <c r="CA466" s="357"/>
      <c r="CB466" s="357"/>
      <c r="CC466" s="357"/>
      <c r="CD466" s="357"/>
      <c r="CE466" s="357"/>
      <c r="CF466" s="357"/>
      <c r="CG466" s="357"/>
      <c r="CH466" s="357"/>
      <c r="CI466" s="362"/>
      <c r="CJ466" s="362"/>
      <c r="CK466" s="362"/>
      <c r="CL466" s="362"/>
      <c r="CM466" s="362"/>
      <c r="CN466" s="362"/>
      <c r="CO466" s="362"/>
      <c r="CP466" s="362"/>
      <c r="CQ466" s="362"/>
      <c r="CR466" s="362"/>
      <c r="CS466" s="362"/>
      <c r="CT466" s="362"/>
      <c r="CU466" s="362"/>
      <c r="CV466" s="362"/>
      <c r="CW466" s="362"/>
      <c r="CX466" s="362"/>
      <c r="CY466" s="362"/>
      <c r="CZ466" s="362"/>
      <c r="DA466" s="362"/>
      <c r="DB466" s="362"/>
      <c r="DC466" s="362"/>
      <c r="DD466" s="362"/>
      <c r="DE466" s="362"/>
      <c r="DF466" s="362"/>
      <c r="DG466" s="362"/>
      <c r="DH466" s="362"/>
      <c r="DI466" s="362"/>
      <c r="DJ466" s="362"/>
      <c r="DK466" s="362"/>
      <c r="DL466" s="362"/>
      <c r="DM466" s="362"/>
      <c r="DN466" s="362"/>
      <c r="DO466" s="360"/>
      <c r="DP466" s="310"/>
      <c r="DQ466" s="310"/>
      <c r="DR466" s="310"/>
      <c r="DS466" s="310"/>
      <c r="DT466" s="310"/>
      <c r="DU466" s="310"/>
      <c r="DV466" s="310"/>
      <c r="DW466" s="310"/>
      <c r="DX466" s="310"/>
    </row>
    <row r="467" spans="1:128" s="63" customFormat="1" ht="18">
      <c r="A467" s="376"/>
      <c r="B467" s="819" t="s">
        <v>1364</v>
      </c>
      <c r="C467" s="375"/>
      <c r="D467" s="357"/>
      <c r="E467" s="357"/>
      <c r="F467" s="357"/>
      <c r="G467" s="357"/>
      <c r="H467" s="357"/>
      <c r="I467" s="357"/>
      <c r="J467" s="357"/>
      <c r="K467" s="357"/>
      <c r="L467" s="357"/>
      <c r="M467" s="357"/>
      <c r="N467" s="357"/>
      <c r="O467" s="357"/>
      <c r="P467" s="362"/>
      <c r="Q467" s="362"/>
      <c r="R467" s="362"/>
      <c r="S467" s="362"/>
      <c r="T467" s="360"/>
      <c r="U467" s="361"/>
      <c r="V467" s="361"/>
      <c r="W467" s="361"/>
      <c r="X467" s="357"/>
      <c r="Y467" s="357"/>
      <c r="Z467" s="357"/>
      <c r="AA467" s="357"/>
      <c r="AB467" s="357"/>
      <c r="AC467" s="357"/>
      <c r="AD467" s="357"/>
      <c r="AE467" s="357"/>
      <c r="AF467" s="357"/>
      <c r="AG467" s="357"/>
      <c r="AH467" s="357"/>
      <c r="AI467" s="357"/>
      <c r="AJ467" s="357"/>
      <c r="AK467" s="357"/>
      <c r="AL467" s="357"/>
      <c r="AM467" s="357"/>
      <c r="AN467" s="357"/>
      <c r="AO467" s="357"/>
      <c r="AP467" s="357"/>
      <c r="AQ467" s="357"/>
      <c r="AR467" s="357"/>
      <c r="AS467" s="362"/>
      <c r="AT467" s="360"/>
      <c r="AU467" s="374"/>
      <c r="AV467" s="357"/>
      <c r="AW467" s="357"/>
      <c r="AX467" s="357"/>
      <c r="AY467" s="360"/>
      <c r="AZ467" s="361">
        <f>AD467</f>
        <v>0</v>
      </c>
      <c r="BA467" s="357">
        <f>AC467</f>
        <v>0</v>
      </c>
      <c r="BB467" s="362"/>
      <c r="BC467" s="365">
        <f t="shared" si="103"/>
        <v>0</v>
      </c>
      <c r="BD467" s="361"/>
      <c r="BE467" s="357"/>
      <c r="BF467" s="357"/>
      <c r="BG467" s="357"/>
      <c r="BH467" s="357"/>
      <c r="BI467" s="357"/>
      <c r="BJ467" s="357"/>
      <c r="BK467" s="357"/>
      <c r="BL467" s="357"/>
      <c r="BM467" s="357"/>
      <c r="BN467" s="357"/>
      <c r="BO467" s="357"/>
      <c r="BP467" s="357"/>
      <c r="BQ467" s="357"/>
      <c r="BR467" s="357"/>
      <c r="BS467" s="357"/>
      <c r="BT467" s="357"/>
      <c r="BU467" s="357"/>
      <c r="BV467" s="357"/>
      <c r="BW467" s="357"/>
      <c r="BX467" s="357"/>
      <c r="BY467" s="357"/>
      <c r="BZ467" s="357"/>
      <c r="CA467" s="357"/>
      <c r="CB467" s="357"/>
      <c r="CC467" s="357"/>
      <c r="CD467" s="357"/>
      <c r="CE467" s="357"/>
      <c r="CF467" s="357"/>
      <c r="CG467" s="357"/>
      <c r="CH467" s="357"/>
      <c r="CI467" s="362"/>
      <c r="CJ467" s="362"/>
      <c r="CK467" s="362"/>
      <c r="CL467" s="362"/>
      <c r="CM467" s="362"/>
      <c r="CN467" s="362"/>
      <c r="CO467" s="362"/>
      <c r="CP467" s="362"/>
      <c r="CQ467" s="362"/>
      <c r="CR467" s="362"/>
      <c r="CS467" s="362"/>
      <c r="CT467" s="362"/>
      <c r="CU467" s="362"/>
      <c r="CV467" s="362"/>
      <c r="CW467" s="362"/>
      <c r="CX467" s="362"/>
      <c r="CY467" s="362"/>
      <c r="CZ467" s="362"/>
      <c r="DA467" s="362"/>
      <c r="DB467" s="362"/>
      <c r="DC467" s="362"/>
      <c r="DD467" s="362"/>
      <c r="DE467" s="362"/>
      <c r="DF467" s="362">
        <v>1922</v>
      </c>
      <c r="DG467" s="362">
        <f>ROUNDUP(66.4*3,0)</f>
        <v>200</v>
      </c>
      <c r="DH467" s="362"/>
      <c r="DI467" s="362"/>
      <c r="DJ467" s="362"/>
      <c r="DK467" s="362"/>
      <c r="DL467" s="362">
        <f>DF467</f>
        <v>1922</v>
      </c>
      <c r="DM467" s="362"/>
      <c r="DN467" s="362"/>
      <c r="DO467" s="360"/>
      <c r="DP467" s="310"/>
      <c r="DQ467" s="310"/>
      <c r="DR467" s="310"/>
      <c r="DS467" s="310"/>
      <c r="DT467" s="310"/>
      <c r="DU467" s="310"/>
      <c r="DV467" s="309"/>
      <c r="DW467" s="310"/>
      <c r="DX467" s="372"/>
    </row>
    <row r="468" spans="1:128" ht="18">
      <c r="A468" s="403"/>
      <c r="B468" s="820" t="s">
        <v>382</v>
      </c>
      <c r="C468" s="357"/>
      <c r="D468" s="357"/>
      <c r="E468" s="357"/>
      <c r="F468" s="357"/>
      <c r="G468" s="357"/>
      <c r="H468" s="357"/>
      <c r="I468" s="357"/>
      <c r="J468" s="357"/>
      <c r="K468" s="357"/>
      <c r="L468" s="357"/>
      <c r="M468" s="357"/>
      <c r="N468" s="357"/>
      <c r="O468" s="357"/>
      <c r="P468" s="362"/>
      <c r="Q468" s="362"/>
      <c r="R468" s="362"/>
      <c r="S468" s="362"/>
      <c r="T468" s="360"/>
      <c r="U468" s="361"/>
      <c r="V468" s="361"/>
      <c r="W468" s="361"/>
      <c r="X468" s="357"/>
      <c r="Y468" s="357"/>
      <c r="Z468" s="357"/>
      <c r="AA468" s="357"/>
      <c r="AB468" s="357"/>
      <c r="AC468" s="357"/>
      <c r="AD468" s="357"/>
      <c r="AE468" s="357"/>
      <c r="AF468" s="357"/>
      <c r="AG468" s="357"/>
      <c r="AH468" s="357"/>
      <c r="AI468" s="357"/>
      <c r="AJ468" s="357"/>
      <c r="AK468" s="357"/>
      <c r="AL468" s="357"/>
      <c r="AM468" s="357"/>
      <c r="AN468" s="357"/>
      <c r="AO468" s="357"/>
      <c r="AP468" s="357"/>
      <c r="AQ468" s="357"/>
      <c r="AR468" s="357"/>
      <c r="AS468" s="362"/>
      <c r="AT468" s="360"/>
      <c r="AU468" s="363"/>
      <c r="AV468" s="364"/>
      <c r="AW468" s="364"/>
      <c r="AX468" s="395"/>
      <c r="AY468" s="365"/>
      <c r="AZ468" s="361">
        <f t="shared" ref="AZ468:AZ480" si="104">AD468</f>
        <v>0</v>
      </c>
      <c r="BA468" s="357">
        <f t="shared" ref="BA468:BA480" si="105">AC468</f>
        <v>0</v>
      </c>
      <c r="BB468" s="362"/>
      <c r="BC468" s="365">
        <f t="shared" si="103"/>
        <v>0</v>
      </c>
      <c r="BD468" s="380"/>
      <c r="BE468" s="381"/>
      <c r="BF468" s="381"/>
      <c r="BG468" s="381"/>
      <c r="BH468" s="381"/>
      <c r="BI468" s="381"/>
      <c r="BJ468" s="381"/>
      <c r="BK468" s="381"/>
      <c r="BL468" s="381"/>
      <c r="BM468" s="381"/>
      <c r="BN468" s="381"/>
      <c r="BO468" s="381"/>
      <c r="BP468" s="381"/>
      <c r="BQ468" s="381"/>
      <c r="BR468" s="381"/>
      <c r="BS468" s="381"/>
      <c r="BT468" s="381"/>
      <c r="BU468" s="381"/>
      <c r="BV468" s="381"/>
      <c r="BW468" s="381"/>
      <c r="BX468" s="381"/>
      <c r="BY468" s="381"/>
      <c r="BZ468" s="381"/>
      <c r="CA468" s="381"/>
      <c r="CB468" s="381"/>
      <c r="CC468" s="381"/>
      <c r="CD468" s="381"/>
      <c r="CE468" s="381"/>
      <c r="CF468" s="381"/>
      <c r="CG468" s="381"/>
      <c r="CH468" s="381"/>
      <c r="CI468" s="382"/>
      <c r="CJ468" s="382"/>
      <c r="CK468" s="382"/>
      <c r="CL468" s="382"/>
      <c r="CM468" s="382"/>
      <c r="CN468" s="382"/>
      <c r="CO468" s="382"/>
      <c r="CP468" s="382"/>
      <c r="CQ468" s="382"/>
      <c r="CR468" s="382"/>
      <c r="CS468" s="382"/>
      <c r="CT468" s="382"/>
      <c r="CU468" s="382"/>
      <c r="CV468" s="382"/>
      <c r="CW468" s="382"/>
      <c r="CX468" s="382"/>
      <c r="CY468" s="382"/>
      <c r="CZ468" s="382"/>
      <c r="DA468" s="382"/>
      <c r="DB468" s="382"/>
      <c r="DC468" s="382"/>
      <c r="DD468" s="382"/>
      <c r="DE468" s="382"/>
      <c r="DF468" s="382"/>
      <c r="DG468" s="382"/>
      <c r="DH468" s="382"/>
      <c r="DI468" s="382"/>
      <c r="DJ468" s="382"/>
      <c r="DK468" s="382"/>
      <c r="DL468" s="382"/>
      <c r="DM468" s="382">
        <f>ROUNDUP(35.5+49.84+17.77+7.25,0)</f>
        <v>111</v>
      </c>
      <c r="DN468" s="400">
        <f>ROUNDUP(828+(((0.41*10)*2)*10),0)</f>
        <v>910</v>
      </c>
      <c r="DO468" s="383">
        <f>ROUNDUP((1+0.4+0.6+0.05)*(35.5+49.84+17.77+7.25),0)</f>
        <v>227</v>
      </c>
    </row>
    <row r="469" spans="1:128" ht="18">
      <c r="A469" s="813"/>
      <c r="B469" s="820" t="s">
        <v>1641</v>
      </c>
      <c r="C469" s="408"/>
      <c r="D469" s="408"/>
      <c r="E469" s="408"/>
      <c r="F469" s="408"/>
      <c r="G469" s="408"/>
      <c r="H469" s="408"/>
      <c r="I469" s="408"/>
      <c r="J469" s="408"/>
      <c r="K469" s="408"/>
      <c r="L469" s="408"/>
      <c r="M469" s="408"/>
      <c r="N469" s="408"/>
      <c r="O469" s="408"/>
      <c r="P469" s="412"/>
      <c r="Q469" s="412"/>
      <c r="R469" s="412"/>
      <c r="S469" s="412"/>
      <c r="T469" s="413"/>
      <c r="U469" s="405"/>
      <c r="V469" s="405"/>
      <c r="W469" s="405"/>
      <c r="X469" s="408"/>
      <c r="Y469" s="408"/>
      <c r="Z469" s="408"/>
      <c r="AA469" s="408"/>
      <c r="AB469" s="408"/>
      <c r="AC469" s="408"/>
      <c r="AD469" s="408"/>
      <c r="AE469" s="408"/>
      <c r="AF469" s="408"/>
      <c r="AG469" s="408"/>
      <c r="AH469" s="408"/>
      <c r="AI469" s="408"/>
      <c r="AJ469" s="408"/>
      <c r="AK469" s="408"/>
      <c r="AL469" s="408"/>
      <c r="AM469" s="408"/>
      <c r="AN469" s="408"/>
      <c r="AO469" s="408"/>
      <c r="AP469" s="408"/>
      <c r="AQ469" s="408"/>
      <c r="AR469" s="408"/>
      <c r="AS469" s="412"/>
      <c r="AT469" s="413"/>
      <c r="AU469" s="814"/>
      <c r="AV469" s="815"/>
      <c r="AW469" s="815"/>
      <c r="AX469" s="816"/>
      <c r="AY469" s="817"/>
      <c r="AZ469" s="361">
        <f t="shared" si="104"/>
        <v>0</v>
      </c>
      <c r="BA469" s="357">
        <f t="shared" si="105"/>
        <v>0</v>
      </c>
      <c r="BB469" s="362"/>
      <c r="BC469" s="365">
        <f t="shared" si="103"/>
        <v>0</v>
      </c>
      <c r="BD469" s="414"/>
      <c r="BE469" s="415"/>
      <c r="BF469" s="415"/>
      <c r="BG469" s="415"/>
      <c r="BH469" s="415"/>
      <c r="BI469" s="415"/>
      <c r="BJ469" s="415"/>
      <c r="BK469" s="415"/>
      <c r="BL469" s="415"/>
      <c r="BM469" s="415"/>
      <c r="BN469" s="415"/>
      <c r="BO469" s="415"/>
      <c r="BP469" s="415"/>
      <c r="BQ469" s="415"/>
      <c r="BR469" s="415"/>
      <c r="BS469" s="415"/>
      <c r="BT469" s="415"/>
      <c r="BU469" s="415"/>
      <c r="BV469" s="415"/>
      <c r="BW469" s="415"/>
      <c r="BX469" s="415"/>
      <c r="BY469" s="415"/>
      <c r="BZ469" s="415"/>
      <c r="CA469" s="415"/>
      <c r="CB469" s="415"/>
      <c r="CC469" s="415"/>
      <c r="CD469" s="415"/>
      <c r="CE469" s="415"/>
      <c r="CF469" s="415"/>
      <c r="CG469" s="415"/>
      <c r="CH469" s="415"/>
      <c r="CI469" s="416"/>
      <c r="CJ469" s="416"/>
      <c r="CK469" s="416"/>
      <c r="CL469" s="416"/>
      <c r="CM469" s="416"/>
      <c r="CN469" s="416"/>
      <c r="CO469" s="416"/>
      <c r="CP469" s="416"/>
      <c r="CQ469" s="416"/>
      <c r="CR469" s="416"/>
      <c r="CS469" s="416"/>
      <c r="CT469" s="416"/>
      <c r="CU469" s="416"/>
      <c r="CV469" s="416"/>
      <c r="CW469" s="416"/>
      <c r="CX469" s="416"/>
      <c r="CY469" s="416"/>
      <c r="CZ469" s="416"/>
      <c r="DA469" s="416"/>
      <c r="DB469" s="416"/>
      <c r="DC469" s="416"/>
      <c r="DD469" s="416"/>
      <c r="DE469" s="416"/>
      <c r="DF469" s="416"/>
      <c r="DG469" s="416"/>
      <c r="DH469" s="416"/>
      <c r="DI469" s="416">
        <f>ROUNDUP(265+228+149+304+466+(6*13),0)</f>
        <v>1490</v>
      </c>
      <c r="DJ469" s="416">
        <f>ROUNDUP((16.45*2)+6.65+2.25+(20.68*4),0)</f>
        <v>125</v>
      </c>
      <c r="DK469" s="416">
        <f>ROUNDUP(60.13+66.4,0)</f>
        <v>127</v>
      </c>
      <c r="DL469" s="416">
        <f>DI469</f>
        <v>1490</v>
      </c>
      <c r="DM469" s="416"/>
      <c r="DN469" s="818"/>
      <c r="DO469" s="417"/>
    </row>
    <row r="470" spans="1:128" ht="18">
      <c r="A470" s="406"/>
      <c r="B470" s="819" t="s">
        <v>1597</v>
      </c>
      <c r="C470" s="408"/>
      <c r="D470" s="409"/>
      <c r="E470" s="409"/>
      <c r="F470" s="409"/>
      <c r="G470" s="409"/>
      <c r="H470" s="409"/>
      <c r="I470" s="409"/>
      <c r="J470" s="409"/>
      <c r="K470" s="409"/>
      <c r="L470" s="409"/>
      <c r="M470" s="409"/>
      <c r="N470" s="409"/>
      <c r="O470" s="409"/>
      <c r="P470" s="410"/>
      <c r="Q470" s="410"/>
      <c r="R470" s="410"/>
      <c r="S470" s="410"/>
      <c r="T470" s="411"/>
      <c r="U470" s="405">
        <f>ROUND((7.2*2.25),0)</f>
        <v>16</v>
      </c>
      <c r="V470" s="405">
        <f>ROUND((38.8*2.25)-(BU300+BN300),0)</f>
        <v>81</v>
      </c>
      <c r="W470" s="405"/>
      <c r="X470" s="408"/>
      <c r="Y470" s="408"/>
      <c r="Z470" s="408"/>
      <c r="AA470" s="408"/>
      <c r="AB470" s="408"/>
      <c r="AC470" s="408"/>
      <c r="AD470" s="408">
        <f>ROUND((21.9*2.25)-BU300,0)</f>
        <v>47</v>
      </c>
      <c r="AE470" s="408"/>
      <c r="AF470" s="408"/>
      <c r="AG470" s="408"/>
      <c r="AH470" s="408"/>
      <c r="AI470" s="408"/>
      <c r="AJ470" s="408"/>
      <c r="AK470" s="408"/>
      <c r="AL470" s="408"/>
      <c r="AM470" s="408"/>
      <c r="AN470" s="408"/>
      <c r="AO470" s="408"/>
      <c r="AP470" s="408"/>
      <c r="AQ470" s="408">
        <f>2*2</f>
        <v>4</v>
      </c>
      <c r="AR470" s="408">
        <f>(2*2)+BN302+BU302</f>
        <v>12.2</v>
      </c>
      <c r="AS470" s="412"/>
      <c r="AT470" s="413">
        <f>BN301+BU301</f>
        <v>3.1</v>
      </c>
      <c r="AU470" s="405"/>
      <c r="AV470" s="408"/>
      <c r="AW470" s="408"/>
      <c r="AX470" s="412"/>
      <c r="AY470" s="413"/>
      <c r="AZ470" s="361">
        <f t="shared" si="104"/>
        <v>47</v>
      </c>
      <c r="BA470" s="357">
        <f t="shared" si="105"/>
        <v>0</v>
      </c>
      <c r="BB470" s="362"/>
      <c r="BC470" s="365">
        <f t="shared" si="103"/>
        <v>0</v>
      </c>
      <c r="BD470" s="414"/>
      <c r="BE470" s="415"/>
      <c r="BF470" s="415"/>
      <c r="BG470" s="415"/>
      <c r="BH470" s="415"/>
      <c r="BI470" s="415"/>
      <c r="BJ470" s="655"/>
      <c r="BK470" s="415"/>
      <c r="BL470" s="415"/>
      <c r="BM470" s="415"/>
      <c r="BN470" s="415"/>
      <c r="BO470" s="415"/>
      <c r="BP470" s="415"/>
      <c r="BQ470" s="415"/>
      <c r="BR470" s="415"/>
      <c r="BS470" s="415"/>
      <c r="BT470" s="415"/>
      <c r="BU470" s="655">
        <v>1</v>
      </c>
      <c r="BV470" s="415"/>
      <c r="BW470" s="415"/>
      <c r="BX470" s="415"/>
      <c r="BY470" s="655"/>
      <c r="BZ470" s="655"/>
      <c r="CA470" s="655"/>
      <c r="CB470" s="415"/>
      <c r="CC470" s="655"/>
      <c r="CD470" s="415"/>
      <c r="CE470" s="415"/>
      <c r="CF470" s="415"/>
      <c r="CG470" s="415"/>
      <c r="CH470" s="415"/>
      <c r="CI470" s="656"/>
      <c r="CJ470" s="416"/>
      <c r="CK470" s="656"/>
      <c r="CL470" s="416"/>
      <c r="CM470" s="656"/>
      <c r="CN470" s="416"/>
      <c r="CO470" s="416"/>
      <c r="CP470" s="416"/>
      <c r="CQ470" s="656"/>
      <c r="CR470" s="656"/>
      <c r="CS470" s="416"/>
      <c r="CT470" s="416"/>
      <c r="CU470" s="416"/>
      <c r="CV470" s="416"/>
      <c r="CW470" s="416"/>
      <c r="CX470" s="656"/>
      <c r="CY470" s="656"/>
      <c r="CZ470" s="416"/>
      <c r="DA470" s="416"/>
      <c r="DB470" s="416"/>
      <c r="DC470" s="416"/>
      <c r="DD470" s="416"/>
      <c r="DE470" s="416"/>
      <c r="DF470" s="416"/>
      <c r="DG470" s="416"/>
      <c r="DH470" s="416"/>
      <c r="DI470" s="416"/>
      <c r="DJ470" s="416"/>
      <c r="DK470" s="416"/>
      <c r="DL470" s="416"/>
      <c r="DM470" s="416"/>
      <c r="DN470" s="416"/>
      <c r="DO470" s="417"/>
    </row>
    <row r="471" spans="1:128" ht="18">
      <c r="A471" s="406"/>
      <c r="B471" s="819" t="s">
        <v>1598</v>
      </c>
      <c r="C471" s="408"/>
      <c r="D471" s="409"/>
      <c r="E471" s="409"/>
      <c r="F471" s="409"/>
      <c r="G471" s="409"/>
      <c r="H471" s="409"/>
      <c r="I471" s="409"/>
      <c r="J471" s="409"/>
      <c r="K471" s="409"/>
      <c r="L471" s="409"/>
      <c r="M471" s="409"/>
      <c r="N471" s="409"/>
      <c r="O471" s="409"/>
      <c r="P471" s="410"/>
      <c r="Q471" s="410"/>
      <c r="R471" s="410"/>
      <c r="S471" s="410"/>
      <c r="T471" s="411"/>
      <c r="U471" s="405">
        <f>ROUND((28.41*2.5)-(BU300+CM300),0)</f>
        <v>67</v>
      </c>
      <c r="V471" s="405"/>
      <c r="W471" s="405"/>
      <c r="X471" s="408"/>
      <c r="Y471" s="408"/>
      <c r="Z471" s="408"/>
      <c r="AA471" s="408"/>
      <c r="AB471" s="408"/>
      <c r="AC471" s="408"/>
      <c r="AD471" s="408">
        <f>ROUND((24.6*2.5)-(BU300+CM300),0)</f>
        <v>57</v>
      </c>
      <c r="AE471" s="408"/>
      <c r="AF471" s="408"/>
      <c r="AG471" s="408"/>
      <c r="AH471" s="408"/>
      <c r="AI471" s="408"/>
      <c r="AJ471" s="408"/>
      <c r="AK471" s="408"/>
      <c r="AL471" s="408"/>
      <c r="AM471" s="408"/>
      <c r="AN471" s="408"/>
      <c r="AO471" s="408"/>
      <c r="AP471" s="408"/>
      <c r="AQ471" s="408">
        <f>(3*2.5)+BN302+CM302</f>
        <v>13.7</v>
      </c>
      <c r="AR471" s="408"/>
      <c r="AS471" s="412"/>
      <c r="AT471" s="413">
        <f>BN301+CM301</f>
        <v>5.58</v>
      </c>
      <c r="AU471" s="405"/>
      <c r="AV471" s="408"/>
      <c r="AW471" s="408"/>
      <c r="AX471" s="412"/>
      <c r="AY471" s="413"/>
      <c r="AZ471" s="361">
        <f t="shared" si="104"/>
        <v>57</v>
      </c>
      <c r="BA471" s="357">
        <f t="shared" si="105"/>
        <v>0</v>
      </c>
      <c r="BB471" s="362"/>
      <c r="BC471" s="365">
        <f t="shared" si="103"/>
        <v>0</v>
      </c>
      <c r="BD471" s="414"/>
      <c r="BE471" s="415"/>
      <c r="BF471" s="415"/>
      <c r="BG471" s="415"/>
      <c r="BH471" s="415"/>
      <c r="BI471" s="415"/>
      <c r="BJ471" s="655"/>
      <c r="BK471" s="415"/>
      <c r="BL471" s="415"/>
      <c r="BM471" s="415"/>
      <c r="BN471" s="415"/>
      <c r="BO471" s="415"/>
      <c r="BP471" s="415"/>
      <c r="BQ471" s="415"/>
      <c r="BR471" s="415"/>
      <c r="BS471" s="415"/>
      <c r="BT471" s="415"/>
      <c r="BU471" s="655">
        <v>1</v>
      </c>
      <c r="BV471" s="415"/>
      <c r="BW471" s="415"/>
      <c r="BX471" s="415"/>
      <c r="BY471" s="655"/>
      <c r="BZ471" s="655"/>
      <c r="CA471" s="655"/>
      <c r="CB471" s="415"/>
      <c r="CC471" s="655"/>
      <c r="CD471" s="415"/>
      <c r="CE471" s="415"/>
      <c r="CF471" s="415"/>
      <c r="CG471" s="415"/>
      <c r="CH471" s="415"/>
      <c r="CI471" s="656"/>
      <c r="CJ471" s="416"/>
      <c r="CK471" s="656"/>
      <c r="CL471" s="416"/>
      <c r="CM471" s="656">
        <v>1</v>
      </c>
      <c r="CN471" s="416"/>
      <c r="CO471" s="416"/>
      <c r="CP471" s="416"/>
      <c r="CQ471" s="656"/>
      <c r="CR471" s="656"/>
      <c r="CS471" s="416"/>
      <c r="CT471" s="416"/>
      <c r="CU471" s="416"/>
      <c r="CV471" s="416"/>
      <c r="CW471" s="416"/>
      <c r="CX471" s="656"/>
      <c r="CY471" s="656"/>
      <c r="CZ471" s="416"/>
      <c r="DA471" s="416"/>
      <c r="DB471" s="416"/>
      <c r="DC471" s="416"/>
      <c r="DD471" s="416"/>
      <c r="DE471" s="416"/>
      <c r="DF471" s="416"/>
      <c r="DG471" s="416"/>
      <c r="DH471" s="416"/>
      <c r="DI471" s="416"/>
      <c r="DJ471" s="416"/>
      <c r="DK471" s="416"/>
      <c r="DL471" s="416"/>
      <c r="DM471" s="416"/>
      <c r="DN471" s="416"/>
      <c r="DO471" s="417"/>
    </row>
    <row r="472" spans="1:128" ht="18">
      <c r="A472" s="406"/>
      <c r="B472" s="819"/>
      <c r="C472" s="408"/>
      <c r="D472" s="409"/>
      <c r="E472" s="409"/>
      <c r="F472" s="409"/>
      <c r="G472" s="409"/>
      <c r="H472" s="409"/>
      <c r="I472" s="409"/>
      <c r="J472" s="409"/>
      <c r="K472" s="409"/>
      <c r="L472" s="409"/>
      <c r="M472" s="409"/>
      <c r="N472" s="409"/>
      <c r="O472" s="409"/>
      <c r="P472" s="410"/>
      <c r="Q472" s="410"/>
      <c r="R472" s="410"/>
      <c r="S472" s="410"/>
      <c r="T472" s="411"/>
      <c r="U472" s="405"/>
      <c r="V472" s="405"/>
      <c r="W472" s="405"/>
      <c r="X472" s="408"/>
      <c r="Y472" s="408"/>
      <c r="Z472" s="408"/>
      <c r="AA472" s="408"/>
      <c r="AB472" s="408"/>
      <c r="AC472" s="408"/>
      <c r="AD472" s="408"/>
      <c r="AE472" s="408"/>
      <c r="AF472" s="408"/>
      <c r="AG472" s="408"/>
      <c r="AH472" s="408"/>
      <c r="AI472" s="408"/>
      <c r="AJ472" s="408"/>
      <c r="AK472" s="408"/>
      <c r="AL472" s="408"/>
      <c r="AM472" s="408"/>
      <c r="AN472" s="408"/>
      <c r="AO472" s="408"/>
      <c r="AP472" s="408"/>
      <c r="AQ472" s="408"/>
      <c r="AR472" s="408"/>
      <c r="AS472" s="412"/>
      <c r="AT472" s="413"/>
      <c r="AU472" s="405"/>
      <c r="AV472" s="408"/>
      <c r="AW472" s="408"/>
      <c r="AX472" s="412"/>
      <c r="AY472" s="413"/>
      <c r="AZ472" s="361">
        <f t="shared" si="104"/>
        <v>0</v>
      </c>
      <c r="BA472" s="357">
        <f t="shared" si="105"/>
        <v>0</v>
      </c>
      <c r="BB472" s="362"/>
      <c r="BC472" s="365">
        <f t="shared" si="103"/>
        <v>0</v>
      </c>
      <c r="BD472" s="414"/>
      <c r="BE472" s="415"/>
      <c r="BF472" s="415"/>
      <c r="BG472" s="415"/>
      <c r="BH472" s="415"/>
      <c r="BI472" s="415"/>
      <c r="BJ472" s="655"/>
      <c r="BK472" s="415"/>
      <c r="BL472" s="415"/>
      <c r="BM472" s="415"/>
      <c r="BN472" s="415"/>
      <c r="BO472" s="415"/>
      <c r="BP472" s="415"/>
      <c r="BQ472" s="415"/>
      <c r="BR472" s="415"/>
      <c r="BS472" s="415"/>
      <c r="BT472" s="415"/>
      <c r="BU472" s="655"/>
      <c r="BV472" s="415"/>
      <c r="BW472" s="415"/>
      <c r="BX472" s="415"/>
      <c r="BY472" s="655"/>
      <c r="BZ472" s="655"/>
      <c r="CA472" s="655"/>
      <c r="CB472" s="415"/>
      <c r="CC472" s="655"/>
      <c r="CD472" s="415"/>
      <c r="CE472" s="415"/>
      <c r="CF472" s="415"/>
      <c r="CG472" s="415"/>
      <c r="CH472" s="415"/>
      <c r="CI472" s="656"/>
      <c r="CJ472" s="416"/>
      <c r="CK472" s="656"/>
      <c r="CL472" s="416"/>
      <c r="CM472" s="656"/>
      <c r="CN472" s="416"/>
      <c r="CO472" s="416"/>
      <c r="CP472" s="416"/>
      <c r="CQ472" s="656"/>
      <c r="CR472" s="656"/>
      <c r="CS472" s="416"/>
      <c r="CT472" s="416"/>
      <c r="CU472" s="416"/>
      <c r="CV472" s="416"/>
      <c r="CW472" s="416"/>
      <c r="CX472" s="656"/>
      <c r="CY472" s="656"/>
      <c r="CZ472" s="416"/>
      <c r="DA472" s="416"/>
      <c r="DB472" s="416"/>
      <c r="DC472" s="416"/>
      <c r="DD472" s="416"/>
      <c r="DE472" s="416"/>
      <c r="DF472" s="416"/>
      <c r="DG472" s="416"/>
      <c r="DH472" s="416"/>
      <c r="DI472" s="416"/>
      <c r="DJ472" s="416"/>
      <c r="DK472" s="416"/>
      <c r="DL472" s="416"/>
      <c r="DM472" s="416"/>
      <c r="DN472" s="416"/>
      <c r="DO472" s="417"/>
    </row>
    <row r="473" spans="1:128" ht="21.75">
      <c r="A473" s="406"/>
      <c r="B473" s="405" t="s">
        <v>486</v>
      </c>
      <c r="C473" s="408"/>
      <c r="D473" s="409"/>
      <c r="E473" s="409"/>
      <c r="F473" s="409"/>
      <c r="G473" s="409"/>
      <c r="H473" s="409"/>
      <c r="I473" s="409"/>
      <c r="J473" s="409"/>
      <c r="K473" s="409"/>
      <c r="L473" s="409"/>
      <c r="M473" s="409"/>
      <c r="N473" s="409"/>
      <c r="O473" s="409"/>
      <c r="P473" s="410"/>
      <c r="Q473" s="410"/>
      <c r="R473" s="410"/>
      <c r="S473" s="410"/>
      <c r="T473" s="360"/>
      <c r="U473" s="405"/>
      <c r="V473" s="405"/>
      <c r="W473" s="405"/>
      <c r="X473" s="408"/>
      <c r="Y473" s="408"/>
      <c r="Z473" s="408"/>
      <c r="AA473" s="408"/>
      <c r="AB473" s="408"/>
      <c r="AC473" s="408"/>
      <c r="AD473" s="408"/>
      <c r="AE473" s="408"/>
      <c r="AF473" s="408"/>
      <c r="AG473" s="408"/>
      <c r="AH473" s="408"/>
      <c r="AI473" s="408"/>
      <c r="AJ473" s="408"/>
      <c r="AK473" s="408"/>
      <c r="AL473" s="408"/>
      <c r="AM473" s="408"/>
      <c r="AN473" s="408"/>
      <c r="AO473" s="408"/>
      <c r="AP473" s="408"/>
      <c r="AQ473" s="408"/>
      <c r="AR473" s="408"/>
      <c r="AS473" s="412"/>
      <c r="AT473" s="413"/>
      <c r="AU473" s="405"/>
      <c r="AV473" s="408"/>
      <c r="AW473" s="408"/>
      <c r="AX473" s="412"/>
      <c r="AY473" s="413"/>
      <c r="AZ473" s="361">
        <f t="shared" si="104"/>
        <v>0</v>
      </c>
      <c r="BA473" s="357">
        <f t="shared" si="105"/>
        <v>0</v>
      </c>
      <c r="BB473" s="1183"/>
      <c r="BC473" s="413"/>
      <c r="BD473" s="414"/>
      <c r="BE473" s="415"/>
      <c r="BF473" s="415"/>
      <c r="BG473" s="415"/>
      <c r="BH473" s="415"/>
      <c r="BI473" s="415"/>
      <c r="BJ473" s="655"/>
      <c r="BK473" s="415"/>
      <c r="BL473" s="415"/>
      <c r="BM473" s="415"/>
      <c r="BN473" s="415"/>
      <c r="BO473" s="415"/>
      <c r="BP473" s="415"/>
      <c r="BQ473" s="415"/>
      <c r="BR473" s="415"/>
      <c r="BS473" s="415"/>
      <c r="BT473" s="415"/>
      <c r="BU473" s="655"/>
      <c r="BV473" s="415"/>
      <c r="BW473" s="415"/>
      <c r="BX473" s="415"/>
      <c r="BY473" s="655"/>
      <c r="BZ473" s="655"/>
      <c r="CA473" s="655"/>
      <c r="CB473" s="415"/>
      <c r="CC473" s="655"/>
      <c r="CD473" s="415"/>
      <c r="CE473" s="415"/>
      <c r="CF473" s="415"/>
      <c r="CG473" s="415"/>
      <c r="CH473" s="415"/>
      <c r="CI473" s="656"/>
      <c r="CJ473" s="416"/>
      <c r="CK473" s="656"/>
      <c r="CL473" s="416"/>
      <c r="CM473" s="656"/>
      <c r="CN473" s="416"/>
      <c r="CO473" s="416"/>
      <c r="CP473" s="416"/>
      <c r="CQ473" s="656"/>
      <c r="CR473" s="656"/>
      <c r="CS473" s="416"/>
      <c r="CT473" s="416"/>
      <c r="CU473" s="416"/>
      <c r="CV473" s="416"/>
      <c r="CW473" s="416"/>
      <c r="CX473" s="656"/>
      <c r="CY473" s="656"/>
      <c r="CZ473" s="416"/>
      <c r="DA473" s="416"/>
      <c r="DB473" s="416"/>
      <c r="DC473" s="416"/>
      <c r="DD473" s="416"/>
      <c r="DE473" s="416"/>
      <c r="DF473" s="416"/>
      <c r="DG473" s="416"/>
      <c r="DH473" s="416"/>
      <c r="DI473" s="416"/>
      <c r="DJ473" s="416"/>
      <c r="DK473" s="416"/>
      <c r="DL473" s="416"/>
      <c r="DM473" s="416"/>
      <c r="DN473" s="416"/>
      <c r="DO473" s="417"/>
      <c r="DQ473" s="788">
        <f>ROUNDUP((((0.8*((35.5+49.84+17.77+7.25)/0.95)))*1000)+((14*(11.07+11.07+42.56+42.56))*250),0)</f>
        <v>468345</v>
      </c>
      <c r="DR473" s="788"/>
    </row>
    <row r="474" spans="1:128" ht="21.75">
      <c r="A474" s="813"/>
      <c r="B474" s="405" t="s">
        <v>1645</v>
      </c>
      <c r="C474" s="408"/>
      <c r="D474" s="409"/>
      <c r="E474" s="409"/>
      <c r="F474" s="409"/>
      <c r="G474" s="409"/>
      <c r="H474" s="409"/>
      <c r="I474" s="409"/>
      <c r="J474" s="409"/>
      <c r="K474" s="409"/>
      <c r="L474" s="409"/>
      <c r="M474" s="409"/>
      <c r="N474" s="409"/>
      <c r="O474" s="409"/>
      <c r="P474" s="410"/>
      <c r="Q474" s="410"/>
      <c r="R474" s="410"/>
      <c r="S474" s="410"/>
      <c r="T474" s="413"/>
      <c r="U474" s="405">
        <f>ROUND(0.9*224.74,0)</f>
        <v>202</v>
      </c>
      <c r="V474" s="405"/>
      <c r="W474" s="405"/>
      <c r="X474" s="408"/>
      <c r="Y474" s="408"/>
      <c r="Z474" s="408"/>
      <c r="AA474" s="408"/>
      <c r="AB474" s="408"/>
      <c r="AC474" s="408">
        <f>ROUND(1*224.74,0)</f>
        <v>225</v>
      </c>
      <c r="AD474" s="408"/>
      <c r="AE474" s="408"/>
      <c r="AF474" s="408"/>
      <c r="AG474" s="408"/>
      <c r="AH474" s="408"/>
      <c r="AI474" s="408"/>
      <c r="AJ474" s="408"/>
      <c r="AK474" s="408"/>
      <c r="AL474" s="408"/>
      <c r="AM474" s="408"/>
      <c r="AN474" s="408"/>
      <c r="AO474" s="408"/>
      <c r="AP474" s="408"/>
      <c r="AQ474" s="408"/>
      <c r="AR474" s="408"/>
      <c r="AS474" s="412"/>
      <c r="AT474" s="413">
        <v>225</v>
      </c>
      <c r="AU474" s="405"/>
      <c r="AV474" s="408"/>
      <c r="AW474" s="408"/>
      <c r="AX474" s="412"/>
      <c r="AY474" s="413"/>
      <c r="AZ474" s="361">
        <f t="shared" si="104"/>
        <v>0</v>
      </c>
      <c r="BA474" s="357">
        <f t="shared" si="105"/>
        <v>225</v>
      </c>
      <c r="BB474" s="1183"/>
      <c r="BC474" s="413"/>
      <c r="BD474" s="414"/>
      <c r="BE474" s="415"/>
      <c r="BF474" s="415"/>
      <c r="BG474" s="415"/>
      <c r="BH474" s="415"/>
      <c r="BI474" s="415"/>
      <c r="BJ474" s="415"/>
      <c r="BK474" s="415"/>
      <c r="BL474" s="415"/>
      <c r="BM474" s="415"/>
      <c r="BN474" s="415"/>
      <c r="BO474" s="415"/>
      <c r="BP474" s="415"/>
      <c r="BQ474" s="415"/>
      <c r="BR474" s="415"/>
      <c r="BS474" s="415"/>
      <c r="BT474" s="415"/>
      <c r="BU474" s="415"/>
      <c r="BV474" s="415"/>
      <c r="BW474" s="415"/>
      <c r="BX474" s="415"/>
      <c r="BY474" s="415"/>
      <c r="BZ474" s="415"/>
      <c r="CA474" s="415"/>
      <c r="CB474" s="415"/>
      <c r="CC474" s="415"/>
      <c r="CD474" s="415"/>
      <c r="CE474" s="415"/>
      <c r="CF474" s="415"/>
      <c r="CG474" s="415"/>
      <c r="CH474" s="415"/>
      <c r="CI474" s="416"/>
      <c r="CJ474" s="416"/>
      <c r="CK474" s="416"/>
      <c r="CL474" s="416"/>
      <c r="CM474" s="416"/>
      <c r="CN474" s="416"/>
      <c r="CO474" s="416"/>
      <c r="CP474" s="416"/>
      <c r="CQ474" s="416"/>
      <c r="CR474" s="416"/>
      <c r="CS474" s="416"/>
      <c r="CT474" s="416"/>
      <c r="CU474" s="416"/>
      <c r="CV474" s="416"/>
      <c r="CW474" s="416"/>
      <c r="CX474" s="416"/>
      <c r="CY474" s="416"/>
      <c r="CZ474" s="416"/>
      <c r="DA474" s="416"/>
      <c r="DB474" s="416"/>
      <c r="DC474" s="416"/>
      <c r="DD474" s="416"/>
      <c r="DE474" s="416"/>
      <c r="DF474" s="416"/>
      <c r="DG474" s="416"/>
      <c r="DH474" s="416"/>
      <c r="DI474" s="416"/>
      <c r="DJ474" s="416"/>
      <c r="DK474" s="416"/>
      <c r="DL474" s="416"/>
      <c r="DM474" s="416"/>
      <c r="DN474" s="416"/>
      <c r="DO474" s="417"/>
      <c r="DQ474" s="827"/>
      <c r="DR474" s="827"/>
    </row>
    <row r="475" spans="1:128" ht="21.75">
      <c r="A475" s="813"/>
      <c r="B475" s="368" t="s">
        <v>1648</v>
      </c>
      <c r="C475" s="408"/>
      <c r="D475" s="409"/>
      <c r="E475" s="409"/>
      <c r="F475" s="409"/>
      <c r="G475" s="409"/>
      <c r="H475" s="409"/>
      <c r="I475" s="409"/>
      <c r="J475" s="409"/>
      <c r="K475" s="409"/>
      <c r="L475" s="409"/>
      <c r="M475" s="409"/>
      <c r="N475" s="409"/>
      <c r="O475" s="409"/>
      <c r="P475" s="410"/>
      <c r="Q475" s="410"/>
      <c r="R475" s="410"/>
      <c r="S475" s="410"/>
      <c r="T475" s="413"/>
      <c r="U475" s="405"/>
      <c r="V475" s="405"/>
      <c r="W475" s="405"/>
      <c r="X475" s="408"/>
      <c r="Y475" s="408"/>
      <c r="Z475" s="408"/>
      <c r="AA475" s="408"/>
      <c r="AB475" s="408"/>
      <c r="AC475" s="408">
        <f>ROUND(((78.4*9.7)+(66.7*4.1)+52.8)-((CE300*13)+(CF300*2)+(CH300*11)),0)</f>
        <v>776</v>
      </c>
      <c r="AD475" s="408"/>
      <c r="AE475" s="408"/>
      <c r="AF475" s="408"/>
      <c r="AG475" s="408"/>
      <c r="AH475" s="408"/>
      <c r="AI475" s="408"/>
      <c r="AJ475" s="408"/>
      <c r="AK475" s="408"/>
      <c r="AL475" s="408"/>
      <c r="AM475" s="408"/>
      <c r="AN475" s="408"/>
      <c r="AO475" s="408"/>
      <c r="AP475" s="408"/>
      <c r="AQ475" s="408"/>
      <c r="AR475" s="408"/>
      <c r="AS475" s="412"/>
      <c r="AT475" s="413"/>
      <c r="AU475" s="405"/>
      <c r="AV475" s="408"/>
      <c r="AW475" s="408"/>
      <c r="AX475" s="412"/>
      <c r="AY475" s="413"/>
      <c r="AZ475" s="361">
        <f t="shared" si="104"/>
        <v>0</v>
      </c>
      <c r="BA475" s="357">
        <f t="shared" si="105"/>
        <v>776</v>
      </c>
      <c r="BB475" s="1183"/>
      <c r="BC475" s="413"/>
      <c r="BD475" s="414"/>
      <c r="BE475" s="415"/>
      <c r="BF475" s="415"/>
      <c r="BG475" s="415"/>
      <c r="BH475" s="415"/>
      <c r="BI475" s="415"/>
      <c r="BJ475" s="415"/>
      <c r="BK475" s="415"/>
      <c r="BL475" s="415"/>
      <c r="BM475" s="415"/>
      <c r="BN475" s="415"/>
      <c r="BO475" s="415"/>
      <c r="BP475" s="415"/>
      <c r="BQ475" s="415"/>
      <c r="BR475" s="415"/>
      <c r="BS475" s="415"/>
      <c r="BT475" s="415"/>
      <c r="BU475" s="415"/>
      <c r="BV475" s="415"/>
      <c r="BW475" s="415"/>
      <c r="BX475" s="415"/>
      <c r="BY475" s="415"/>
      <c r="BZ475" s="415"/>
      <c r="CA475" s="415"/>
      <c r="CB475" s="415"/>
      <c r="CC475" s="415"/>
      <c r="CD475" s="415"/>
      <c r="CE475" s="415"/>
      <c r="CF475" s="415"/>
      <c r="CG475" s="415"/>
      <c r="CH475" s="415"/>
      <c r="CI475" s="416"/>
      <c r="CJ475" s="416"/>
      <c r="CK475" s="416"/>
      <c r="CL475" s="416"/>
      <c r="CM475" s="416"/>
      <c r="CN475" s="416"/>
      <c r="CO475" s="416"/>
      <c r="CP475" s="416"/>
      <c r="CQ475" s="416"/>
      <c r="CR475" s="416"/>
      <c r="CS475" s="416"/>
      <c r="CT475" s="416"/>
      <c r="CU475" s="416"/>
      <c r="CV475" s="416"/>
      <c r="CW475" s="416"/>
      <c r="CX475" s="416"/>
      <c r="CY475" s="416"/>
      <c r="CZ475" s="416"/>
      <c r="DA475" s="416"/>
      <c r="DB475" s="416"/>
      <c r="DC475" s="416"/>
      <c r="DD475" s="416"/>
      <c r="DE475" s="416"/>
      <c r="DF475" s="416"/>
      <c r="DG475" s="416"/>
      <c r="DH475" s="416"/>
      <c r="DI475" s="416"/>
      <c r="DJ475" s="416"/>
      <c r="DK475" s="416"/>
      <c r="DL475" s="416"/>
      <c r="DM475" s="416"/>
      <c r="DN475" s="416"/>
      <c r="DO475" s="417"/>
      <c r="DQ475" s="827"/>
      <c r="DR475" s="827"/>
    </row>
    <row r="476" spans="1:128" ht="21.75">
      <c r="A476" s="813"/>
      <c r="B476" s="368" t="s">
        <v>1649</v>
      </c>
      <c r="C476" s="408"/>
      <c r="D476" s="409"/>
      <c r="E476" s="409"/>
      <c r="F476" s="409"/>
      <c r="G476" s="409"/>
      <c r="H476" s="409"/>
      <c r="I476" s="409"/>
      <c r="J476" s="409"/>
      <c r="K476" s="409"/>
      <c r="L476" s="409"/>
      <c r="M476" s="409"/>
      <c r="N476" s="409"/>
      <c r="O476" s="409"/>
      <c r="P476" s="410"/>
      <c r="Q476" s="410"/>
      <c r="R476" s="410"/>
      <c r="S476" s="410"/>
      <c r="T476" s="413"/>
      <c r="U476" s="405"/>
      <c r="V476" s="405"/>
      <c r="W476" s="405"/>
      <c r="X476" s="408"/>
      <c r="Y476" s="408"/>
      <c r="Z476" s="408"/>
      <c r="AA476" s="408"/>
      <c r="AB476" s="408"/>
      <c r="AC476" s="408">
        <f>ROUND(((44.87*13.4)+(38.44*2.5)+22.52)-(BD300+BU300+(DE300*2)),0)</f>
        <v>665</v>
      </c>
      <c r="AD476" s="408"/>
      <c r="AE476" s="408"/>
      <c r="AF476" s="408"/>
      <c r="AG476" s="408"/>
      <c r="AH476" s="408"/>
      <c r="AI476" s="408"/>
      <c r="AJ476" s="408"/>
      <c r="AK476" s="408"/>
      <c r="AL476" s="408"/>
      <c r="AM476" s="408"/>
      <c r="AN476" s="408"/>
      <c r="AO476" s="408"/>
      <c r="AP476" s="408"/>
      <c r="AQ476" s="408"/>
      <c r="AR476" s="408"/>
      <c r="AS476" s="412"/>
      <c r="AT476" s="413"/>
      <c r="AU476" s="405"/>
      <c r="AV476" s="408"/>
      <c r="AW476" s="408"/>
      <c r="AX476" s="412"/>
      <c r="AY476" s="413"/>
      <c r="AZ476" s="361">
        <f t="shared" si="104"/>
        <v>0</v>
      </c>
      <c r="BA476" s="357">
        <f t="shared" si="105"/>
        <v>665</v>
      </c>
      <c r="BB476" s="1183"/>
      <c r="BC476" s="413"/>
      <c r="BD476" s="414"/>
      <c r="BE476" s="415"/>
      <c r="BF476" s="415"/>
      <c r="BG476" s="415"/>
      <c r="BH476" s="415"/>
      <c r="BI476" s="415"/>
      <c r="BJ476" s="415"/>
      <c r="BK476" s="415"/>
      <c r="BL476" s="415"/>
      <c r="BM476" s="415"/>
      <c r="BN476" s="415"/>
      <c r="BO476" s="415"/>
      <c r="BP476" s="415"/>
      <c r="BQ476" s="415"/>
      <c r="BR476" s="415"/>
      <c r="BS476" s="415"/>
      <c r="BT476" s="415"/>
      <c r="BU476" s="415"/>
      <c r="BV476" s="415"/>
      <c r="BW476" s="415"/>
      <c r="BX476" s="415"/>
      <c r="BY476" s="415"/>
      <c r="BZ476" s="415"/>
      <c r="CA476" s="415"/>
      <c r="CB476" s="415"/>
      <c r="CC476" s="415"/>
      <c r="CD476" s="415"/>
      <c r="CE476" s="415"/>
      <c r="CF476" s="415"/>
      <c r="CG476" s="415"/>
      <c r="CH476" s="415"/>
      <c r="CI476" s="416"/>
      <c r="CJ476" s="416"/>
      <c r="CK476" s="416"/>
      <c r="CL476" s="416"/>
      <c r="CM476" s="416"/>
      <c r="CN476" s="416"/>
      <c r="CO476" s="416"/>
      <c r="CP476" s="416"/>
      <c r="CQ476" s="416"/>
      <c r="CR476" s="416"/>
      <c r="CS476" s="416"/>
      <c r="CT476" s="416"/>
      <c r="CU476" s="416"/>
      <c r="CV476" s="416"/>
      <c r="CW476" s="416"/>
      <c r="CX476" s="416"/>
      <c r="CY476" s="416"/>
      <c r="CZ476" s="416"/>
      <c r="DA476" s="416"/>
      <c r="DB476" s="416"/>
      <c r="DC476" s="416"/>
      <c r="DD476" s="416"/>
      <c r="DE476" s="416"/>
      <c r="DF476" s="416"/>
      <c r="DG476" s="416"/>
      <c r="DH476" s="416"/>
      <c r="DI476" s="416"/>
      <c r="DJ476" s="416"/>
      <c r="DK476" s="416"/>
      <c r="DL476" s="416"/>
      <c r="DM476" s="416"/>
      <c r="DN476" s="416"/>
      <c r="DO476" s="417"/>
      <c r="DQ476" s="827"/>
      <c r="DR476" s="827"/>
    </row>
    <row r="477" spans="1:128" ht="21.75">
      <c r="A477" s="813"/>
      <c r="B477" s="368" t="s">
        <v>1650</v>
      </c>
      <c r="C477" s="408"/>
      <c r="D477" s="409"/>
      <c r="E477" s="409"/>
      <c r="F477" s="409"/>
      <c r="G477" s="409"/>
      <c r="H477" s="409"/>
      <c r="I477" s="409"/>
      <c r="J477" s="409"/>
      <c r="K477" s="409"/>
      <c r="L477" s="409"/>
      <c r="M477" s="409"/>
      <c r="N477" s="409"/>
      <c r="O477" s="409"/>
      <c r="P477" s="410"/>
      <c r="Q477" s="410"/>
      <c r="R477" s="410"/>
      <c r="S477" s="410"/>
      <c r="T477" s="413"/>
      <c r="U477" s="405"/>
      <c r="V477" s="405"/>
      <c r="W477" s="405"/>
      <c r="X477" s="408"/>
      <c r="Y477" s="408"/>
      <c r="Z477" s="408"/>
      <c r="AA477" s="408"/>
      <c r="AB477" s="408"/>
      <c r="AC477" s="408">
        <f>ROUND((108.82*14.3)-((BN300+(BQ300*4)+CD300+(CG300*16)+(CI300*4)+(CJ300*4)+CK300+(CL300*2)+CM300+(CN300*2)+CO300+(CP300*4)+CQ300*2)),0)</f>
        <v>1232</v>
      </c>
      <c r="AD477" s="408"/>
      <c r="AE477" s="408"/>
      <c r="AF477" s="408"/>
      <c r="AG477" s="408"/>
      <c r="AH477" s="408"/>
      <c r="AI477" s="408"/>
      <c r="AJ477" s="408"/>
      <c r="AK477" s="408"/>
      <c r="AL477" s="408"/>
      <c r="AM477" s="408"/>
      <c r="AN477" s="408"/>
      <c r="AO477" s="408"/>
      <c r="AP477" s="408"/>
      <c r="AQ477" s="408"/>
      <c r="AR477" s="408"/>
      <c r="AS477" s="412"/>
      <c r="AT477" s="413"/>
      <c r="AU477" s="405"/>
      <c r="AV477" s="408"/>
      <c r="AW477" s="408"/>
      <c r="AX477" s="412"/>
      <c r="AY477" s="413"/>
      <c r="AZ477" s="361">
        <f t="shared" si="104"/>
        <v>0</v>
      </c>
      <c r="BA477" s="357">
        <f t="shared" si="105"/>
        <v>1232</v>
      </c>
      <c r="BB477" s="1183"/>
      <c r="BC477" s="413"/>
      <c r="BD477" s="414"/>
      <c r="BE477" s="415"/>
      <c r="BF477" s="415"/>
      <c r="BG477" s="415"/>
      <c r="BH477" s="415"/>
      <c r="BI477" s="415"/>
      <c r="BJ477" s="415"/>
      <c r="BK477" s="415"/>
      <c r="BL477" s="415"/>
      <c r="BM477" s="415"/>
      <c r="BN477" s="415"/>
      <c r="BO477" s="415"/>
      <c r="BP477" s="415"/>
      <c r="BQ477" s="415"/>
      <c r="BR477" s="415"/>
      <c r="BS477" s="415"/>
      <c r="BT477" s="415"/>
      <c r="BU477" s="415"/>
      <c r="BV477" s="415"/>
      <c r="BW477" s="415"/>
      <c r="BX477" s="415"/>
      <c r="BY477" s="415"/>
      <c r="BZ477" s="415"/>
      <c r="CA477" s="415"/>
      <c r="CB477" s="415"/>
      <c r="CC477" s="415"/>
      <c r="CD477" s="415"/>
      <c r="CE477" s="415"/>
      <c r="CF477" s="415"/>
      <c r="CG477" s="415"/>
      <c r="CH477" s="415"/>
      <c r="CI477" s="416"/>
      <c r="CJ477" s="416"/>
      <c r="CK477" s="416"/>
      <c r="CL477" s="416"/>
      <c r="CM477" s="416"/>
      <c r="CN477" s="416"/>
      <c r="CO477" s="416"/>
      <c r="CP477" s="416"/>
      <c r="CQ477" s="416"/>
      <c r="CR477" s="416"/>
      <c r="CS477" s="416"/>
      <c r="CT477" s="416"/>
      <c r="CU477" s="416"/>
      <c r="CV477" s="416"/>
      <c r="CW477" s="416"/>
      <c r="CX477" s="416"/>
      <c r="CY477" s="416"/>
      <c r="CZ477" s="416"/>
      <c r="DA477" s="416"/>
      <c r="DB477" s="416"/>
      <c r="DC477" s="416"/>
      <c r="DD477" s="416"/>
      <c r="DE477" s="416"/>
      <c r="DF477" s="416"/>
      <c r="DG477" s="416"/>
      <c r="DH477" s="416"/>
      <c r="DI477" s="416"/>
      <c r="DJ477" s="416"/>
      <c r="DK477" s="416"/>
      <c r="DL477" s="416"/>
      <c r="DM477" s="416"/>
      <c r="DN477" s="416"/>
      <c r="DO477" s="417"/>
      <c r="DQ477" s="827"/>
      <c r="DR477" s="827"/>
    </row>
    <row r="478" spans="1:128" ht="21.75">
      <c r="A478" s="813"/>
      <c r="B478" s="368" t="s">
        <v>1651</v>
      </c>
      <c r="C478" s="408"/>
      <c r="D478" s="409"/>
      <c r="E478" s="409"/>
      <c r="F478" s="409"/>
      <c r="G478" s="409"/>
      <c r="H478" s="409"/>
      <c r="I478" s="409"/>
      <c r="J478" s="409"/>
      <c r="K478" s="409"/>
      <c r="L478" s="409"/>
      <c r="M478" s="409"/>
      <c r="N478" s="409"/>
      <c r="O478" s="409"/>
      <c r="P478" s="410"/>
      <c r="Q478" s="410"/>
      <c r="R478" s="410"/>
      <c r="S478" s="410"/>
      <c r="T478" s="413"/>
      <c r="U478" s="405"/>
      <c r="V478" s="405"/>
      <c r="W478" s="405"/>
      <c r="X478" s="408"/>
      <c r="Y478" s="408"/>
      <c r="Z478" s="408"/>
      <c r="AA478" s="408"/>
      <c r="AB478" s="408"/>
      <c r="AC478" s="408">
        <f>ROUND(889+228.39,0)</f>
        <v>1117</v>
      </c>
      <c r="AD478" s="408"/>
      <c r="AE478" s="408"/>
      <c r="AF478" s="408"/>
      <c r="AG478" s="408"/>
      <c r="AH478" s="408"/>
      <c r="AI478" s="408"/>
      <c r="AJ478" s="408"/>
      <c r="AK478" s="408"/>
      <c r="AL478" s="408"/>
      <c r="AM478" s="408"/>
      <c r="AN478" s="408"/>
      <c r="AO478" s="408"/>
      <c r="AP478" s="408"/>
      <c r="AQ478" s="408"/>
      <c r="AR478" s="408"/>
      <c r="AS478" s="412"/>
      <c r="AT478" s="413"/>
      <c r="AU478" s="405"/>
      <c r="AV478" s="408"/>
      <c r="AW478" s="408"/>
      <c r="AX478" s="412"/>
      <c r="AY478" s="413"/>
      <c r="AZ478" s="361">
        <f t="shared" si="104"/>
        <v>0</v>
      </c>
      <c r="BA478" s="357">
        <f t="shared" si="105"/>
        <v>1117</v>
      </c>
      <c r="BB478" s="1183"/>
      <c r="BC478" s="413"/>
      <c r="BD478" s="414"/>
      <c r="BE478" s="415"/>
      <c r="BF478" s="415"/>
      <c r="BG478" s="415"/>
      <c r="BH478" s="415"/>
      <c r="BI478" s="415"/>
      <c r="BJ478" s="415"/>
      <c r="BK478" s="415"/>
      <c r="BL478" s="415"/>
      <c r="BM478" s="415"/>
      <c r="BN478" s="415"/>
      <c r="BO478" s="415"/>
      <c r="BP478" s="415"/>
      <c r="BQ478" s="415"/>
      <c r="BR478" s="415"/>
      <c r="BS478" s="415"/>
      <c r="BT478" s="415"/>
      <c r="BU478" s="415"/>
      <c r="BV478" s="415"/>
      <c r="BW478" s="415"/>
      <c r="BX478" s="415"/>
      <c r="BY478" s="415"/>
      <c r="BZ478" s="415"/>
      <c r="CA478" s="415"/>
      <c r="CB478" s="415"/>
      <c r="CC478" s="415"/>
      <c r="CD478" s="415"/>
      <c r="CE478" s="415"/>
      <c r="CF478" s="415"/>
      <c r="CG478" s="415"/>
      <c r="CH478" s="415"/>
      <c r="CI478" s="416"/>
      <c r="CJ478" s="416"/>
      <c r="CK478" s="416"/>
      <c r="CL478" s="416"/>
      <c r="CM478" s="416"/>
      <c r="CN478" s="416"/>
      <c r="CO478" s="416"/>
      <c r="CP478" s="416"/>
      <c r="CQ478" s="416"/>
      <c r="CR478" s="416"/>
      <c r="CS478" s="416"/>
      <c r="CT478" s="416"/>
      <c r="CU478" s="416"/>
      <c r="CV478" s="416"/>
      <c r="CW478" s="416"/>
      <c r="CX478" s="416"/>
      <c r="CY478" s="416"/>
      <c r="CZ478" s="416"/>
      <c r="DA478" s="416"/>
      <c r="DB478" s="416"/>
      <c r="DC478" s="416"/>
      <c r="DD478" s="416"/>
      <c r="DE478" s="416"/>
      <c r="DF478" s="416"/>
      <c r="DG478" s="416"/>
      <c r="DH478" s="416"/>
      <c r="DI478" s="416"/>
      <c r="DJ478" s="416"/>
      <c r="DK478" s="416"/>
      <c r="DL478" s="416"/>
      <c r="DM478" s="416"/>
      <c r="DN478" s="416"/>
      <c r="DO478" s="417"/>
      <c r="DQ478" s="827"/>
      <c r="DR478" s="827"/>
    </row>
    <row r="479" spans="1:128" ht="21.75">
      <c r="A479" s="813"/>
      <c r="B479" s="405"/>
      <c r="C479" s="408"/>
      <c r="D479" s="409"/>
      <c r="E479" s="409"/>
      <c r="F479" s="409"/>
      <c r="G479" s="409"/>
      <c r="H479" s="409"/>
      <c r="I479" s="409"/>
      <c r="J479" s="409"/>
      <c r="K479" s="409"/>
      <c r="L479" s="409"/>
      <c r="M479" s="409"/>
      <c r="N479" s="409"/>
      <c r="O479" s="409"/>
      <c r="P479" s="410"/>
      <c r="Q479" s="410"/>
      <c r="R479" s="410"/>
      <c r="S479" s="410"/>
      <c r="T479" s="413"/>
      <c r="U479" s="405"/>
      <c r="V479" s="405"/>
      <c r="W479" s="405"/>
      <c r="X479" s="408"/>
      <c r="Y479" s="408"/>
      <c r="Z479" s="408"/>
      <c r="AA479" s="408"/>
      <c r="AB479" s="408"/>
      <c r="AC479" s="408"/>
      <c r="AD479" s="408"/>
      <c r="AE479" s="408"/>
      <c r="AF479" s="408"/>
      <c r="AG479" s="408"/>
      <c r="AH479" s="408"/>
      <c r="AI479" s="408"/>
      <c r="AJ479" s="408"/>
      <c r="AK479" s="408"/>
      <c r="AL479" s="408"/>
      <c r="AM479" s="408"/>
      <c r="AN479" s="408"/>
      <c r="AO479" s="408"/>
      <c r="AP479" s="408"/>
      <c r="AQ479" s="408"/>
      <c r="AR479" s="408"/>
      <c r="AS479" s="412"/>
      <c r="AT479" s="413"/>
      <c r="AU479" s="405"/>
      <c r="AV479" s="408"/>
      <c r="AW479" s="408"/>
      <c r="AX479" s="412"/>
      <c r="AY479" s="413"/>
      <c r="AZ479" s="361">
        <f t="shared" si="104"/>
        <v>0</v>
      </c>
      <c r="BA479" s="357">
        <f t="shared" si="105"/>
        <v>0</v>
      </c>
      <c r="BB479" s="1183"/>
      <c r="BC479" s="413"/>
      <c r="BD479" s="414"/>
      <c r="BE479" s="415"/>
      <c r="BF479" s="415"/>
      <c r="BG479" s="415"/>
      <c r="BH479" s="415"/>
      <c r="BI479" s="415"/>
      <c r="BJ479" s="415"/>
      <c r="BK479" s="415"/>
      <c r="BL479" s="415"/>
      <c r="BM479" s="415"/>
      <c r="BN479" s="415"/>
      <c r="BO479" s="415"/>
      <c r="BP479" s="415"/>
      <c r="BQ479" s="415"/>
      <c r="BR479" s="415"/>
      <c r="BS479" s="415"/>
      <c r="BT479" s="415"/>
      <c r="BU479" s="415"/>
      <c r="BV479" s="415"/>
      <c r="BW479" s="415"/>
      <c r="BX479" s="415"/>
      <c r="BY479" s="415"/>
      <c r="BZ479" s="415"/>
      <c r="CA479" s="415"/>
      <c r="CB479" s="415"/>
      <c r="CC479" s="415"/>
      <c r="CD479" s="415"/>
      <c r="CE479" s="415"/>
      <c r="CF479" s="415"/>
      <c r="CG479" s="415"/>
      <c r="CH479" s="415"/>
      <c r="CI479" s="416"/>
      <c r="CJ479" s="416"/>
      <c r="CK479" s="416"/>
      <c r="CL479" s="416"/>
      <c r="CM479" s="416"/>
      <c r="CN479" s="416"/>
      <c r="CO479" s="416"/>
      <c r="CP479" s="416"/>
      <c r="CQ479" s="416"/>
      <c r="CR479" s="416"/>
      <c r="CS479" s="416"/>
      <c r="CT479" s="416"/>
      <c r="CU479" s="416"/>
      <c r="CV479" s="416"/>
      <c r="CW479" s="416"/>
      <c r="CX479" s="416"/>
      <c r="CY479" s="416"/>
      <c r="CZ479" s="416"/>
      <c r="DA479" s="416"/>
      <c r="DB479" s="416"/>
      <c r="DC479" s="416"/>
      <c r="DD479" s="416"/>
      <c r="DE479" s="416"/>
      <c r="DF479" s="416"/>
      <c r="DG479" s="416"/>
      <c r="DH479" s="416"/>
      <c r="DI479" s="416"/>
      <c r="DJ479" s="416"/>
      <c r="DK479" s="416"/>
      <c r="DL479" s="416"/>
      <c r="DM479" s="416"/>
      <c r="DN479" s="416"/>
      <c r="DO479" s="417"/>
      <c r="DQ479" s="827"/>
      <c r="DR479" s="827"/>
    </row>
    <row r="480" spans="1:128" ht="21.75">
      <c r="A480" s="813"/>
      <c r="B480" s="405"/>
      <c r="C480" s="408"/>
      <c r="D480" s="409"/>
      <c r="E480" s="409"/>
      <c r="F480" s="409"/>
      <c r="G480" s="409"/>
      <c r="H480" s="409"/>
      <c r="I480" s="409"/>
      <c r="J480" s="409"/>
      <c r="K480" s="409"/>
      <c r="L480" s="409"/>
      <c r="M480" s="409"/>
      <c r="N480" s="409"/>
      <c r="O480" s="409"/>
      <c r="P480" s="410"/>
      <c r="Q480" s="410"/>
      <c r="R480" s="410"/>
      <c r="S480" s="410"/>
      <c r="T480" s="413"/>
      <c r="U480" s="405"/>
      <c r="V480" s="405"/>
      <c r="W480" s="405"/>
      <c r="X480" s="408"/>
      <c r="Y480" s="408"/>
      <c r="Z480" s="408"/>
      <c r="AA480" s="408"/>
      <c r="AB480" s="408"/>
      <c r="AC480" s="408"/>
      <c r="AD480" s="408"/>
      <c r="AE480" s="408"/>
      <c r="AF480" s="408"/>
      <c r="AG480" s="408"/>
      <c r="AH480" s="408"/>
      <c r="AI480" s="408"/>
      <c r="AJ480" s="408"/>
      <c r="AK480" s="408"/>
      <c r="AL480" s="408"/>
      <c r="AM480" s="408"/>
      <c r="AN480" s="408"/>
      <c r="AO480" s="408"/>
      <c r="AP480" s="408"/>
      <c r="AQ480" s="408"/>
      <c r="AR480" s="408"/>
      <c r="AS480" s="412"/>
      <c r="AT480" s="413"/>
      <c r="AU480" s="405"/>
      <c r="AV480" s="408"/>
      <c r="AW480" s="408"/>
      <c r="AX480" s="412"/>
      <c r="AY480" s="413"/>
      <c r="AZ480" s="361">
        <f t="shared" si="104"/>
        <v>0</v>
      </c>
      <c r="BA480" s="357">
        <f t="shared" si="105"/>
        <v>0</v>
      </c>
      <c r="BB480" s="1183"/>
      <c r="BC480" s="413"/>
      <c r="BD480" s="414"/>
      <c r="BE480" s="415"/>
      <c r="BF480" s="415"/>
      <c r="BG480" s="415"/>
      <c r="BH480" s="415"/>
      <c r="BI480" s="415"/>
      <c r="BJ480" s="415"/>
      <c r="BK480" s="415"/>
      <c r="BL480" s="415"/>
      <c r="BM480" s="415"/>
      <c r="BN480" s="415"/>
      <c r="BO480" s="415"/>
      <c r="BP480" s="415"/>
      <c r="BQ480" s="415"/>
      <c r="BR480" s="415"/>
      <c r="BS480" s="415"/>
      <c r="BT480" s="415"/>
      <c r="BU480" s="415"/>
      <c r="BV480" s="415"/>
      <c r="BW480" s="415"/>
      <c r="BX480" s="415"/>
      <c r="BY480" s="415"/>
      <c r="BZ480" s="415"/>
      <c r="CA480" s="415"/>
      <c r="CB480" s="415"/>
      <c r="CC480" s="415"/>
      <c r="CD480" s="415"/>
      <c r="CE480" s="415"/>
      <c r="CF480" s="415"/>
      <c r="CG480" s="415"/>
      <c r="CH480" s="415"/>
      <c r="CI480" s="416"/>
      <c r="CJ480" s="416"/>
      <c r="CK480" s="416"/>
      <c r="CL480" s="416"/>
      <c r="CM480" s="416"/>
      <c r="CN480" s="416"/>
      <c r="CO480" s="416"/>
      <c r="CP480" s="416"/>
      <c r="CQ480" s="416"/>
      <c r="CR480" s="416"/>
      <c r="CS480" s="416"/>
      <c r="CT480" s="416"/>
      <c r="CU480" s="416"/>
      <c r="CV480" s="416"/>
      <c r="CW480" s="416"/>
      <c r="CX480" s="416"/>
      <c r="CY480" s="416"/>
      <c r="CZ480" s="416"/>
      <c r="DA480" s="416"/>
      <c r="DB480" s="416"/>
      <c r="DC480" s="416"/>
      <c r="DD480" s="416"/>
      <c r="DE480" s="416"/>
      <c r="DF480" s="416"/>
      <c r="DG480" s="416"/>
      <c r="DH480" s="416"/>
      <c r="DI480" s="416"/>
      <c r="DJ480" s="416"/>
      <c r="DK480" s="416"/>
      <c r="DL480" s="416"/>
      <c r="DM480" s="416"/>
      <c r="DN480" s="416"/>
      <c r="DO480" s="417"/>
      <c r="DQ480" s="827"/>
      <c r="DR480" s="827"/>
    </row>
    <row r="481" spans="1:122" ht="21.75">
      <c r="A481" s="813"/>
      <c r="B481" s="405"/>
      <c r="C481" s="408"/>
      <c r="D481" s="409"/>
      <c r="E481" s="409"/>
      <c r="F481" s="409"/>
      <c r="G481" s="409"/>
      <c r="H481" s="409"/>
      <c r="I481" s="409"/>
      <c r="J481" s="409"/>
      <c r="K481" s="409"/>
      <c r="L481" s="409"/>
      <c r="M481" s="409"/>
      <c r="N481" s="409"/>
      <c r="O481" s="409"/>
      <c r="P481" s="410"/>
      <c r="Q481" s="410"/>
      <c r="R481" s="410"/>
      <c r="S481" s="410"/>
      <c r="T481" s="413"/>
      <c r="U481" s="405"/>
      <c r="V481" s="405"/>
      <c r="W481" s="405"/>
      <c r="X481" s="408"/>
      <c r="Y481" s="408"/>
      <c r="Z481" s="408"/>
      <c r="AA481" s="408"/>
      <c r="AB481" s="408"/>
      <c r="AC481" s="408"/>
      <c r="AD481" s="408"/>
      <c r="AE481" s="408"/>
      <c r="AF481" s="408"/>
      <c r="AG481" s="408"/>
      <c r="AH481" s="408"/>
      <c r="AI481" s="408"/>
      <c r="AJ481" s="408"/>
      <c r="AK481" s="408"/>
      <c r="AL481" s="408"/>
      <c r="AM481" s="408"/>
      <c r="AN481" s="408"/>
      <c r="AO481" s="408"/>
      <c r="AP481" s="408"/>
      <c r="AQ481" s="408"/>
      <c r="AR481" s="408"/>
      <c r="AS481" s="412"/>
      <c r="AT481" s="413"/>
      <c r="AU481" s="405"/>
      <c r="AV481" s="408"/>
      <c r="AW481" s="408"/>
      <c r="AX481" s="412"/>
      <c r="AY481" s="413"/>
      <c r="AZ481" s="405"/>
      <c r="BA481" s="408"/>
      <c r="BB481" s="1183"/>
      <c r="BC481" s="413"/>
      <c r="BD481" s="414"/>
      <c r="BE481" s="415"/>
      <c r="BF481" s="415"/>
      <c r="BG481" s="415"/>
      <c r="BH481" s="415"/>
      <c r="BI481" s="415"/>
      <c r="BJ481" s="415"/>
      <c r="BK481" s="415"/>
      <c r="BL481" s="415"/>
      <c r="BM481" s="415"/>
      <c r="BN481" s="415"/>
      <c r="BO481" s="415"/>
      <c r="BP481" s="415"/>
      <c r="BQ481" s="415"/>
      <c r="BR481" s="415"/>
      <c r="BS481" s="415"/>
      <c r="BT481" s="415"/>
      <c r="BU481" s="415"/>
      <c r="BV481" s="415"/>
      <c r="BW481" s="415"/>
      <c r="BX481" s="415"/>
      <c r="BY481" s="415"/>
      <c r="BZ481" s="415"/>
      <c r="CA481" s="415"/>
      <c r="CB481" s="415"/>
      <c r="CC481" s="415"/>
      <c r="CD481" s="415"/>
      <c r="CE481" s="415"/>
      <c r="CF481" s="415"/>
      <c r="CG481" s="415"/>
      <c r="CH481" s="415"/>
      <c r="CI481" s="416"/>
      <c r="CJ481" s="416"/>
      <c r="CK481" s="416"/>
      <c r="CL481" s="416"/>
      <c r="CM481" s="416"/>
      <c r="CN481" s="416"/>
      <c r="CO481" s="416"/>
      <c r="CP481" s="416"/>
      <c r="CQ481" s="416"/>
      <c r="CR481" s="416"/>
      <c r="CS481" s="416"/>
      <c r="CT481" s="416"/>
      <c r="CU481" s="416"/>
      <c r="CV481" s="416"/>
      <c r="CW481" s="416"/>
      <c r="CX481" s="416"/>
      <c r="CY481" s="416"/>
      <c r="CZ481" s="416"/>
      <c r="DA481" s="416"/>
      <c r="DB481" s="416"/>
      <c r="DC481" s="416"/>
      <c r="DD481" s="416"/>
      <c r="DE481" s="416"/>
      <c r="DF481" s="416"/>
      <c r="DG481" s="416"/>
      <c r="DH481" s="416"/>
      <c r="DI481" s="416"/>
      <c r="DJ481" s="416"/>
      <c r="DK481" s="416"/>
      <c r="DL481" s="416"/>
      <c r="DM481" s="416"/>
      <c r="DN481" s="416"/>
      <c r="DO481" s="417"/>
      <c r="DQ481" s="827"/>
      <c r="DR481" s="827"/>
    </row>
    <row r="482" spans="1:122" ht="21.75">
      <c r="A482" s="813"/>
      <c r="B482" s="405"/>
      <c r="C482" s="408"/>
      <c r="D482" s="409"/>
      <c r="E482" s="409"/>
      <c r="F482" s="409"/>
      <c r="G482" s="409"/>
      <c r="H482" s="409"/>
      <c r="I482" s="409"/>
      <c r="J482" s="409"/>
      <c r="K482" s="409"/>
      <c r="L482" s="409"/>
      <c r="M482" s="409"/>
      <c r="N482" s="409"/>
      <c r="O482" s="409"/>
      <c r="P482" s="410"/>
      <c r="Q482" s="410"/>
      <c r="R482" s="410"/>
      <c r="S482" s="410"/>
      <c r="T482" s="413"/>
      <c r="U482" s="405"/>
      <c r="V482" s="405"/>
      <c r="W482" s="405"/>
      <c r="X482" s="408"/>
      <c r="Y482" s="408"/>
      <c r="Z482" s="408"/>
      <c r="AA482" s="408"/>
      <c r="AB482" s="408"/>
      <c r="AC482" s="408"/>
      <c r="AD482" s="408"/>
      <c r="AE482" s="408"/>
      <c r="AF482" s="408"/>
      <c r="AG482" s="408"/>
      <c r="AH482" s="408"/>
      <c r="AI482" s="408"/>
      <c r="AJ482" s="408"/>
      <c r="AK482" s="408"/>
      <c r="AL482" s="408"/>
      <c r="AM482" s="408"/>
      <c r="AN482" s="408"/>
      <c r="AO482" s="408"/>
      <c r="AP482" s="408"/>
      <c r="AQ482" s="408"/>
      <c r="AR482" s="408"/>
      <c r="AS482" s="412"/>
      <c r="AT482" s="413"/>
      <c r="AU482" s="405"/>
      <c r="AV482" s="408"/>
      <c r="AW482" s="408"/>
      <c r="AX482" s="412"/>
      <c r="AY482" s="413"/>
      <c r="AZ482" s="405"/>
      <c r="BA482" s="408"/>
      <c r="BB482" s="1183"/>
      <c r="BC482" s="413"/>
      <c r="BD482" s="414"/>
      <c r="BE482" s="415"/>
      <c r="BF482" s="415"/>
      <c r="BG482" s="415"/>
      <c r="BH482" s="415"/>
      <c r="BI482" s="415"/>
      <c r="BJ482" s="415"/>
      <c r="BK482" s="415"/>
      <c r="BL482" s="415"/>
      <c r="BM482" s="415"/>
      <c r="BN482" s="415"/>
      <c r="BO482" s="415"/>
      <c r="BP482" s="415"/>
      <c r="BQ482" s="415"/>
      <c r="BR482" s="415"/>
      <c r="BS482" s="415"/>
      <c r="BT482" s="415"/>
      <c r="BU482" s="415"/>
      <c r="BV482" s="415"/>
      <c r="BW482" s="415"/>
      <c r="BX482" s="415"/>
      <c r="BY482" s="415"/>
      <c r="BZ482" s="415"/>
      <c r="CA482" s="415"/>
      <c r="CB482" s="415"/>
      <c r="CC482" s="415"/>
      <c r="CD482" s="415"/>
      <c r="CE482" s="415"/>
      <c r="CF482" s="415"/>
      <c r="CG482" s="415"/>
      <c r="CH482" s="415"/>
      <c r="CI482" s="416"/>
      <c r="CJ482" s="416"/>
      <c r="CK482" s="416"/>
      <c r="CL482" s="416"/>
      <c r="CM482" s="416"/>
      <c r="CN482" s="416"/>
      <c r="CO482" s="416"/>
      <c r="CP482" s="416"/>
      <c r="CQ482" s="416"/>
      <c r="CR482" s="416"/>
      <c r="CS482" s="416"/>
      <c r="CT482" s="416"/>
      <c r="CU482" s="416"/>
      <c r="CV482" s="416"/>
      <c r="CW482" s="416"/>
      <c r="CX482" s="416"/>
      <c r="CY482" s="416"/>
      <c r="CZ482" s="416"/>
      <c r="DA482" s="416"/>
      <c r="DB482" s="416"/>
      <c r="DC482" s="416"/>
      <c r="DD482" s="416"/>
      <c r="DE482" s="416"/>
      <c r="DF482" s="416"/>
      <c r="DG482" s="416"/>
      <c r="DH482" s="416"/>
      <c r="DI482" s="416"/>
      <c r="DJ482" s="416"/>
      <c r="DK482" s="416"/>
      <c r="DL482" s="416"/>
      <c r="DM482" s="416"/>
      <c r="DN482" s="416"/>
      <c r="DO482" s="417"/>
      <c r="DQ482" s="827"/>
      <c r="DR482" s="827"/>
    </row>
    <row r="483" spans="1:122">
      <c r="A483" s="406"/>
      <c r="B483" s="405"/>
      <c r="C483" s="408"/>
      <c r="D483" s="409"/>
      <c r="E483" s="409"/>
      <c r="F483" s="409"/>
      <c r="G483" s="409"/>
      <c r="H483" s="409"/>
      <c r="I483" s="409"/>
      <c r="J483" s="409"/>
      <c r="K483" s="409"/>
      <c r="L483" s="409"/>
      <c r="M483" s="409"/>
      <c r="N483" s="409"/>
      <c r="O483" s="409"/>
      <c r="P483" s="410"/>
      <c r="Q483" s="410"/>
      <c r="R483" s="410"/>
      <c r="S483" s="410"/>
      <c r="T483" s="411"/>
      <c r="U483" s="405"/>
      <c r="V483" s="405"/>
      <c r="W483" s="405"/>
      <c r="X483" s="408"/>
      <c r="Y483" s="408"/>
      <c r="Z483" s="408"/>
      <c r="AA483" s="408"/>
      <c r="AB483" s="408"/>
      <c r="AC483" s="408"/>
      <c r="AD483" s="408"/>
      <c r="AE483" s="408"/>
      <c r="AF483" s="408"/>
      <c r="AG483" s="408"/>
      <c r="AH483" s="408"/>
      <c r="AI483" s="408"/>
      <c r="AJ483" s="408"/>
      <c r="AK483" s="408"/>
      <c r="AL483" s="408"/>
      <c r="AM483" s="408"/>
      <c r="AN483" s="408"/>
      <c r="AO483" s="408"/>
      <c r="AP483" s="408"/>
      <c r="AQ483" s="408"/>
      <c r="AR483" s="408"/>
      <c r="AS483" s="412"/>
      <c r="AT483" s="413"/>
      <c r="AU483" s="405"/>
      <c r="AV483" s="408"/>
      <c r="AW483" s="408"/>
      <c r="AX483" s="412"/>
      <c r="AY483" s="413"/>
      <c r="AZ483" s="405"/>
      <c r="BA483" s="408"/>
      <c r="BB483" s="1183"/>
      <c r="BC483" s="413"/>
      <c r="BD483" s="414"/>
      <c r="BE483" s="415"/>
      <c r="BF483" s="415"/>
      <c r="BG483" s="415"/>
      <c r="BH483" s="415"/>
      <c r="BI483" s="415"/>
      <c r="BJ483" s="655"/>
      <c r="BK483" s="415"/>
      <c r="BL483" s="415"/>
      <c r="BM483" s="415"/>
      <c r="BN483" s="415"/>
      <c r="BO483" s="415"/>
      <c r="BP483" s="415"/>
      <c r="BQ483" s="415"/>
      <c r="BR483" s="415"/>
      <c r="BS483" s="415"/>
      <c r="BT483" s="415"/>
      <c r="BU483" s="655"/>
      <c r="BV483" s="415"/>
      <c r="BW483" s="415"/>
      <c r="BX483" s="415"/>
      <c r="BY483" s="655"/>
      <c r="BZ483" s="655"/>
      <c r="CA483" s="655"/>
      <c r="CB483" s="415"/>
      <c r="CC483" s="655"/>
      <c r="CD483" s="415"/>
      <c r="CE483" s="415"/>
      <c r="CF483" s="415"/>
      <c r="CG483" s="415"/>
      <c r="CH483" s="415"/>
      <c r="CI483" s="656"/>
      <c r="CJ483" s="416"/>
      <c r="CK483" s="656"/>
      <c r="CL483" s="416"/>
      <c r="CM483" s="656"/>
      <c r="CN483" s="416"/>
      <c r="CO483" s="416"/>
      <c r="CP483" s="416"/>
      <c r="CQ483" s="656"/>
      <c r="CR483" s="656"/>
      <c r="CS483" s="416"/>
      <c r="CT483" s="416"/>
      <c r="CU483" s="416"/>
      <c r="CV483" s="416"/>
      <c r="CW483" s="416"/>
      <c r="CX483" s="656"/>
      <c r="CY483" s="656"/>
      <c r="CZ483" s="416"/>
      <c r="DA483" s="416"/>
      <c r="DB483" s="416"/>
      <c r="DC483" s="416"/>
      <c r="DD483" s="416"/>
      <c r="DE483" s="416"/>
      <c r="DF483" s="416"/>
      <c r="DG483" s="416"/>
      <c r="DH483" s="416"/>
      <c r="DI483" s="416"/>
      <c r="DJ483" s="416"/>
      <c r="DK483" s="416"/>
      <c r="DL483" s="416"/>
      <c r="DM483" s="416"/>
      <c r="DN483" s="416"/>
      <c r="DO483" s="417"/>
    </row>
    <row r="484" spans="1:122" ht="18.75">
      <c r="A484" s="406"/>
      <c r="B484" s="385" t="s">
        <v>182</v>
      </c>
      <c r="C484" s="386">
        <f>SUM(C463:C483)</f>
        <v>25</v>
      </c>
      <c r="D484" s="386">
        <f>SUM(D463:D483)</f>
        <v>0</v>
      </c>
      <c r="E484" s="386">
        <f t="shared" ref="E484:BQ484" si="106">SUM(E463:E483)</f>
        <v>0</v>
      </c>
      <c r="F484" s="386">
        <f t="shared" si="106"/>
        <v>0</v>
      </c>
      <c r="G484" s="386">
        <f t="shared" si="106"/>
        <v>0</v>
      </c>
      <c r="H484" s="386">
        <f t="shared" si="106"/>
        <v>2221</v>
      </c>
      <c r="I484" s="386">
        <f t="shared" si="106"/>
        <v>0</v>
      </c>
      <c r="J484" s="386">
        <f t="shared" si="106"/>
        <v>0</v>
      </c>
      <c r="K484" s="386">
        <f t="shared" si="106"/>
        <v>0</v>
      </c>
      <c r="L484" s="386">
        <f>SUM(L463:L483)</f>
        <v>0</v>
      </c>
      <c r="M484" s="386">
        <f t="shared" si="106"/>
        <v>0</v>
      </c>
      <c r="N484" s="386">
        <f t="shared" si="106"/>
        <v>0</v>
      </c>
      <c r="O484" s="386">
        <f t="shared" si="106"/>
        <v>0</v>
      </c>
      <c r="P484" s="386">
        <f t="shared" si="106"/>
        <v>0</v>
      </c>
      <c r="Q484" s="386">
        <f t="shared" si="106"/>
        <v>0</v>
      </c>
      <c r="R484" s="386">
        <f t="shared" si="106"/>
        <v>0</v>
      </c>
      <c r="S484" s="386">
        <f t="shared" si="106"/>
        <v>0</v>
      </c>
      <c r="T484" s="386">
        <f t="shared" si="106"/>
        <v>0</v>
      </c>
      <c r="U484" s="386">
        <f t="shared" si="106"/>
        <v>316</v>
      </c>
      <c r="V484" s="386">
        <f t="shared" si="106"/>
        <v>81</v>
      </c>
      <c r="W484" s="386">
        <f t="shared" si="106"/>
        <v>17</v>
      </c>
      <c r="X484" s="386">
        <f t="shared" si="106"/>
        <v>0</v>
      </c>
      <c r="Y484" s="386">
        <f t="shared" si="106"/>
        <v>0</v>
      </c>
      <c r="Z484" s="386">
        <f t="shared" si="106"/>
        <v>0</v>
      </c>
      <c r="AA484" s="386">
        <f t="shared" si="106"/>
        <v>0</v>
      </c>
      <c r="AB484" s="386">
        <f t="shared" si="106"/>
        <v>0</v>
      </c>
      <c r="AC484" s="386">
        <f t="shared" si="106"/>
        <v>4015</v>
      </c>
      <c r="AD484" s="386">
        <f t="shared" si="106"/>
        <v>164</v>
      </c>
      <c r="AE484" s="386">
        <f t="shared" si="106"/>
        <v>0</v>
      </c>
      <c r="AF484" s="386">
        <f t="shared" si="106"/>
        <v>0</v>
      </c>
      <c r="AG484" s="386">
        <f t="shared" si="106"/>
        <v>0</v>
      </c>
      <c r="AH484" s="386">
        <f t="shared" si="106"/>
        <v>0</v>
      </c>
      <c r="AI484" s="386">
        <f t="shared" si="106"/>
        <v>0</v>
      </c>
      <c r="AJ484" s="386">
        <f t="shared" si="106"/>
        <v>0</v>
      </c>
      <c r="AK484" s="386">
        <f t="shared" si="106"/>
        <v>0</v>
      </c>
      <c r="AL484" s="386">
        <f t="shared" si="106"/>
        <v>0</v>
      </c>
      <c r="AM484" s="386">
        <f t="shared" si="106"/>
        <v>0</v>
      </c>
      <c r="AN484" s="386">
        <f t="shared" si="106"/>
        <v>0</v>
      </c>
      <c r="AO484" s="386">
        <f t="shared" si="106"/>
        <v>0</v>
      </c>
      <c r="AP484" s="386">
        <f t="shared" si="106"/>
        <v>0</v>
      </c>
      <c r="AQ484" s="386">
        <f>ROUND(SUM(AQ463:AQ483),0)</f>
        <v>26</v>
      </c>
      <c r="AR484" s="386">
        <f>ROUND(SUM(AR463:AR483),0)</f>
        <v>12</v>
      </c>
      <c r="AS484" s="386">
        <f>ROUND(SUM(AS463:AS483),0)</f>
        <v>0</v>
      </c>
      <c r="AT484" s="386">
        <f>ROUND(SUM(AT463:AT483),0)</f>
        <v>238</v>
      </c>
      <c r="AU484" s="386">
        <f t="shared" si="106"/>
        <v>0</v>
      </c>
      <c r="AV484" s="386">
        <f t="shared" si="106"/>
        <v>0</v>
      </c>
      <c r="AW484" s="386">
        <f t="shared" si="106"/>
        <v>25</v>
      </c>
      <c r="AX484" s="386">
        <f t="shared" si="106"/>
        <v>0</v>
      </c>
      <c r="AY484" s="386">
        <f t="shared" si="106"/>
        <v>0</v>
      </c>
      <c r="AZ484" s="386">
        <f t="shared" si="106"/>
        <v>164</v>
      </c>
      <c r="BA484" s="386">
        <f t="shared" si="106"/>
        <v>4015</v>
      </c>
      <c r="BB484" s="386">
        <f t="shared" si="106"/>
        <v>0</v>
      </c>
      <c r="BC484" s="386">
        <f t="shared" si="106"/>
        <v>25</v>
      </c>
      <c r="BD484" s="386">
        <f t="shared" si="106"/>
        <v>0</v>
      </c>
      <c r="BE484" s="386">
        <f t="shared" si="106"/>
        <v>0</v>
      </c>
      <c r="BF484" s="386">
        <f t="shared" si="106"/>
        <v>0</v>
      </c>
      <c r="BG484" s="386">
        <f t="shared" si="106"/>
        <v>0</v>
      </c>
      <c r="BH484" s="386">
        <f t="shared" si="106"/>
        <v>0</v>
      </c>
      <c r="BI484" s="386">
        <f t="shared" si="106"/>
        <v>0</v>
      </c>
      <c r="BJ484" s="386">
        <f t="shared" si="106"/>
        <v>0</v>
      </c>
      <c r="BK484" s="386">
        <f t="shared" si="106"/>
        <v>0</v>
      </c>
      <c r="BL484" s="386">
        <f t="shared" si="106"/>
        <v>0</v>
      </c>
      <c r="BM484" s="386">
        <f t="shared" si="106"/>
        <v>0</v>
      </c>
      <c r="BN484" s="386">
        <f t="shared" si="106"/>
        <v>2</v>
      </c>
      <c r="BO484" s="386">
        <f t="shared" si="106"/>
        <v>0</v>
      </c>
      <c r="BP484" s="386">
        <f t="shared" si="106"/>
        <v>0</v>
      </c>
      <c r="BQ484" s="386">
        <f t="shared" si="106"/>
        <v>0</v>
      </c>
      <c r="BR484" s="386">
        <f t="shared" ref="BR484:DO484" si="107">SUM(BR463:BR483)</f>
        <v>0</v>
      </c>
      <c r="BS484" s="386">
        <f t="shared" si="107"/>
        <v>0</v>
      </c>
      <c r="BT484" s="386">
        <f t="shared" si="107"/>
        <v>0</v>
      </c>
      <c r="BU484" s="386">
        <f t="shared" si="107"/>
        <v>2</v>
      </c>
      <c r="BV484" s="386">
        <f t="shared" si="107"/>
        <v>0</v>
      </c>
      <c r="BW484" s="386">
        <f t="shared" si="107"/>
        <v>0</v>
      </c>
      <c r="BX484" s="386">
        <f t="shared" si="107"/>
        <v>0</v>
      </c>
      <c r="BY484" s="386">
        <f t="shared" si="107"/>
        <v>0</v>
      </c>
      <c r="BZ484" s="386">
        <f t="shared" si="107"/>
        <v>0</v>
      </c>
      <c r="CA484" s="386">
        <f t="shared" si="107"/>
        <v>0</v>
      </c>
      <c r="CB484" s="386">
        <f t="shared" si="107"/>
        <v>0</v>
      </c>
      <c r="CC484" s="386">
        <f t="shared" si="107"/>
        <v>0</v>
      </c>
      <c r="CD484" s="386">
        <f t="shared" si="107"/>
        <v>0</v>
      </c>
      <c r="CE484" s="386">
        <f t="shared" si="107"/>
        <v>0</v>
      </c>
      <c r="CF484" s="386">
        <f t="shared" si="107"/>
        <v>0</v>
      </c>
      <c r="CG484" s="386">
        <f t="shared" si="107"/>
        <v>0</v>
      </c>
      <c r="CH484" s="386">
        <f t="shared" si="107"/>
        <v>0</v>
      </c>
      <c r="CI484" s="386">
        <f t="shared" si="107"/>
        <v>0</v>
      </c>
      <c r="CJ484" s="386">
        <f t="shared" si="107"/>
        <v>0</v>
      </c>
      <c r="CK484" s="386">
        <f t="shared" si="107"/>
        <v>0</v>
      </c>
      <c r="CL484" s="386">
        <f t="shared" si="107"/>
        <v>0</v>
      </c>
      <c r="CM484" s="386">
        <f t="shared" si="107"/>
        <v>1</v>
      </c>
      <c r="CN484" s="386">
        <f t="shared" si="107"/>
        <v>0</v>
      </c>
      <c r="CO484" s="386">
        <f t="shared" si="107"/>
        <v>0</v>
      </c>
      <c r="CP484" s="386">
        <f t="shared" si="107"/>
        <v>0</v>
      </c>
      <c r="CQ484" s="386">
        <f t="shared" si="107"/>
        <v>0</v>
      </c>
      <c r="CR484" s="386">
        <f t="shared" si="107"/>
        <v>0</v>
      </c>
      <c r="CS484" s="386">
        <f t="shared" si="107"/>
        <v>0</v>
      </c>
      <c r="CT484" s="386">
        <f t="shared" si="107"/>
        <v>0</v>
      </c>
      <c r="CU484" s="386">
        <f t="shared" si="107"/>
        <v>0</v>
      </c>
      <c r="CV484" s="386">
        <f t="shared" si="107"/>
        <v>0</v>
      </c>
      <c r="CW484" s="386">
        <f t="shared" si="107"/>
        <v>0</v>
      </c>
      <c r="CX484" s="386">
        <f t="shared" si="107"/>
        <v>0</v>
      </c>
      <c r="CY484" s="386">
        <f t="shared" si="107"/>
        <v>0</v>
      </c>
      <c r="CZ484" s="386">
        <f t="shared" ref="CZ484:DE484" si="108">SUM(CZ463:CZ483)</f>
        <v>0</v>
      </c>
      <c r="DA484" s="386">
        <f t="shared" si="108"/>
        <v>0</v>
      </c>
      <c r="DB484" s="386">
        <f t="shared" si="108"/>
        <v>0</v>
      </c>
      <c r="DC484" s="386">
        <f t="shared" si="108"/>
        <v>0</v>
      </c>
      <c r="DD484" s="386">
        <f t="shared" si="108"/>
        <v>0</v>
      </c>
      <c r="DE484" s="386">
        <f t="shared" si="108"/>
        <v>0</v>
      </c>
      <c r="DF484" s="386">
        <f t="shared" si="107"/>
        <v>1922</v>
      </c>
      <c r="DG484" s="386">
        <f t="shared" si="107"/>
        <v>200</v>
      </c>
      <c r="DH484" s="386">
        <f t="shared" si="107"/>
        <v>0</v>
      </c>
      <c r="DI484" s="386">
        <f t="shared" si="107"/>
        <v>1490</v>
      </c>
      <c r="DJ484" s="386">
        <f t="shared" si="107"/>
        <v>125</v>
      </c>
      <c r="DK484" s="386">
        <f t="shared" si="107"/>
        <v>127</v>
      </c>
      <c r="DL484" s="386">
        <f t="shared" si="107"/>
        <v>3412</v>
      </c>
      <c r="DM484" s="386">
        <f t="shared" si="107"/>
        <v>111</v>
      </c>
      <c r="DN484" s="386">
        <f t="shared" si="107"/>
        <v>910</v>
      </c>
      <c r="DO484" s="386">
        <f t="shared" si="107"/>
        <v>227</v>
      </c>
    </row>
    <row r="485" spans="1:122">
      <c r="A485" s="406"/>
      <c r="B485" s="405"/>
      <c r="C485" s="408"/>
      <c r="D485" s="409"/>
      <c r="E485" s="409"/>
      <c r="F485" s="409"/>
      <c r="G485" s="409"/>
      <c r="H485" s="409"/>
      <c r="I485" s="409"/>
      <c r="J485" s="409"/>
      <c r="K485" s="409"/>
      <c r="L485" s="409"/>
      <c r="M485" s="409"/>
      <c r="N485" s="409"/>
      <c r="O485" s="409"/>
      <c r="P485" s="410"/>
      <c r="Q485" s="410"/>
      <c r="R485" s="410"/>
      <c r="S485" s="410"/>
      <c r="T485" s="411"/>
      <c r="U485" s="405"/>
      <c r="V485" s="405"/>
      <c r="W485" s="405"/>
      <c r="X485" s="408"/>
      <c r="Y485" s="408"/>
      <c r="Z485" s="408"/>
      <c r="AA485" s="408"/>
      <c r="AB485" s="408"/>
      <c r="AC485" s="408"/>
      <c r="AD485" s="408"/>
      <c r="AE485" s="408"/>
      <c r="AF485" s="408"/>
      <c r="AG485" s="408"/>
      <c r="AH485" s="408"/>
      <c r="AI485" s="408"/>
      <c r="AJ485" s="408"/>
      <c r="AK485" s="408"/>
      <c r="AL485" s="408"/>
      <c r="AM485" s="408"/>
      <c r="AN485" s="408"/>
      <c r="AO485" s="408"/>
      <c r="AP485" s="408"/>
      <c r="AQ485" s="408"/>
      <c r="AR485" s="408"/>
      <c r="AS485" s="412"/>
      <c r="AT485" s="413"/>
      <c r="AU485" s="405"/>
      <c r="AV485" s="408"/>
      <c r="AW485" s="408"/>
      <c r="AX485" s="412"/>
      <c r="AY485" s="413"/>
      <c r="AZ485" s="405"/>
      <c r="BA485" s="408"/>
      <c r="BB485" s="1183"/>
      <c r="BC485" s="413"/>
      <c r="BD485" s="414"/>
      <c r="BE485" s="415"/>
      <c r="BF485" s="415"/>
      <c r="BG485" s="415"/>
      <c r="BH485" s="415"/>
      <c r="BI485" s="415"/>
      <c r="BJ485" s="655"/>
      <c r="BK485" s="415"/>
      <c r="BL485" s="415"/>
      <c r="BM485" s="415"/>
      <c r="BN485" s="415"/>
      <c r="BO485" s="415"/>
      <c r="BP485" s="415"/>
      <c r="BQ485" s="415"/>
      <c r="BR485" s="415"/>
      <c r="BS485" s="415"/>
      <c r="BT485" s="415"/>
      <c r="BU485" s="655"/>
      <c r="BV485" s="415"/>
      <c r="BW485" s="415"/>
      <c r="BX485" s="415"/>
      <c r="BY485" s="655"/>
      <c r="BZ485" s="655"/>
      <c r="CA485" s="655"/>
      <c r="CB485" s="415"/>
      <c r="CC485" s="655"/>
      <c r="CD485" s="415"/>
      <c r="CE485" s="415"/>
      <c r="CF485" s="415"/>
      <c r="CG485" s="415"/>
      <c r="CH485" s="415"/>
      <c r="CI485" s="656"/>
      <c r="CJ485" s="416"/>
      <c r="CK485" s="656"/>
      <c r="CL485" s="416"/>
      <c r="CM485" s="656"/>
      <c r="CN485" s="416"/>
      <c r="CO485" s="416"/>
      <c r="CP485" s="416"/>
      <c r="CQ485" s="656"/>
      <c r="CR485" s="656"/>
      <c r="CS485" s="416"/>
      <c r="CT485" s="416"/>
      <c r="CU485" s="416"/>
      <c r="CV485" s="416"/>
      <c r="CW485" s="416"/>
      <c r="CX485" s="656"/>
      <c r="CY485" s="656"/>
      <c r="CZ485" s="416"/>
      <c r="DA485" s="416"/>
      <c r="DB485" s="416"/>
      <c r="DC485" s="416"/>
      <c r="DD485" s="416"/>
      <c r="DE485" s="416"/>
      <c r="DF485" s="416"/>
      <c r="DG485" s="416"/>
      <c r="DH485" s="416"/>
      <c r="DI485" s="416"/>
      <c r="DJ485" s="416"/>
      <c r="DK485" s="416"/>
      <c r="DL485" s="416"/>
      <c r="DM485" s="416"/>
      <c r="DN485" s="416"/>
      <c r="DO485" s="417"/>
    </row>
    <row r="486" spans="1:122">
      <c r="A486" s="406"/>
      <c r="B486" s="405"/>
      <c r="C486" s="408"/>
      <c r="D486" s="409"/>
      <c r="E486" s="409"/>
      <c r="F486" s="409"/>
      <c r="G486" s="409"/>
      <c r="H486" s="409"/>
      <c r="I486" s="409"/>
      <c r="J486" s="409"/>
      <c r="K486" s="409"/>
      <c r="L486" s="409"/>
      <c r="M486" s="409"/>
      <c r="N486" s="409"/>
      <c r="O486" s="409"/>
      <c r="P486" s="410"/>
      <c r="Q486" s="410"/>
      <c r="R486" s="410"/>
      <c r="S486" s="410"/>
      <c r="T486" s="411"/>
      <c r="U486" s="405"/>
      <c r="V486" s="405"/>
      <c r="W486" s="405"/>
      <c r="X486" s="408"/>
      <c r="Y486" s="408"/>
      <c r="Z486" s="408"/>
      <c r="AA486" s="408"/>
      <c r="AB486" s="408"/>
      <c r="AC486" s="408"/>
      <c r="AD486" s="408"/>
      <c r="AE486" s="408"/>
      <c r="AF486" s="408"/>
      <c r="AG486" s="408"/>
      <c r="AH486" s="408"/>
      <c r="AI486" s="408"/>
      <c r="AJ486" s="408"/>
      <c r="AK486" s="408"/>
      <c r="AL486" s="408"/>
      <c r="AM486" s="408"/>
      <c r="AN486" s="408"/>
      <c r="AO486" s="408"/>
      <c r="AP486" s="408"/>
      <c r="AQ486" s="408"/>
      <c r="AR486" s="408"/>
      <c r="AS486" s="412"/>
      <c r="AT486" s="413"/>
      <c r="AU486" s="405"/>
      <c r="AV486" s="408"/>
      <c r="AW486" s="408"/>
      <c r="AX486" s="412"/>
      <c r="AY486" s="413"/>
      <c r="AZ486" s="405"/>
      <c r="BA486" s="408"/>
      <c r="BB486" s="1183"/>
      <c r="BC486" s="413"/>
      <c r="BD486" s="414"/>
      <c r="BE486" s="415"/>
      <c r="BF486" s="415"/>
      <c r="BG486" s="415"/>
      <c r="BH486" s="415"/>
      <c r="BI486" s="415"/>
      <c r="BJ486" s="655"/>
      <c r="BK486" s="415"/>
      <c r="BL486" s="415"/>
      <c r="BM486" s="415"/>
      <c r="BN486" s="415"/>
      <c r="BO486" s="415"/>
      <c r="BP486" s="415"/>
      <c r="BQ486" s="415"/>
      <c r="BR486" s="415"/>
      <c r="BS486" s="415"/>
      <c r="BT486" s="415"/>
      <c r="BU486" s="655"/>
      <c r="BV486" s="415"/>
      <c r="BW486" s="415"/>
      <c r="BX486" s="415"/>
      <c r="BY486" s="655"/>
      <c r="BZ486" s="655"/>
      <c r="CA486" s="655"/>
      <c r="CB486" s="415"/>
      <c r="CC486" s="655"/>
      <c r="CD486" s="415"/>
      <c r="CE486" s="415"/>
      <c r="CF486" s="415"/>
      <c r="CG486" s="415"/>
      <c r="CH486" s="415"/>
      <c r="CI486" s="656"/>
      <c r="CJ486" s="416"/>
      <c r="CK486" s="656"/>
      <c r="CL486" s="416"/>
      <c r="CM486" s="656"/>
      <c r="CN486" s="416"/>
      <c r="CO486" s="416"/>
      <c r="CP486" s="416"/>
      <c r="CQ486" s="656"/>
      <c r="CR486" s="656"/>
      <c r="CS486" s="416"/>
      <c r="CT486" s="416"/>
      <c r="CU486" s="416"/>
      <c r="CV486" s="416"/>
      <c r="CW486" s="416"/>
      <c r="CX486" s="656"/>
      <c r="CY486" s="656"/>
      <c r="CZ486" s="416"/>
      <c r="DA486" s="416"/>
      <c r="DB486" s="416"/>
      <c r="DC486" s="416"/>
      <c r="DD486" s="416"/>
      <c r="DE486" s="416"/>
      <c r="DF486" s="416"/>
      <c r="DG486" s="416"/>
      <c r="DH486" s="416"/>
      <c r="DI486" s="416"/>
      <c r="DJ486" s="416"/>
      <c r="DK486" s="416"/>
      <c r="DL486" s="416"/>
      <c r="DM486" s="416"/>
      <c r="DN486" s="416"/>
      <c r="DO486" s="417"/>
    </row>
    <row r="487" spans="1:122">
      <c r="A487" s="406"/>
      <c r="B487" s="405"/>
      <c r="C487" s="408"/>
      <c r="D487" s="409"/>
      <c r="E487" s="409"/>
      <c r="F487" s="409"/>
      <c r="G487" s="409"/>
      <c r="H487" s="409"/>
      <c r="I487" s="409"/>
      <c r="J487" s="409"/>
      <c r="K487" s="409"/>
      <c r="L487" s="409"/>
      <c r="M487" s="409"/>
      <c r="N487" s="409"/>
      <c r="O487" s="409"/>
      <c r="P487" s="410"/>
      <c r="Q487" s="410"/>
      <c r="R487" s="410"/>
      <c r="S487" s="410"/>
      <c r="T487" s="411"/>
      <c r="U487" s="405"/>
      <c r="V487" s="405"/>
      <c r="W487" s="405"/>
      <c r="X487" s="408"/>
      <c r="Y487" s="408"/>
      <c r="Z487" s="408"/>
      <c r="AA487" s="408"/>
      <c r="AB487" s="408"/>
      <c r="AC487" s="408"/>
      <c r="AD487" s="408"/>
      <c r="AE487" s="408"/>
      <c r="AF487" s="408"/>
      <c r="AG487" s="408"/>
      <c r="AH487" s="408"/>
      <c r="AI487" s="408"/>
      <c r="AJ487" s="408"/>
      <c r="AK487" s="408"/>
      <c r="AL487" s="408"/>
      <c r="AM487" s="408"/>
      <c r="AN487" s="408"/>
      <c r="AO487" s="408"/>
      <c r="AP487" s="408"/>
      <c r="AQ487" s="408"/>
      <c r="AR487" s="408"/>
      <c r="AS487" s="412"/>
      <c r="AT487" s="413"/>
      <c r="AU487" s="405"/>
      <c r="AV487" s="408"/>
      <c r="AW487" s="408"/>
      <c r="AX487" s="412"/>
      <c r="AY487" s="413"/>
      <c r="AZ487" s="405"/>
      <c r="BA487" s="408"/>
      <c r="BB487" s="1183"/>
      <c r="BC487" s="413"/>
      <c r="BD487" s="414"/>
      <c r="BE487" s="415"/>
      <c r="BF487" s="415"/>
      <c r="BG487" s="415"/>
      <c r="BH487" s="415"/>
      <c r="BI487" s="415"/>
      <c r="BJ487" s="655"/>
      <c r="BK487" s="415"/>
      <c r="BL487" s="415"/>
      <c r="BM487" s="415"/>
      <c r="BN487" s="415"/>
      <c r="BO487" s="415"/>
      <c r="BP487" s="415"/>
      <c r="BQ487" s="415"/>
      <c r="BR487" s="415"/>
      <c r="BS487" s="415"/>
      <c r="BT487" s="415"/>
      <c r="BU487" s="655"/>
      <c r="BV487" s="415"/>
      <c r="BW487" s="415"/>
      <c r="BX487" s="415"/>
      <c r="BY487" s="655"/>
      <c r="BZ487" s="655"/>
      <c r="CA487" s="655"/>
      <c r="CB487" s="415"/>
      <c r="CC487" s="655"/>
      <c r="CD487" s="415"/>
      <c r="CE487" s="415"/>
      <c r="CF487" s="415"/>
      <c r="CG487" s="415"/>
      <c r="CH487" s="415"/>
      <c r="CI487" s="656"/>
      <c r="CJ487" s="416"/>
      <c r="CK487" s="656"/>
      <c r="CL487" s="416"/>
      <c r="CM487" s="656"/>
      <c r="CN487" s="416"/>
      <c r="CO487" s="416"/>
      <c r="CP487" s="416"/>
      <c r="CQ487" s="656"/>
      <c r="CR487" s="656"/>
      <c r="CS487" s="416"/>
      <c r="CT487" s="416"/>
      <c r="CU487" s="416"/>
      <c r="CV487" s="416"/>
      <c r="CW487" s="416"/>
      <c r="CX487" s="656"/>
      <c r="CY487" s="656"/>
      <c r="CZ487" s="416"/>
      <c r="DA487" s="416"/>
      <c r="DB487" s="416"/>
      <c r="DC487" s="416"/>
      <c r="DD487" s="416"/>
      <c r="DE487" s="416"/>
      <c r="DF487" s="416"/>
      <c r="DG487" s="416"/>
      <c r="DH487" s="416"/>
      <c r="DI487" s="416"/>
      <c r="DJ487" s="416"/>
      <c r="DK487" s="416"/>
      <c r="DL487" s="416"/>
      <c r="DM487" s="416"/>
      <c r="DN487" s="416"/>
      <c r="DO487" s="417"/>
    </row>
    <row r="488" spans="1:122">
      <c r="A488" s="406"/>
      <c r="B488" s="405"/>
      <c r="C488" s="408"/>
      <c r="D488" s="409"/>
      <c r="E488" s="409"/>
      <c r="F488" s="409"/>
      <c r="G488" s="409"/>
      <c r="H488" s="409"/>
      <c r="I488" s="409"/>
      <c r="J488" s="409"/>
      <c r="K488" s="409"/>
      <c r="L488" s="409"/>
      <c r="M488" s="409"/>
      <c r="N488" s="409"/>
      <c r="O488" s="409"/>
      <c r="P488" s="410"/>
      <c r="Q488" s="410"/>
      <c r="R488" s="410"/>
      <c r="S488" s="410"/>
      <c r="T488" s="411"/>
      <c r="U488" s="405"/>
      <c r="V488" s="405"/>
      <c r="W488" s="405"/>
      <c r="X488" s="408"/>
      <c r="Y488" s="408"/>
      <c r="Z488" s="408"/>
      <c r="AA488" s="408"/>
      <c r="AB488" s="408"/>
      <c r="AC488" s="408"/>
      <c r="AD488" s="408"/>
      <c r="AE488" s="408"/>
      <c r="AF488" s="408"/>
      <c r="AG488" s="408"/>
      <c r="AH488" s="408"/>
      <c r="AI488" s="408"/>
      <c r="AJ488" s="408"/>
      <c r="AK488" s="408"/>
      <c r="AL488" s="408"/>
      <c r="AM488" s="408"/>
      <c r="AN488" s="408"/>
      <c r="AO488" s="408"/>
      <c r="AP488" s="408"/>
      <c r="AQ488" s="408"/>
      <c r="AR488" s="408"/>
      <c r="AS488" s="412"/>
      <c r="AT488" s="413"/>
      <c r="AU488" s="405"/>
      <c r="AV488" s="408"/>
      <c r="AW488" s="408"/>
      <c r="AX488" s="412"/>
      <c r="AY488" s="413"/>
      <c r="AZ488" s="405"/>
      <c r="BA488" s="408"/>
      <c r="BB488" s="1183"/>
      <c r="BC488" s="413"/>
      <c r="BD488" s="414"/>
      <c r="BE488" s="415"/>
      <c r="BF488" s="415"/>
      <c r="BG488" s="415"/>
      <c r="BH488" s="415"/>
      <c r="BI488" s="415"/>
      <c r="BJ488" s="655"/>
      <c r="BK488" s="415"/>
      <c r="BL488" s="415"/>
      <c r="BM488" s="415"/>
      <c r="BN488" s="415"/>
      <c r="BO488" s="415"/>
      <c r="BP488" s="415"/>
      <c r="BQ488" s="415"/>
      <c r="BR488" s="415"/>
      <c r="BS488" s="415"/>
      <c r="BT488" s="415"/>
      <c r="BU488" s="655"/>
      <c r="BV488" s="415"/>
      <c r="BW488" s="415"/>
      <c r="BX488" s="415"/>
      <c r="BY488" s="655"/>
      <c r="BZ488" s="655"/>
      <c r="CA488" s="655"/>
      <c r="CB488" s="415"/>
      <c r="CC488" s="655"/>
      <c r="CD488" s="415"/>
      <c r="CE488" s="415"/>
      <c r="CF488" s="415"/>
      <c r="CG488" s="415"/>
      <c r="CH488" s="415"/>
      <c r="CI488" s="656"/>
      <c r="CJ488" s="416"/>
      <c r="CK488" s="656"/>
      <c r="CL488" s="416"/>
      <c r="CM488" s="656"/>
      <c r="CN488" s="416"/>
      <c r="CO488" s="416"/>
      <c r="CP488" s="416"/>
      <c r="CQ488" s="656"/>
      <c r="CR488" s="656"/>
      <c r="CS488" s="416"/>
      <c r="CT488" s="416"/>
      <c r="CU488" s="416"/>
      <c r="CV488" s="416"/>
      <c r="CW488" s="416"/>
      <c r="CX488" s="656"/>
      <c r="CY488" s="656"/>
      <c r="CZ488" s="416"/>
      <c r="DA488" s="416"/>
      <c r="DB488" s="416"/>
      <c r="DC488" s="416"/>
      <c r="DD488" s="416"/>
      <c r="DE488" s="416"/>
      <c r="DF488" s="416"/>
      <c r="DG488" s="416"/>
      <c r="DH488" s="416"/>
      <c r="DI488" s="416"/>
      <c r="DJ488" s="416"/>
      <c r="DK488" s="416"/>
      <c r="DL488" s="416"/>
      <c r="DM488" s="416"/>
      <c r="DN488" s="416"/>
      <c r="DO488" s="417"/>
    </row>
    <row r="489" spans="1:122">
      <c r="A489" s="406"/>
      <c r="B489" s="405"/>
      <c r="C489" s="408"/>
      <c r="D489" s="409"/>
      <c r="E489" s="409"/>
      <c r="F489" s="409"/>
      <c r="G489" s="409"/>
      <c r="H489" s="409"/>
      <c r="I489" s="409"/>
      <c r="J489" s="409"/>
      <c r="K489" s="409"/>
      <c r="L489" s="409"/>
      <c r="M489" s="409"/>
      <c r="N489" s="409"/>
      <c r="O489" s="409"/>
      <c r="P489" s="410"/>
      <c r="Q489" s="410"/>
      <c r="R489" s="410"/>
      <c r="S489" s="410"/>
      <c r="T489" s="411"/>
      <c r="U489" s="405"/>
      <c r="V489" s="405"/>
      <c r="W489" s="405"/>
      <c r="X489" s="408"/>
      <c r="Y489" s="408"/>
      <c r="Z489" s="408"/>
      <c r="AA489" s="408"/>
      <c r="AB489" s="408"/>
      <c r="AC489" s="408"/>
      <c r="AD489" s="408"/>
      <c r="AE489" s="408"/>
      <c r="AF489" s="408"/>
      <c r="AG489" s="408"/>
      <c r="AH489" s="408"/>
      <c r="AI489" s="408"/>
      <c r="AJ489" s="408"/>
      <c r="AK489" s="408"/>
      <c r="AL489" s="408"/>
      <c r="AM489" s="408"/>
      <c r="AN489" s="408"/>
      <c r="AO489" s="408"/>
      <c r="AP489" s="408"/>
      <c r="AQ489" s="408"/>
      <c r="AR489" s="408"/>
      <c r="AS489" s="412"/>
      <c r="AT489" s="413"/>
      <c r="AU489" s="405"/>
      <c r="AV489" s="408"/>
      <c r="AW489" s="408"/>
      <c r="AX489" s="412"/>
      <c r="AY489" s="413"/>
      <c r="AZ489" s="405"/>
      <c r="BA489" s="408"/>
      <c r="BB489" s="1183"/>
      <c r="BC489" s="413"/>
      <c r="BD489" s="414"/>
      <c r="BE489" s="415"/>
      <c r="BF489" s="415"/>
      <c r="BG489" s="415"/>
      <c r="BH489" s="415"/>
      <c r="BI489" s="415"/>
      <c r="BJ489" s="655"/>
      <c r="BK489" s="415"/>
      <c r="BL489" s="415"/>
      <c r="BM489" s="415"/>
      <c r="BN489" s="415"/>
      <c r="BO489" s="415"/>
      <c r="BP489" s="415"/>
      <c r="BQ489" s="415"/>
      <c r="BR489" s="415"/>
      <c r="BS489" s="415"/>
      <c r="BT489" s="415"/>
      <c r="BU489" s="655"/>
      <c r="BV489" s="415"/>
      <c r="BW489" s="415"/>
      <c r="BX489" s="415"/>
      <c r="BY489" s="655"/>
      <c r="BZ489" s="655"/>
      <c r="CA489" s="655"/>
      <c r="CB489" s="415"/>
      <c r="CC489" s="655"/>
      <c r="CD489" s="415"/>
      <c r="CE489" s="415"/>
      <c r="CF489" s="415"/>
      <c r="CG489" s="415"/>
      <c r="CH489" s="415"/>
      <c r="CI489" s="656"/>
      <c r="CJ489" s="416"/>
      <c r="CK489" s="656"/>
      <c r="CL489" s="416"/>
      <c r="CM489" s="656"/>
      <c r="CN489" s="416"/>
      <c r="CO489" s="416"/>
      <c r="CP489" s="416"/>
      <c r="CQ489" s="656"/>
      <c r="CR489" s="656"/>
      <c r="CS489" s="416"/>
      <c r="CT489" s="416"/>
      <c r="CU489" s="416"/>
      <c r="CV489" s="416"/>
      <c r="CW489" s="416"/>
      <c r="CX489" s="656"/>
      <c r="CY489" s="656"/>
      <c r="CZ489" s="416"/>
      <c r="DA489" s="416"/>
      <c r="DB489" s="416"/>
      <c r="DC489" s="416"/>
      <c r="DD489" s="416"/>
      <c r="DE489" s="416"/>
      <c r="DF489" s="416"/>
      <c r="DG489" s="416"/>
      <c r="DH489" s="416"/>
      <c r="DI489" s="416"/>
      <c r="DJ489" s="416"/>
      <c r="DK489" s="416"/>
      <c r="DL489" s="416"/>
      <c r="DM489" s="416"/>
      <c r="DN489" s="416"/>
      <c r="DO489" s="417"/>
    </row>
    <row r="490" spans="1:122">
      <c r="A490" s="406"/>
      <c r="B490" s="405"/>
      <c r="C490" s="408"/>
      <c r="D490" s="409"/>
      <c r="E490" s="409"/>
      <c r="F490" s="409"/>
      <c r="G490" s="409"/>
      <c r="H490" s="409"/>
      <c r="I490" s="409"/>
      <c r="J490" s="409"/>
      <c r="K490" s="409"/>
      <c r="L490" s="409"/>
      <c r="M490" s="409"/>
      <c r="N490" s="409"/>
      <c r="O490" s="409"/>
      <c r="P490" s="410"/>
      <c r="Q490" s="410"/>
      <c r="R490" s="410"/>
      <c r="S490" s="410"/>
      <c r="T490" s="411"/>
      <c r="U490" s="405"/>
      <c r="V490" s="405"/>
      <c r="W490" s="405"/>
      <c r="X490" s="408"/>
      <c r="Y490" s="408"/>
      <c r="Z490" s="408"/>
      <c r="AA490" s="408"/>
      <c r="AB490" s="408"/>
      <c r="AC490" s="408"/>
      <c r="AD490" s="408"/>
      <c r="AE490" s="408"/>
      <c r="AF490" s="408"/>
      <c r="AG490" s="408"/>
      <c r="AH490" s="408"/>
      <c r="AI490" s="408"/>
      <c r="AJ490" s="408"/>
      <c r="AK490" s="408"/>
      <c r="AL490" s="408"/>
      <c r="AM490" s="408"/>
      <c r="AN490" s="408"/>
      <c r="AO490" s="408"/>
      <c r="AP490" s="408"/>
      <c r="AQ490" s="408"/>
      <c r="AR490" s="408"/>
      <c r="AS490" s="412"/>
      <c r="AT490" s="413"/>
      <c r="AU490" s="405"/>
      <c r="AV490" s="408"/>
      <c r="AW490" s="408"/>
      <c r="AX490" s="412"/>
      <c r="AY490" s="413"/>
      <c r="AZ490" s="405"/>
      <c r="BA490" s="408"/>
      <c r="BB490" s="1183"/>
      <c r="BC490" s="413"/>
      <c r="BD490" s="414"/>
      <c r="BE490" s="415"/>
      <c r="BF490" s="415"/>
      <c r="BG490" s="415"/>
      <c r="BH490" s="415"/>
      <c r="BI490" s="415"/>
      <c r="BJ490" s="655"/>
      <c r="BK490" s="415"/>
      <c r="BL490" s="415"/>
      <c r="BM490" s="415"/>
      <c r="BN490" s="415"/>
      <c r="BO490" s="415"/>
      <c r="BP490" s="415"/>
      <c r="BQ490" s="415"/>
      <c r="BR490" s="415"/>
      <c r="BS490" s="415"/>
      <c r="BT490" s="415"/>
      <c r="BU490" s="655"/>
      <c r="BV490" s="415"/>
      <c r="BW490" s="415"/>
      <c r="BX490" s="415"/>
      <c r="BY490" s="655"/>
      <c r="BZ490" s="655"/>
      <c r="CA490" s="655"/>
      <c r="CB490" s="415"/>
      <c r="CC490" s="655"/>
      <c r="CD490" s="415"/>
      <c r="CE490" s="415"/>
      <c r="CF490" s="415"/>
      <c r="CG490" s="415"/>
      <c r="CH490" s="415"/>
      <c r="CI490" s="656"/>
      <c r="CJ490" s="416"/>
      <c r="CK490" s="656"/>
      <c r="CL490" s="416"/>
      <c r="CM490" s="656"/>
      <c r="CN490" s="416"/>
      <c r="CO490" s="416"/>
      <c r="CP490" s="416"/>
      <c r="CQ490" s="656"/>
      <c r="CR490" s="656"/>
      <c r="CS490" s="416"/>
      <c r="CT490" s="416"/>
      <c r="CU490" s="416"/>
      <c r="CV490" s="416"/>
      <c r="CW490" s="416"/>
      <c r="CX490" s="656"/>
      <c r="CY490" s="656"/>
      <c r="CZ490" s="416"/>
      <c r="DA490" s="416"/>
      <c r="DB490" s="416"/>
      <c r="DC490" s="416"/>
      <c r="DD490" s="416"/>
      <c r="DE490" s="416"/>
      <c r="DF490" s="416"/>
      <c r="DG490" s="416"/>
      <c r="DH490" s="416"/>
      <c r="DI490" s="416"/>
      <c r="DJ490" s="416"/>
      <c r="DK490" s="416"/>
      <c r="DL490" s="416"/>
      <c r="DM490" s="416"/>
      <c r="DN490" s="416"/>
      <c r="DO490" s="417"/>
    </row>
    <row r="491" spans="1:122">
      <c r="A491" s="316"/>
      <c r="B491" s="419"/>
      <c r="C491" s="420"/>
      <c r="D491" s="421"/>
      <c r="E491" s="421"/>
      <c r="F491" s="421"/>
      <c r="G491" s="421"/>
      <c r="H491" s="421"/>
      <c r="I491" s="421"/>
      <c r="J491" s="421"/>
      <c r="K491" s="421"/>
      <c r="L491" s="421"/>
      <c r="M491" s="421"/>
      <c r="N491" s="421"/>
      <c r="O491" s="421"/>
      <c r="P491" s="422"/>
      <c r="Q491" s="422"/>
      <c r="R491" s="422"/>
      <c r="S491" s="422"/>
      <c r="T491" s="423"/>
      <c r="U491" s="419"/>
      <c r="V491" s="419"/>
      <c r="W491" s="419"/>
      <c r="X491" s="420"/>
      <c r="Y491" s="420"/>
      <c r="Z491" s="420"/>
      <c r="AA491" s="420"/>
      <c r="AB491" s="420"/>
      <c r="AC491" s="420"/>
      <c r="AD491" s="420"/>
      <c r="AE491" s="420"/>
      <c r="AF491" s="420"/>
      <c r="AG491" s="420"/>
      <c r="AH491" s="420"/>
      <c r="AI491" s="420"/>
      <c r="AJ491" s="420"/>
      <c r="AK491" s="420"/>
      <c r="AL491" s="420"/>
      <c r="AM491" s="420"/>
      <c r="AN491" s="420"/>
      <c r="AO491" s="420"/>
      <c r="AP491" s="420"/>
      <c r="AQ491" s="420"/>
      <c r="AR491" s="420"/>
      <c r="AS491" s="424"/>
      <c r="AT491" s="425"/>
      <c r="AU491" s="419"/>
      <c r="AV491" s="420"/>
      <c r="AW491" s="420"/>
      <c r="AX491" s="424"/>
      <c r="AY491" s="425"/>
      <c r="AZ491" s="419"/>
      <c r="BA491" s="420"/>
      <c r="BB491" s="424"/>
      <c r="BC491" s="425"/>
      <c r="BD491" s="426"/>
      <c r="BE491" s="427"/>
      <c r="BF491" s="427"/>
      <c r="BG491" s="427"/>
      <c r="BH491" s="427"/>
      <c r="BI491" s="427"/>
      <c r="BJ491" s="427"/>
      <c r="BK491" s="427"/>
      <c r="BL491" s="427"/>
      <c r="BM491" s="427"/>
      <c r="BN491" s="427"/>
      <c r="BO491" s="427"/>
      <c r="BP491" s="427"/>
      <c r="BQ491" s="427"/>
      <c r="BR491" s="427"/>
      <c r="BS491" s="427"/>
      <c r="BT491" s="427"/>
      <c r="BU491" s="427"/>
      <c r="BV491" s="427"/>
      <c r="BW491" s="427"/>
      <c r="BX491" s="427"/>
      <c r="BY491" s="427"/>
      <c r="BZ491" s="427"/>
      <c r="CA491" s="427"/>
      <c r="CB491" s="427"/>
      <c r="CC491" s="427"/>
      <c r="CD491" s="427"/>
      <c r="CE491" s="427"/>
      <c r="CF491" s="427"/>
      <c r="CG491" s="427"/>
      <c r="CH491" s="427"/>
      <c r="CI491" s="428"/>
      <c r="CJ491" s="428"/>
      <c r="CK491" s="428"/>
      <c r="CL491" s="428"/>
      <c r="CM491" s="428"/>
      <c r="CN491" s="428"/>
      <c r="CO491" s="428"/>
      <c r="CP491" s="428"/>
      <c r="CQ491" s="428"/>
      <c r="CR491" s="428"/>
      <c r="CS491" s="428"/>
      <c r="CT491" s="428"/>
      <c r="CU491" s="428"/>
      <c r="CV491" s="428"/>
      <c r="CW491" s="428"/>
      <c r="CX491" s="428"/>
      <c r="CY491" s="428"/>
      <c r="CZ491" s="428"/>
      <c r="DA491" s="428"/>
      <c r="DB491" s="428"/>
      <c r="DC491" s="428"/>
      <c r="DD491" s="428"/>
      <c r="DE491" s="428"/>
      <c r="DF491" s="428"/>
      <c r="DG491" s="428"/>
      <c r="DH491" s="428"/>
      <c r="DI491" s="428"/>
      <c r="DJ491" s="428"/>
      <c r="DK491" s="428"/>
      <c r="DL491" s="428"/>
      <c r="DM491" s="428"/>
      <c r="DN491" s="428"/>
      <c r="DO491" s="429"/>
    </row>
    <row r="492" spans="1:122" ht="19.5" thickBot="1">
      <c r="A492" s="430"/>
      <c r="B492" s="431" t="s">
        <v>181</v>
      </c>
      <c r="C492" s="432">
        <f>SUM(C370+C412+C460+C484)</f>
        <v>1684</v>
      </c>
      <c r="D492" s="432">
        <f t="shared" ref="D492:BP492" si="109">SUM(D370+D412+D460+D484)</f>
        <v>6244</v>
      </c>
      <c r="E492" s="432">
        <f t="shared" si="109"/>
        <v>368</v>
      </c>
      <c r="F492" s="432">
        <f t="shared" si="109"/>
        <v>106</v>
      </c>
      <c r="G492" s="432">
        <f t="shared" si="109"/>
        <v>2740</v>
      </c>
      <c r="H492" s="432">
        <f t="shared" si="109"/>
        <v>2764</v>
      </c>
      <c r="I492" s="432">
        <f t="shared" si="109"/>
        <v>0</v>
      </c>
      <c r="J492" s="432">
        <f t="shared" si="109"/>
        <v>0</v>
      </c>
      <c r="K492" s="432">
        <f t="shared" si="109"/>
        <v>0</v>
      </c>
      <c r="L492" s="432">
        <f t="shared" si="109"/>
        <v>0</v>
      </c>
      <c r="M492" s="432">
        <f t="shared" si="109"/>
        <v>0</v>
      </c>
      <c r="N492" s="432">
        <f t="shared" si="109"/>
        <v>0</v>
      </c>
      <c r="O492" s="432">
        <f t="shared" si="109"/>
        <v>0</v>
      </c>
      <c r="P492" s="432">
        <f t="shared" si="109"/>
        <v>0</v>
      </c>
      <c r="Q492" s="432">
        <f t="shared" si="109"/>
        <v>0</v>
      </c>
      <c r="R492" s="432">
        <f t="shared" si="109"/>
        <v>0</v>
      </c>
      <c r="S492" s="432">
        <f t="shared" si="109"/>
        <v>34</v>
      </c>
      <c r="T492" s="432">
        <f t="shared" si="109"/>
        <v>381</v>
      </c>
      <c r="U492" s="432">
        <f t="shared" si="109"/>
        <v>10395</v>
      </c>
      <c r="V492" s="432">
        <f t="shared" si="109"/>
        <v>2862</v>
      </c>
      <c r="W492" s="432">
        <f t="shared" si="109"/>
        <v>17</v>
      </c>
      <c r="X492" s="432">
        <f t="shared" si="109"/>
        <v>0</v>
      </c>
      <c r="Y492" s="432">
        <f t="shared" si="109"/>
        <v>0</v>
      </c>
      <c r="Z492" s="432">
        <f t="shared" si="109"/>
        <v>0</v>
      </c>
      <c r="AA492" s="432">
        <f t="shared" si="109"/>
        <v>519</v>
      </c>
      <c r="AB492" s="432">
        <f t="shared" si="109"/>
        <v>0</v>
      </c>
      <c r="AC492" s="432">
        <f t="shared" si="109"/>
        <v>5158</v>
      </c>
      <c r="AD492" s="432">
        <f t="shared" si="109"/>
        <v>20959</v>
      </c>
      <c r="AE492" s="432">
        <f t="shared" si="109"/>
        <v>508</v>
      </c>
      <c r="AF492" s="432">
        <f t="shared" si="109"/>
        <v>0</v>
      </c>
      <c r="AG492" s="432">
        <f t="shared" si="109"/>
        <v>1359</v>
      </c>
      <c r="AH492" s="432">
        <f t="shared" si="109"/>
        <v>594</v>
      </c>
      <c r="AI492" s="432">
        <f t="shared" si="109"/>
        <v>519</v>
      </c>
      <c r="AJ492" s="432">
        <f t="shared" si="109"/>
        <v>0</v>
      </c>
      <c r="AK492" s="432">
        <f t="shared" si="109"/>
        <v>0</v>
      </c>
      <c r="AL492" s="432">
        <f t="shared" si="109"/>
        <v>0</v>
      </c>
      <c r="AM492" s="432">
        <f t="shared" si="109"/>
        <v>0</v>
      </c>
      <c r="AN492" s="432">
        <f t="shared" si="109"/>
        <v>0</v>
      </c>
      <c r="AO492" s="432">
        <f t="shared" si="109"/>
        <v>0</v>
      </c>
      <c r="AP492" s="432">
        <f t="shared" si="109"/>
        <v>0</v>
      </c>
      <c r="AQ492" s="432">
        <f t="shared" si="109"/>
        <v>2235</v>
      </c>
      <c r="AR492" s="432">
        <f t="shared" si="109"/>
        <v>193</v>
      </c>
      <c r="AS492" s="432">
        <f t="shared" si="109"/>
        <v>0</v>
      </c>
      <c r="AT492" s="432">
        <f t="shared" si="109"/>
        <v>1919</v>
      </c>
      <c r="AU492" s="432">
        <f t="shared" si="109"/>
        <v>2021</v>
      </c>
      <c r="AV492" s="432">
        <f t="shared" si="109"/>
        <v>368</v>
      </c>
      <c r="AW492" s="432">
        <f t="shared" si="109"/>
        <v>3831</v>
      </c>
      <c r="AX492" s="432">
        <f t="shared" si="109"/>
        <v>0</v>
      </c>
      <c r="AY492" s="432">
        <f t="shared" si="109"/>
        <v>0</v>
      </c>
      <c r="AZ492" s="432">
        <f t="shared" si="109"/>
        <v>20486</v>
      </c>
      <c r="BA492" s="432">
        <f t="shared" si="109"/>
        <v>5158</v>
      </c>
      <c r="BB492" s="432">
        <f t="shared" si="109"/>
        <v>519</v>
      </c>
      <c r="BC492" s="432">
        <f t="shared" si="109"/>
        <v>6220</v>
      </c>
      <c r="BD492" s="432">
        <f t="shared" si="109"/>
        <v>1</v>
      </c>
      <c r="BE492" s="432">
        <f t="shared" si="109"/>
        <v>1</v>
      </c>
      <c r="BF492" s="432">
        <f t="shared" si="109"/>
        <v>21</v>
      </c>
      <c r="BG492" s="432">
        <f t="shared" si="109"/>
        <v>3</v>
      </c>
      <c r="BH492" s="432">
        <f t="shared" si="109"/>
        <v>4</v>
      </c>
      <c r="BI492" s="432">
        <f t="shared" si="109"/>
        <v>2</v>
      </c>
      <c r="BJ492" s="432">
        <f t="shared" si="109"/>
        <v>3</v>
      </c>
      <c r="BK492" s="432">
        <f t="shared" si="109"/>
        <v>3</v>
      </c>
      <c r="BL492" s="432">
        <f t="shared" si="109"/>
        <v>4</v>
      </c>
      <c r="BM492" s="432">
        <f t="shared" si="109"/>
        <v>1</v>
      </c>
      <c r="BN492" s="432">
        <f t="shared" si="109"/>
        <v>2</v>
      </c>
      <c r="BO492" s="432">
        <f t="shared" si="109"/>
        <v>1</v>
      </c>
      <c r="BP492" s="432">
        <f t="shared" si="109"/>
        <v>2</v>
      </c>
      <c r="BQ492" s="432">
        <f t="shared" ref="BQ492:DO492" si="110">SUM(BQ370+BQ412+BQ460+BQ484)</f>
        <v>5</v>
      </c>
      <c r="BR492" s="432">
        <f t="shared" si="110"/>
        <v>12</v>
      </c>
      <c r="BS492" s="432">
        <f t="shared" si="110"/>
        <v>3</v>
      </c>
      <c r="BT492" s="432">
        <f t="shared" si="110"/>
        <v>5</v>
      </c>
      <c r="BU492" s="432">
        <f t="shared" si="110"/>
        <v>5</v>
      </c>
      <c r="BV492" s="432">
        <f t="shared" si="110"/>
        <v>2</v>
      </c>
      <c r="BW492" s="432">
        <f t="shared" si="110"/>
        <v>4</v>
      </c>
      <c r="BX492" s="432">
        <f t="shared" si="110"/>
        <v>6</v>
      </c>
      <c r="BY492" s="432">
        <f t="shared" si="110"/>
        <v>23</v>
      </c>
      <c r="BZ492" s="432">
        <f t="shared" si="110"/>
        <v>2</v>
      </c>
      <c r="CA492" s="432">
        <f t="shared" si="110"/>
        <v>9</v>
      </c>
      <c r="CB492" s="432">
        <f t="shared" si="110"/>
        <v>1</v>
      </c>
      <c r="CC492" s="432">
        <f t="shared" si="110"/>
        <v>7</v>
      </c>
      <c r="CD492" s="432">
        <f t="shared" si="110"/>
        <v>1</v>
      </c>
      <c r="CE492" s="432">
        <f t="shared" si="110"/>
        <v>13</v>
      </c>
      <c r="CF492" s="432">
        <f t="shared" si="110"/>
        <v>13</v>
      </c>
      <c r="CG492" s="432">
        <f t="shared" si="110"/>
        <v>14</v>
      </c>
      <c r="CH492" s="432">
        <f t="shared" si="110"/>
        <v>11</v>
      </c>
      <c r="CI492" s="432">
        <f t="shared" si="110"/>
        <v>6</v>
      </c>
      <c r="CJ492" s="432">
        <f t="shared" si="110"/>
        <v>4</v>
      </c>
      <c r="CK492" s="432">
        <f t="shared" si="110"/>
        <v>1</v>
      </c>
      <c r="CL492" s="432">
        <f t="shared" si="110"/>
        <v>2</v>
      </c>
      <c r="CM492" s="432">
        <f t="shared" si="110"/>
        <v>1</v>
      </c>
      <c r="CN492" s="432">
        <f t="shared" si="110"/>
        <v>2</v>
      </c>
      <c r="CO492" s="432">
        <f t="shared" si="110"/>
        <v>1</v>
      </c>
      <c r="CP492" s="432">
        <f t="shared" si="110"/>
        <v>4</v>
      </c>
      <c r="CQ492" s="432">
        <f t="shared" si="110"/>
        <v>2</v>
      </c>
      <c r="CR492" s="432">
        <f t="shared" si="110"/>
        <v>10</v>
      </c>
      <c r="CS492" s="432">
        <f t="shared" si="110"/>
        <v>2</v>
      </c>
      <c r="CT492" s="432">
        <f t="shared" si="110"/>
        <v>1</v>
      </c>
      <c r="CU492" s="432">
        <f t="shared" si="110"/>
        <v>1</v>
      </c>
      <c r="CV492" s="432">
        <f t="shared" si="110"/>
        <v>1</v>
      </c>
      <c r="CW492" s="432">
        <f t="shared" si="110"/>
        <v>1</v>
      </c>
      <c r="CX492" s="432">
        <f t="shared" si="110"/>
        <v>5</v>
      </c>
      <c r="CY492" s="432">
        <f t="shared" si="110"/>
        <v>9</v>
      </c>
      <c r="CZ492" s="432">
        <f t="shared" si="110"/>
        <v>1</v>
      </c>
      <c r="DA492" s="432">
        <f t="shared" si="110"/>
        <v>1</v>
      </c>
      <c r="DB492" s="432">
        <f t="shared" si="110"/>
        <v>1</v>
      </c>
      <c r="DC492" s="432">
        <f t="shared" si="110"/>
        <v>1</v>
      </c>
      <c r="DD492" s="432">
        <f t="shared" si="110"/>
        <v>3</v>
      </c>
      <c r="DE492" s="432">
        <f t="shared" si="110"/>
        <v>2</v>
      </c>
      <c r="DF492" s="432">
        <f t="shared" si="110"/>
        <v>3657</v>
      </c>
      <c r="DG492" s="432">
        <f t="shared" si="110"/>
        <v>200</v>
      </c>
      <c r="DH492" s="432">
        <f t="shared" si="110"/>
        <v>107</v>
      </c>
      <c r="DI492" s="432">
        <f t="shared" si="110"/>
        <v>1490</v>
      </c>
      <c r="DJ492" s="432">
        <f t="shared" si="110"/>
        <v>125</v>
      </c>
      <c r="DK492" s="432">
        <f t="shared" si="110"/>
        <v>127</v>
      </c>
      <c r="DL492" s="432">
        <f t="shared" si="110"/>
        <v>5147</v>
      </c>
      <c r="DM492" s="432">
        <f t="shared" si="110"/>
        <v>246</v>
      </c>
      <c r="DN492" s="432">
        <f t="shared" si="110"/>
        <v>967</v>
      </c>
      <c r="DO492" s="432">
        <f t="shared" si="110"/>
        <v>357</v>
      </c>
    </row>
    <row r="493" spans="1:122" ht="17.25" thickTop="1">
      <c r="AT493" s="433"/>
      <c r="AU493" s="433"/>
    </row>
    <row r="497" spans="1:128">
      <c r="B497" s="317" t="s">
        <v>1054</v>
      </c>
    </row>
    <row r="498" spans="1:128">
      <c r="B498" s="654"/>
    </row>
    <row r="499" spans="1:128">
      <c r="B499" s="654"/>
    </row>
    <row r="500" spans="1:128">
      <c r="B500" s="654"/>
      <c r="BF500" s="327" t="s">
        <v>215</v>
      </c>
      <c r="BG500" s="327" t="s">
        <v>214</v>
      </c>
      <c r="BH500" s="327" t="s">
        <v>213</v>
      </c>
      <c r="BI500" s="327"/>
      <c r="BJ500" s="327"/>
      <c r="BK500" s="327"/>
      <c r="BL500" s="327"/>
      <c r="BM500" s="327"/>
      <c r="BN500" s="327"/>
      <c r="BO500" s="327"/>
      <c r="BP500" s="327"/>
      <c r="BQ500" s="327"/>
      <c r="BR500" s="327"/>
      <c r="BS500" s="327"/>
      <c r="BT500" s="327"/>
      <c r="BU500" s="327"/>
      <c r="BV500" s="327"/>
      <c r="BW500" s="327"/>
      <c r="BX500" s="327"/>
      <c r="BY500" s="327"/>
      <c r="BZ500" s="328"/>
      <c r="CA500" s="328"/>
      <c r="CB500" s="328"/>
      <c r="CC500" s="328"/>
      <c r="CD500" s="328"/>
      <c r="CE500" s="315" t="s">
        <v>211</v>
      </c>
      <c r="CF500" s="315" t="s">
        <v>210</v>
      </c>
      <c r="CG500" s="315"/>
      <c r="CH500" s="315"/>
      <c r="CI500" s="315"/>
      <c r="CJ500" s="315"/>
      <c r="CK500" s="315"/>
      <c r="CL500" s="315"/>
      <c r="CM500" s="315"/>
      <c r="CN500" s="315"/>
      <c r="CO500" s="315"/>
      <c r="CP500" s="315"/>
      <c r="CQ500" s="315"/>
      <c r="CR500" s="315"/>
      <c r="CS500" s="315"/>
      <c r="CT500" s="315"/>
      <c r="CU500" s="315"/>
      <c r="CV500" s="315"/>
      <c r="CW500" s="315"/>
      <c r="CX500" s="315"/>
      <c r="CY500" s="321"/>
      <c r="CZ500" s="321"/>
      <c r="DA500" s="321"/>
      <c r="DB500" s="321"/>
      <c r="DC500" s="321"/>
      <c r="DD500" s="321"/>
      <c r="DE500" s="321"/>
      <c r="DF500" s="321"/>
      <c r="DG500" s="321"/>
    </row>
    <row r="501" spans="1:128">
      <c r="B501" s="654"/>
      <c r="BF501" s="323">
        <f>4.55*2.6</f>
        <v>11.83</v>
      </c>
      <c r="BG501" s="313">
        <f>4.15*2.5</f>
        <v>10.375</v>
      </c>
      <c r="BH501" s="323">
        <f>4.55*2.5</f>
        <v>11.375</v>
      </c>
      <c r="BI501" s="313"/>
      <c r="BJ501" s="313"/>
      <c r="BK501" s="313"/>
      <c r="BL501" s="313"/>
      <c r="BM501" s="313"/>
      <c r="BN501" s="313"/>
      <c r="BO501" s="313"/>
      <c r="BP501" s="313"/>
      <c r="BQ501" s="313"/>
      <c r="BR501" s="313"/>
      <c r="BS501" s="313"/>
      <c r="BT501" s="313"/>
      <c r="BU501" s="313"/>
      <c r="BV501" s="313"/>
      <c r="BW501" s="313"/>
      <c r="BX501" s="313"/>
      <c r="BY501" s="313"/>
      <c r="BZ501" s="313"/>
      <c r="CA501" s="313"/>
      <c r="CB501" s="313"/>
      <c r="CC501" s="313"/>
      <c r="CD501" s="313"/>
      <c r="CE501" s="323">
        <f>4.25*1.65</f>
        <v>7.0124999999999993</v>
      </c>
      <c r="CF501" s="323">
        <f>4.25*1.65</f>
        <v>7.0124999999999993</v>
      </c>
      <c r="CG501" s="323"/>
      <c r="CH501" s="313"/>
      <c r="CI501" s="313"/>
      <c r="CJ501" s="323"/>
      <c r="CK501" s="323"/>
      <c r="CL501" s="323"/>
      <c r="CM501" s="323"/>
      <c r="CN501" s="313"/>
      <c r="CO501" s="323"/>
      <c r="CP501" s="323"/>
      <c r="CQ501" s="323"/>
      <c r="CR501" s="323"/>
      <c r="CS501" s="313"/>
      <c r="CT501" s="313"/>
      <c r="CU501" s="323"/>
      <c r="CV501" s="323"/>
      <c r="CW501" s="323"/>
      <c r="CX501" s="323"/>
      <c r="CY501" s="323"/>
      <c r="CZ501" s="323"/>
      <c r="DA501" s="323"/>
      <c r="DB501" s="323"/>
      <c r="DC501" s="323"/>
      <c r="DD501" s="323"/>
      <c r="DE501" s="323"/>
      <c r="DF501" s="323"/>
      <c r="DG501" s="323"/>
    </row>
    <row r="502" spans="1:128">
      <c r="B502" s="654"/>
      <c r="BF502" s="325">
        <v>4.55</v>
      </c>
      <c r="BG502" s="325">
        <v>4.1500000000000004</v>
      </c>
      <c r="BH502" s="325">
        <v>4.55</v>
      </c>
      <c r="BI502" s="325"/>
      <c r="BJ502" s="325"/>
      <c r="BK502" s="325"/>
      <c r="BL502" s="325"/>
      <c r="BM502" s="325"/>
      <c r="BN502" s="325"/>
      <c r="BO502" s="325"/>
      <c r="BP502" s="325"/>
      <c r="BQ502" s="325"/>
      <c r="BR502" s="325"/>
      <c r="BS502" s="325"/>
      <c r="BT502" s="325"/>
      <c r="BU502" s="325"/>
      <c r="BV502" s="325"/>
      <c r="BW502" s="325"/>
      <c r="BX502" s="325"/>
      <c r="BY502" s="325"/>
      <c r="BZ502" s="325"/>
      <c r="CA502" s="325"/>
      <c r="CB502" s="325"/>
      <c r="CC502" s="325"/>
      <c r="CD502" s="325"/>
      <c r="CE502" s="339">
        <f>4.25*2</f>
        <v>8.5</v>
      </c>
      <c r="CF502" s="339">
        <f>4.25*2</f>
        <v>8.5</v>
      </c>
      <c r="CG502" s="339"/>
      <c r="CH502" s="325"/>
      <c r="CI502" s="325"/>
      <c r="CJ502" s="339"/>
      <c r="CK502" s="339"/>
      <c r="CL502" s="339"/>
      <c r="CM502" s="339"/>
      <c r="CN502" s="325"/>
      <c r="CO502" s="339"/>
      <c r="CP502" s="339"/>
      <c r="CQ502" s="339"/>
      <c r="CR502" s="339"/>
      <c r="CS502" s="325"/>
      <c r="CT502" s="325"/>
      <c r="CU502" s="339"/>
      <c r="CV502" s="339"/>
      <c r="CW502" s="339"/>
      <c r="CX502" s="325"/>
      <c r="CY502" s="325"/>
      <c r="CZ502" s="325"/>
      <c r="DA502" s="325"/>
      <c r="DB502" s="325"/>
      <c r="DC502" s="325"/>
      <c r="DD502" s="325"/>
      <c r="DE502" s="325"/>
      <c r="DF502" s="325"/>
      <c r="DG502" s="325"/>
    </row>
    <row r="503" spans="1:128">
      <c r="B503" s="654"/>
      <c r="BF503" s="325">
        <f>2.6*2</f>
        <v>5.2</v>
      </c>
      <c r="BG503" s="325">
        <f>2.5*2</f>
        <v>5</v>
      </c>
      <c r="BH503" s="325">
        <f>2.5*2</f>
        <v>5</v>
      </c>
      <c r="BI503" s="325"/>
      <c r="BJ503" s="325"/>
      <c r="BK503" s="325"/>
      <c r="BL503" s="325"/>
      <c r="BM503" s="325"/>
      <c r="BN503" s="325"/>
      <c r="BO503" s="325"/>
      <c r="BP503" s="325"/>
      <c r="BQ503" s="325"/>
      <c r="BR503" s="325"/>
      <c r="BS503" s="325"/>
      <c r="BT503" s="325"/>
      <c r="BU503" s="325"/>
      <c r="BV503" s="325"/>
      <c r="BW503" s="325"/>
      <c r="BX503" s="325"/>
      <c r="BY503" s="325"/>
      <c r="BZ503" s="325"/>
      <c r="CA503" s="325"/>
      <c r="CB503" s="325"/>
      <c r="CC503" s="325"/>
      <c r="CD503" s="325"/>
      <c r="CE503" s="339">
        <f>1.65*2</f>
        <v>3.3</v>
      </c>
      <c r="CF503" s="339">
        <f>1.65*2</f>
        <v>3.3</v>
      </c>
      <c r="CG503" s="339"/>
      <c r="CH503" s="339"/>
      <c r="CI503" s="339"/>
      <c r="CJ503" s="339"/>
      <c r="CK503" s="339"/>
      <c r="CL503" s="339"/>
      <c r="CM503" s="339"/>
      <c r="CN503" s="325"/>
      <c r="CO503" s="339"/>
      <c r="CP503" s="339"/>
      <c r="CQ503" s="339"/>
      <c r="CR503" s="339"/>
      <c r="CS503" s="325"/>
      <c r="CT503" s="339"/>
      <c r="CU503" s="339"/>
      <c r="CV503" s="339"/>
      <c r="CW503" s="339"/>
      <c r="CX503" s="339"/>
      <c r="CY503" s="325"/>
      <c r="CZ503" s="325"/>
      <c r="DA503" s="325"/>
      <c r="DB503" s="325"/>
      <c r="DC503" s="325"/>
      <c r="DD503" s="325"/>
      <c r="DE503" s="325"/>
      <c r="DF503" s="325"/>
      <c r="DG503" s="325"/>
    </row>
    <row r="504" spans="1:128">
      <c r="B504" s="654"/>
      <c r="BF504" s="329" t="s">
        <v>186</v>
      </c>
      <c r="BG504" s="329" t="s">
        <v>186</v>
      </c>
      <c r="BH504" s="329" t="s">
        <v>186</v>
      </c>
      <c r="BI504" s="329"/>
      <c r="BJ504" s="329"/>
      <c r="BK504" s="329"/>
      <c r="BL504" s="329"/>
      <c r="BM504" s="329"/>
      <c r="BN504" s="329"/>
      <c r="BO504" s="329"/>
      <c r="BP504" s="329"/>
      <c r="BQ504" s="329"/>
      <c r="BR504" s="329"/>
      <c r="BS504" s="329"/>
      <c r="BT504" s="329"/>
      <c r="BU504" s="329"/>
      <c r="BV504" s="329"/>
      <c r="BW504" s="329"/>
      <c r="BX504" s="329"/>
      <c r="BY504" s="329"/>
      <c r="BZ504" s="329"/>
      <c r="CA504" s="329"/>
      <c r="CB504" s="329"/>
      <c r="CC504" s="329"/>
      <c r="CD504" s="329"/>
      <c r="CE504" s="329" t="s">
        <v>186</v>
      </c>
      <c r="CF504" s="329" t="s">
        <v>186</v>
      </c>
      <c r="CG504" s="329"/>
      <c r="CH504" s="329"/>
      <c r="CI504" s="329"/>
      <c r="CJ504" s="329"/>
      <c r="CK504" s="329"/>
      <c r="CL504" s="329"/>
      <c r="CM504" s="329"/>
      <c r="CN504" s="329"/>
      <c r="CO504" s="329"/>
      <c r="CP504" s="329"/>
      <c r="CQ504" s="329"/>
      <c r="CR504" s="329"/>
      <c r="CS504" s="329"/>
      <c r="CT504" s="329"/>
      <c r="CU504" s="329"/>
      <c r="CV504" s="329"/>
      <c r="CW504" s="329"/>
      <c r="CX504" s="329"/>
      <c r="CY504" s="329"/>
      <c r="CZ504" s="329"/>
      <c r="DA504" s="329"/>
      <c r="DB504" s="329"/>
      <c r="DC504" s="329"/>
      <c r="DD504" s="329"/>
      <c r="DE504" s="329"/>
      <c r="DF504" s="329"/>
      <c r="DG504" s="329"/>
    </row>
    <row r="505" spans="1:128" ht="20.25">
      <c r="A505" s="343"/>
      <c r="B505" s="344"/>
      <c r="C505" s="345"/>
      <c r="D505" s="346"/>
      <c r="E505" s="346"/>
      <c r="F505" s="346"/>
      <c r="G505" s="346"/>
      <c r="H505" s="346"/>
      <c r="I505" s="346"/>
      <c r="J505" s="346"/>
      <c r="K505" s="346"/>
      <c r="L505" s="346"/>
      <c r="M505" s="346"/>
      <c r="N505" s="346"/>
      <c r="O505" s="346"/>
      <c r="P505" s="347"/>
      <c r="Q505" s="347"/>
      <c r="R505" s="347"/>
      <c r="S505" s="347"/>
      <c r="T505" s="348"/>
      <c r="U505" s="349"/>
      <c r="V505" s="349"/>
      <c r="W505" s="349"/>
      <c r="X505" s="345"/>
      <c r="Y505" s="345"/>
      <c r="Z505" s="345"/>
      <c r="AA505" s="345"/>
      <c r="AB505" s="345"/>
      <c r="AC505" s="345"/>
      <c r="AD505" s="345"/>
      <c r="AE505" s="345"/>
      <c r="AF505" s="345"/>
      <c r="AG505" s="345"/>
      <c r="AH505" s="345"/>
      <c r="AI505" s="345"/>
      <c r="AJ505" s="345"/>
      <c r="AK505" s="345"/>
      <c r="AL505" s="345"/>
      <c r="AM505" s="345"/>
      <c r="AN505" s="345"/>
      <c r="AO505" s="345"/>
      <c r="AP505" s="345"/>
      <c r="AQ505" s="345"/>
      <c r="AR505" s="345"/>
      <c r="AS505" s="350"/>
      <c r="AT505" s="351"/>
      <c r="AU505" s="349"/>
      <c r="AV505" s="345"/>
      <c r="AW505" s="345"/>
      <c r="AX505" s="345"/>
      <c r="AY505" s="351"/>
      <c r="AZ505" s="349"/>
      <c r="BA505" s="345"/>
      <c r="BB505" s="350"/>
      <c r="BC505" s="351"/>
      <c r="BD505" s="352"/>
      <c r="BE505" s="353"/>
      <c r="BF505" s="353"/>
      <c r="BG505" s="353"/>
      <c r="BH505" s="353"/>
      <c r="BI505" s="353"/>
      <c r="BJ505" s="353"/>
      <c r="BK505" s="353"/>
      <c r="BL505" s="353"/>
      <c r="BM505" s="353"/>
      <c r="BN505" s="353"/>
      <c r="BO505" s="353"/>
      <c r="BP505" s="353"/>
      <c r="BQ505" s="353"/>
      <c r="BR505" s="353"/>
      <c r="BS505" s="353"/>
      <c r="BT505" s="353"/>
      <c r="BU505" s="353"/>
      <c r="BV505" s="353"/>
      <c r="BW505" s="353"/>
      <c r="BX505" s="353"/>
      <c r="BY505" s="353"/>
      <c r="BZ505" s="353"/>
      <c r="CA505" s="353"/>
      <c r="CB505" s="353"/>
      <c r="CC505" s="353"/>
      <c r="CD505" s="353"/>
      <c r="CE505" s="353"/>
      <c r="CF505" s="353"/>
      <c r="CG505" s="353"/>
      <c r="CH505" s="353"/>
      <c r="CI505" s="353"/>
      <c r="CJ505" s="353"/>
      <c r="CK505" s="353"/>
      <c r="CL505" s="353"/>
      <c r="CM505" s="353"/>
      <c r="CN505" s="353"/>
      <c r="CO505" s="353"/>
      <c r="CP505" s="353"/>
      <c r="CQ505" s="353"/>
      <c r="CR505" s="353"/>
      <c r="CS505" s="353"/>
      <c r="CT505" s="353"/>
      <c r="CU505" s="353"/>
      <c r="CV505" s="353"/>
      <c r="CW505" s="353"/>
      <c r="CX505" s="353"/>
      <c r="CY505" s="353"/>
      <c r="CZ505" s="353"/>
      <c r="DA505" s="353"/>
      <c r="DB505" s="353"/>
      <c r="DC505" s="353"/>
      <c r="DD505" s="353"/>
      <c r="DE505" s="353"/>
      <c r="DF505" s="353"/>
      <c r="DG505" s="353"/>
      <c r="DH505" s="353"/>
      <c r="DI505" s="353"/>
      <c r="DJ505" s="353"/>
      <c r="DK505" s="353"/>
      <c r="DL505" s="353"/>
      <c r="DM505" s="353"/>
      <c r="DN505" s="353"/>
      <c r="DO505" s="353"/>
    </row>
    <row r="506" spans="1:128">
      <c r="A506" s="355"/>
      <c r="B506" s="356" t="s">
        <v>185</v>
      </c>
      <c r="C506" s="357"/>
      <c r="D506" s="358"/>
      <c r="E506" s="358"/>
      <c r="F506" s="358"/>
      <c r="G506" s="358"/>
      <c r="H506" s="358"/>
      <c r="I506" s="358"/>
      <c r="J506" s="358"/>
      <c r="K506" s="358"/>
      <c r="L506" s="358"/>
      <c r="M506" s="358"/>
      <c r="N506" s="358"/>
      <c r="O506" s="358"/>
      <c r="P506" s="359"/>
      <c r="Q506" s="359"/>
      <c r="R506" s="359"/>
      <c r="S506" s="359"/>
      <c r="T506" s="360"/>
      <c r="U506" s="361"/>
      <c r="V506" s="361"/>
      <c r="W506" s="361"/>
      <c r="X506" s="357"/>
      <c r="Y506" s="357"/>
      <c r="Z506" s="357"/>
      <c r="AA506" s="357"/>
      <c r="AB506" s="357"/>
      <c r="AC506" s="357"/>
      <c r="AD506" s="357"/>
      <c r="AE506" s="357"/>
      <c r="AF506" s="357"/>
      <c r="AG506" s="357"/>
      <c r="AH506" s="357"/>
      <c r="AI506" s="357"/>
      <c r="AJ506" s="357"/>
      <c r="AK506" s="357"/>
      <c r="AL506" s="357"/>
      <c r="AM506" s="357"/>
      <c r="AN506" s="357"/>
      <c r="AO506" s="357"/>
      <c r="AP506" s="357"/>
      <c r="AQ506" s="357"/>
      <c r="AR506" s="357"/>
      <c r="AS506" s="362"/>
      <c r="AT506" s="360"/>
      <c r="AU506" s="363"/>
      <c r="AV506" s="364"/>
      <c r="AW506" s="364"/>
      <c r="AX506" s="364"/>
      <c r="AY506" s="365"/>
      <c r="AZ506" s="363"/>
      <c r="BA506" s="364"/>
      <c r="BB506" s="395"/>
      <c r="BC506" s="365"/>
      <c r="BD506" s="366"/>
      <c r="BE506" s="358"/>
      <c r="BF506" s="358"/>
      <c r="BG506" s="358"/>
      <c r="BH506" s="358"/>
      <c r="BI506" s="358"/>
      <c r="BJ506" s="358"/>
      <c r="BK506" s="358"/>
      <c r="BL506" s="358"/>
      <c r="BM506" s="358"/>
      <c r="BN506" s="358"/>
      <c r="BO506" s="358"/>
      <c r="BP506" s="358"/>
      <c r="BQ506" s="358"/>
      <c r="BR506" s="358"/>
      <c r="BS506" s="358"/>
      <c r="BT506" s="358"/>
      <c r="BU506" s="358"/>
      <c r="BV506" s="358"/>
      <c r="BW506" s="358"/>
      <c r="BX506" s="358"/>
      <c r="BY506" s="358"/>
      <c r="BZ506" s="358"/>
      <c r="CA506" s="358"/>
      <c r="CB506" s="358"/>
      <c r="CC506" s="358"/>
      <c r="CD506" s="358"/>
      <c r="CE506" s="358"/>
      <c r="CF506" s="358"/>
      <c r="CG506" s="358"/>
      <c r="CH506" s="358"/>
      <c r="CI506" s="358"/>
      <c r="CJ506" s="358"/>
      <c r="CK506" s="358"/>
      <c r="CL506" s="358"/>
      <c r="CM506" s="358"/>
      <c r="CN506" s="358"/>
      <c r="CO506" s="358"/>
      <c r="CP506" s="358"/>
      <c r="CQ506" s="358"/>
      <c r="CR506" s="358"/>
      <c r="CS506" s="358"/>
      <c r="CT506" s="358"/>
      <c r="CU506" s="358"/>
      <c r="CV506" s="358"/>
      <c r="CW506" s="358"/>
      <c r="CX506" s="358"/>
      <c r="CY506" s="358"/>
      <c r="CZ506" s="358"/>
      <c r="DA506" s="358"/>
      <c r="DB506" s="358"/>
      <c r="DC506" s="358"/>
      <c r="DD506" s="358"/>
      <c r="DE506" s="358"/>
      <c r="DF506" s="358"/>
      <c r="DG506" s="358"/>
      <c r="DH506" s="358"/>
      <c r="DI506" s="358"/>
      <c r="DJ506" s="358"/>
      <c r="DK506" s="358"/>
      <c r="DL506" s="358"/>
      <c r="DM506" s="358"/>
      <c r="DN506" s="358"/>
      <c r="DO506" s="358"/>
    </row>
    <row r="507" spans="1:128">
      <c r="A507" s="355"/>
      <c r="B507" s="366" t="s">
        <v>1468</v>
      </c>
      <c r="C507" s="357"/>
      <c r="D507" s="358"/>
      <c r="E507" s="358"/>
      <c r="F507" s="358"/>
      <c r="G507" s="358"/>
      <c r="H507" s="358">
        <f>ROUNDUP(280+((0.4*18.91)*2)+(3.4*2),0)</f>
        <v>302</v>
      </c>
      <c r="I507" s="358"/>
      <c r="J507" s="358"/>
      <c r="K507" s="358"/>
      <c r="L507" s="358"/>
      <c r="M507" s="358"/>
      <c r="N507" s="358"/>
      <c r="O507" s="358"/>
      <c r="P507" s="359"/>
      <c r="Q507" s="359"/>
      <c r="R507" s="359"/>
      <c r="S507" s="359"/>
      <c r="T507" s="360"/>
      <c r="U507" s="361"/>
      <c r="V507" s="361"/>
      <c r="W507" s="361"/>
      <c r="X507" s="357"/>
      <c r="Y507" s="357"/>
      <c r="Z507" s="357"/>
      <c r="AA507" s="357"/>
      <c r="AB507" s="357"/>
      <c r="AC507" s="357"/>
      <c r="AD507" s="357"/>
      <c r="AE507" s="357"/>
      <c r="AF507" s="357"/>
      <c r="AG507" s="357"/>
      <c r="AH507" s="357"/>
      <c r="AI507" s="357"/>
      <c r="AJ507" s="357"/>
      <c r="AK507" s="357"/>
      <c r="AL507" s="357"/>
      <c r="AM507" s="357"/>
      <c r="AN507" s="357"/>
      <c r="AO507" s="357"/>
      <c r="AP507" s="357"/>
      <c r="AQ507" s="357"/>
      <c r="AR507" s="357"/>
      <c r="AS507" s="362"/>
      <c r="AT507" s="360"/>
      <c r="AU507" s="363"/>
      <c r="AV507" s="364"/>
      <c r="AW507" s="364"/>
      <c r="AX507" s="364"/>
      <c r="AY507" s="365"/>
      <c r="AZ507" s="363"/>
      <c r="BA507" s="364"/>
      <c r="BB507" s="395"/>
      <c r="BC507" s="365">
        <f>SUM(AU507:AW507)</f>
        <v>0</v>
      </c>
      <c r="BD507" s="366"/>
      <c r="BE507" s="358"/>
      <c r="BF507" s="358"/>
      <c r="BG507" s="358"/>
      <c r="BH507" s="358"/>
      <c r="BI507" s="358"/>
      <c r="BJ507" s="358"/>
      <c r="BK507" s="358"/>
      <c r="BL507" s="358"/>
      <c r="BM507" s="358"/>
      <c r="BN507" s="358"/>
      <c r="BO507" s="358"/>
      <c r="BP507" s="358"/>
      <c r="BQ507" s="358"/>
      <c r="BR507" s="358"/>
      <c r="BS507" s="358"/>
      <c r="BT507" s="358"/>
      <c r="BU507" s="358"/>
      <c r="BV507" s="358"/>
      <c r="BW507" s="358"/>
      <c r="BX507" s="358"/>
      <c r="BY507" s="358"/>
      <c r="BZ507" s="358"/>
      <c r="CA507" s="358"/>
      <c r="CB507" s="358"/>
      <c r="CC507" s="358"/>
      <c r="CD507" s="358"/>
      <c r="CE507" s="358"/>
      <c r="CF507" s="358"/>
      <c r="CG507" s="358"/>
      <c r="CH507" s="358"/>
      <c r="CI507" s="358"/>
      <c r="CJ507" s="358"/>
      <c r="CK507" s="358"/>
      <c r="CL507" s="358"/>
      <c r="CM507" s="358"/>
      <c r="CN507" s="358"/>
      <c r="CO507" s="358"/>
      <c r="CP507" s="358"/>
      <c r="CQ507" s="358"/>
      <c r="CR507" s="358"/>
      <c r="CS507" s="358"/>
      <c r="CT507" s="358"/>
      <c r="CU507" s="358"/>
      <c r="CV507" s="358"/>
      <c r="CW507" s="358"/>
      <c r="CX507" s="358"/>
      <c r="CY507" s="358"/>
      <c r="CZ507" s="358"/>
      <c r="DA507" s="358"/>
      <c r="DB507" s="358"/>
      <c r="DC507" s="358"/>
      <c r="DD507" s="358"/>
      <c r="DE507" s="358"/>
      <c r="DF507" s="358"/>
      <c r="DG507" s="358"/>
      <c r="DH507" s="358"/>
      <c r="DI507" s="358"/>
      <c r="DJ507" s="358"/>
      <c r="DK507" s="358"/>
      <c r="DL507" s="358"/>
      <c r="DM507" s="358"/>
      <c r="DN507" s="358"/>
      <c r="DO507" s="358"/>
    </row>
    <row r="508" spans="1:128">
      <c r="A508" s="373"/>
      <c r="B508" s="366" t="s">
        <v>1469</v>
      </c>
      <c r="C508" s="357"/>
      <c r="D508" s="357"/>
      <c r="E508" s="357"/>
      <c r="F508" s="357"/>
      <c r="G508" s="357"/>
      <c r="H508" s="357">
        <v>150</v>
      </c>
      <c r="I508" s="357"/>
      <c r="J508" s="357"/>
      <c r="K508" s="357"/>
      <c r="L508" s="357"/>
      <c r="M508" s="357"/>
      <c r="N508" s="357"/>
      <c r="O508" s="357"/>
      <c r="P508" s="362"/>
      <c r="Q508" s="362"/>
      <c r="R508" s="362"/>
      <c r="S508" s="362"/>
      <c r="T508" s="360"/>
      <c r="U508" s="361">
        <f>ROUNDUP((50.7*4.3)-((BF501*2)+(BG501*2)+(BH501*4)+(CF501*2)),0)</f>
        <v>115</v>
      </c>
      <c r="V508" s="361"/>
      <c r="W508" s="361"/>
      <c r="X508" s="357"/>
      <c r="Y508" s="357"/>
      <c r="Z508" s="357"/>
      <c r="AA508" s="357"/>
      <c r="AB508" s="357"/>
      <c r="AC508" s="357">
        <f>ROUNDUP(((9.75*2)*4.5)-((BF501*2)+(CF501*2)),0)</f>
        <v>51</v>
      </c>
      <c r="AD508" s="357">
        <f>ROUNDUP(U508+((1*3.8)*2),0)</f>
        <v>123</v>
      </c>
      <c r="AE508" s="357"/>
      <c r="AF508" s="357"/>
      <c r="AG508" s="357"/>
      <c r="AH508" s="357"/>
      <c r="AI508" s="357"/>
      <c r="AJ508" s="357"/>
      <c r="AK508" s="357"/>
      <c r="AL508" s="357"/>
      <c r="AM508" s="357"/>
      <c r="AN508" s="357"/>
      <c r="AO508" s="357"/>
      <c r="AP508" s="357"/>
      <c r="AQ508" s="357">
        <f>ROUNDUP((BF503*2)+(BG503*2)+(BH503*4)+(CF503*2),0)</f>
        <v>47</v>
      </c>
      <c r="AR508" s="357"/>
      <c r="AS508" s="362"/>
      <c r="AT508" s="360">
        <f>ROUNDUP((BF502*2)+(BG502*2)+(BH502*4)+(CF502*2),0)</f>
        <v>53</v>
      </c>
      <c r="AU508" s="361"/>
      <c r="AV508" s="357"/>
      <c r="AW508" s="357">
        <f>H508</f>
        <v>150</v>
      </c>
      <c r="AX508" s="357"/>
      <c r="AY508" s="360"/>
      <c r="AZ508" s="361">
        <f>AD508</f>
        <v>123</v>
      </c>
      <c r="BA508" s="357">
        <f>AC508</f>
        <v>51</v>
      </c>
      <c r="BB508" s="362"/>
      <c r="BC508" s="365">
        <f>SUM(AU508:AW508)</f>
        <v>150</v>
      </c>
      <c r="BD508" s="380"/>
      <c r="BE508" s="381"/>
      <c r="BF508" s="381">
        <v>2</v>
      </c>
      <c r="BG508" s="381"/>
      <c r="BH508" s="381"/>
      <c r="BI508" s="381"/>
      <c r="BJ508" s="381"/>
      <c r="BK508" s="381"/>
      <c r="BL508" s="381"/>
      <c r="BM508" s="381"/>
      <c r="BN508" s="381"/>
      <c r="BO508" s="381"/>
      <c r="BP508" s="381"/>
      <c r="BQ508" s="381"/>
      <c r="BR508" s="381"/>
      <c r="BS508" s="381"/>
      <c r="BT508" s="381"/>
      <c r="BU508" s="381"/>
      <c r="BV508" s="381"/>
      <c r="BW508" s="381"/>
      <c r="BX508" s="381"/>
      <c r="BY508" s="381"/>
      <c r="BZ508" s="381"/>
      <c r="CA508" s="381"/>
      <c r="CB508" s="381"/>
      <c r="CC508" s="381"/>
      <c r="CD508" s="381"/>
      <c r="CE508" s="381"/>
      <c r="CF508" s="381">
        <v>2</v>
      </c>
      <c r="CG508" s="381"/>
      <c r="CH508" s="381"/>
      <c r="CI508" s="381"/>
      <c r="CJ508" s="381"/>
      <c r="CK508" s="381"/>
      <c r="CL508" s="381"/>
      <c r="CM508" s="381"/>
      <c r="CN508" s="381"/>
      <c r="CO508" s="381"/>
      <c r="CP508" s="381"/>
      <c r="CQ508" s="381"/>
      <c r="CR508" s="381"/>
      <c r="CS508" s="381"/>
      <c r="CT508" s="381"/>
      <c r="CU508" s="381"/>
      <c r="CV508" s="381"/>
      <c r="CW508" s="381"/>
      <c r="CX508" s="381"/>
      <c r="CY508" s="381"/>
      <c r="CZ508" s="381"/>
      <c r="DA508" s="381"/>
      <c r="DB508" s="381"/>
      <c r="DC508" s="381"/>
      <c r="DD508" s="381"/>
      <c r="DE508" s="381"/>
      <c r="DF508" s="381"/>
      <c r="DG508" s="381"/>
      <c r="DH508" s="381"/>
      <c r="DI508" s="381"/>
      <c r="DJ508" s="381"/>
      <c r="DK508" s="381"/>
      <c r="DL508" s="381"/>
      <c r="DM508" s="381"/>
      <c r="DN508" s="381"/>
      <c r="DO508" s="381"/>
      <c r="DP508" s="309" t="s">
        <v>1285</v>
      </c>
      <c r="DQ508" s="309" t="s">
        <v>1466</v>
      </c>
    </row>
    <row r="509" spans="1:128">
      <c r="A509" s="373"/>
      <c r="B509" s="361" t="s">
        <v>1467</v>
      </c>
      <c r="C509" s="357">
        <f>ROUNDUP(25.82+25.82+50+50,0)</f>
        <v>152</v>
      </c>
      <c r="D509" s="357"/>
      <c r="E509" s="357"/>
      <c r="F509" s="357"/>
      <c r="G509" s="357"/>
      <c r="H509" s="357"/>
      <c r="I509" s="357"/>
      <c r="J509" s="357"/>
      <c r="K509" s="357"/>
      <c r="L509" s="357"/>
      <c r="M509" s="357"/>
      <c r="N509" s="357"/>
      <c r="O509" s="357"/>
      <c r="P509" s="362"/>
      <c r="Q509" s="362"/>
      <c r="R509" s="362"/>
      <c r="S509" s="362"/>
      <c r="T509" s="360"/>
      <c r="U509" s="361">
        <f>ROUNDUP((14.85*4)-(CE501*6),0)</f>
        <v>18</v>
      </c>
      <c r="V509" s="361"/>
      <c r="W509" s="361"/>
      <c r="X509" s="357"/>
      <c r="Y509" s="357"/>
      <c r="Z509" s="357"/>
      <c r="AA509" s="357"/>
      <c r="AB509" s="357"/>
      <c r="AC509" s="357">
        <f>ROUNDUP((71*4.5)-((BF501*2)+(CE501*6)+(CF501*2)),0)</f>
        <v>240</v>
      </c>
      <c r="AD509" s="357">
        <f>ROUNDUP(((((20.4*2)+(30.6*2))*4.3)-((BG501*2)+(BH501*4)+CE501*6)),0)</f>
        <v>331</v>
      </c>
      <c r="AE509" s="357"/>
      <c r="AF509" s="357"/>
      <c r="AG509" s="357"/>
      <c r="AH509" s="357"/>
      <c r="AI509" s="357"/>
      <c r="AJ509" s="357"/>
      <c r="AK509" s="357"/>
      <c r="AL509" s="357"/>
      <c r="AM509" s="357"/>
      <c r="AN509" s="357"/>
      <c r="AO509" s="357"/>
      <c r="AP509" s="357"/>
      <c r="AQ509" s="357">
        <f>ROUNDUP(CE503*6,0)</f>
        <v>20</v>
      </c>
      <c r="AR509" s="357"/>
      <c r="AS509" s="362"/>
      <c r="AT509" s="360">
        <f>ROUNDUP(CE502*6,0)</f>
        <v>51</v>
      </c>
      <c r="AU509" s="361"/>
      <c r="AV509" s="357"/>
      <c r="AW509" s="357">
        <f>C509</f>
        <v>152</v>
      </c>
      <c r="AX509" s="357"/>
      <c r="AY509" s="360"/>
      <c r="AZ509" s="361">
        <f>AD509</f>
        <v>331</v>
      </c>
      <c r="BA509" s="357">
        <f>AC509</f>
        <v>240</v>
      </c>
      <c r="BB509" s="362"/>
      <c r="BC509" s="365">
        <f>SUM(AU509:AW509)</f>
        <v>152</v>
      </c>
      <c r="BD509" s="380"/>
      <c r="BE509" s="381"/>
      <c r="BF509" s="381"/>
      <c r="BG509" s="381">
        <v>2</v>
      </c>
      <c r="BH509" s="381">
        <v>4</v>
      </c>
      <c r="BI509" s="381"/>
      <c r="BJ509" s="381"/>
      <c r="BK509" s="381"/>
      <c r="BL509" s="381"/>
      <c r="BM509" s="381"/>
      <c r="BN509" s="381"/>
      <c r="BO509" s="381"/>
      <c r="BP509" s="381"/>
      <c r="BQ509" s="381"/>
      <c r="BR509" s="381"/>
      <c r="BS509" s="381"/>
      <c r="BT509" s="381"/>
      <c r="BU509" s="381"/>
      <c r="BV509" s="381"/>
      <c r="BW509" s="381"/>
      <c r="BX509" s="381"/>
      <c r="BY509" s="381"/>
      <c r="BZ509" s="381"/>
      <c r="CA509" s="381"/>
      <c r="CB509" s="381"/>
      <c r="CC509" s="381"/>
      <c r="CD509" s="381"/>
      <c r="CE509" s="381">
        <v>6</v>
      </c>
      <c r="CF509" s="381"/>
      <c r="CG509" s="381"/>
      <c r="CH509" s="381"/>
      <c r="CI509" s="381"/>
      <c r="CJ509" s="381"/>
      <c r="CK509" s="381"/>
      <c r="CL509" s="381"/>
      <c r="CM509" s="381"/>
      <c r="CN509" s="381"/>
      <c r="CO509" s="381"/>
      <c r="CP509" s="381"/>
      <c r="CQ509" s="381"/>
      <c r="CR509" s="381"/>
      <c r="CS509" s="381"/>
      <c r="CT509" s="381"/>
      <c r="CU509" s="381"/>
      <c r="CV509" s="381"/>
      <c r="CW509" s="381"/>
      <c r="CX509" s="381"/>
      <c r="CY509" s="381"/>
      <c r="CZ509" s="381"/>
      <c r="DA509" s="381"/>
      <c r="DB509" s="381"/>
      <c r="DC509" s="381"/>
      <c r="DD509" s="381"/>
      <c r="DE509" s="381"/>
      <c r="DF509" s="381"/>
      <c r="DG509" s="381"/>
      <c r="DH509" s="381"/>
      <c r="DI509" s="381"/>
      <c r="DJ509" s="381"/>
      <c r="DK509" s="381"/>
      <c r="DL509" s="381"/>
      <c r="DM509" s="381"/>
      <c r="DN509" s="381"/>
      <c r="DO509" s="381"/>
      <c r="DP509" s="310">
        <f>BF516</f>
        <v>2</v>
      </c>
      <c r="DV509" s="309" t="s">
        <v>2094</v>
      </c>
      <c r="DX509" s="708">
        <f>ROUNDUP(BF501*2500,0)</f>
        <v>29575</v>
      </c>
    </row>
    <row r="510" spans="1:128">
      <c r="A510" s="373"/>
      <c r="B510" s="361"/>
      <c r="C510" s="357"/>
      <c r="D510" s="357"/>
      <c r="E510" s="357"/>
      <c r="F510" s="357"/>
      <c r="G510" s="357"/>
      <c r="H510" s="357"/>
      <c r="I510" s="357"/>
      <c r="J510" s="357"/>
      <c r="K510" s="357"/>
      <c r="L510" s="357"/>
      <c r="M510" s="357"/>
      <c r="N510" s="357"/>
      <c r="O510" s="357"/>
      <c r="P510" s="362"/>
      <c r="Q510" s="362"/>
      <c r="R510" s="362"/>
      <c r="S510" s="362"/>
      <c r="T510" s="360"/>
      <c r="U510" s="361"/>
      <c r="V510" s="361"/>
      <c r="W510" s="361"/>
      <c r="X510" s="357"/>
      <c r="Y510" s="357"/>
      <c r="Z510" s="357"/>
      <c r="AA510" s="357"/>
      <c r="AB510" s="357"/>
      <c r="AC510" s="357"/>
      <c r="AD510" s="357"/>
      <c r="AE510" s="357"/>
      <c r="AF510" s="357"/>
      <c r="AG510" s="357"/>
      <c r="AH510" s="357"/>
      <c r="AI510" s="357"/>
      <c r="AJ510" s="357"/>
      <c r="AK510" s="357"/>
      <c r="AL510" s="357"/>
      <c r="AM510" s="357"/>
      <c r="AN510" s="357"/>
      <c r="AO510" s="357"/>
      <c r="AP510" s="357"/>
      <c r="AQ510" s="357"/>
      <c r="AR510" s="357"/>
      <c r="AS510" s="362"/>
      <c r="AT510" s="360"/>
      <c r="AU510" s="361"/>
      <c r="AV510" s="357"/>
      <c r="AW510" s="357"/>
      <c r="AX510" s="357"/>
      <c r="AY510" s="360"/>
      <c r="AZ510" s="361"/>
      <c r="BA510" s="357"/>
      <c r="BB510" s="362"/>
      <c r="BC510" s="365">
        <f>SUM(AU510:AW510)</f>
        <v>0</v>
      </c>
      <c r="BD510" s="380"/>
      <c r="BE510" s="381"/>
      <c r="BF510" s="381"/>
      <c r="BG510" s="381"/>
      <c r="BH510" s="381"/>
      <c r="BI510" s="381"/>
      <c r="BJ510" s="381"/>
      <c r="BK510" s="381"/>
      <c r="BL510" s="381"/>
      <c r="BM510" s="381"/>
      <c r="BN510" s="381"/>
      <c r="BO510" s="381"/>
      <c r="BP510" s="381"/>
      <c r="BQ510" s="381"/>
      <c r="BR510" s="381"/>
      <c r="BS510" s="381"/>
      <c r="BT510" s="381"/>
      <c r="BU510" s="381"/>
      <c r="BV510" s="381"/>
      <c r="BW510" s="381"/>
      <c r="BX510" s="381"/>
      <c r="BY510" s="381"/>
      <c r="BZ510" s="381"/>
      <c r="CA510" s="381"/>
      <c r="CB510" s="381"/>
      <c r="CC510" s="381"/>
      <c r="CD510" s="381"/>
      <c r="CE510" s="381"/>
      <c r="CF510" s="381"/>
      <c r="CG510" s="381"/>
      <c r="CH510" s="381"/>
      <c r="CI510" s="381"/>
      <c r="CJ510" s="381"/>
      <c r="CK510" s="381"/>
      <c r="CL510" s="381"/>
      <c r="CM510" s="381"/>
      <c r="CN510" s="381"/>
      <c r="CO510" s="381"/>
      <c r="CP510" s="381"/>
      <c r="CQ510" s="381"/>
      <c r="CR510" s="381"/>
      <c r="CS510" s="381"/>
      <c r="CT510" s="381"/>
      <c r="CU510" s="381"/>
      <c r="CV510" s="381"/>
      <c r="CW510" s="381"/>
      <c r="CX510" s="381"/>
      <c r="CY510" s="381"/>
      <c r="CZ510" s="381"/>
      <c r="DA510" s="381"/>
      <c r="DB510" s="381"/>
      <c r="DC510" s="381"/>
      <c r="DD510" s="381"/>
      <c r="DE510" s="381"/>
      <c r="DF510" s="381"/>
      <c r="DG510" s="381"/>
      <c r="DH510" s="381"/>
      <c r="DI510" s="381"/>
      <c r="DJ510" s="381"/>
      <c r="DK510" s="381"/>
      <c r="DL510" s="381"/>
      <c r="DM510" s="381"/>
      <c r="DN510" s="381"/>
      <c r="DO510" s="381"/>
      <c r="DP510" s="708">
        <f>BG516</f>
        <v>2</v>
      </c>
      <c r="DV510" s="309" t="s">
        <v>2095</v>
      </c>
      <c r="DX510" s="708">
        <f>ROUNDUP(BG501*2500,0)</f>
        <v>25938</v>
      </c>
    </row>
    <row r="511" spans="1:128">
      <c r="A511" s="373"/>
      <c r="B511" s="361"/>
      <c r="C511" s="357"/>
      <c r="D511" s="357"/>
      <c r="E511" s="357"/>
      <c r="F511" s="357"/>
      <c r="G511" s="357"/>
      <c r="H511" s="357"/>
      <c r="I511" s="357"/>
      <c r="J511" s="357"/>
      <c r="K511" s="357"/>
      <c r="L511" s="357"/>
      <c r="M511" s="357"/>
      <c r="N511" s="357"/>
      <c r="O511" s="357"/>
      <c r="P511" s="362"/>
      <c r="Q511" s="362"/>
      <c r="R511" s="362"/>
      <c r="S511" s="362"/>
      <c r="T511" s="360"/>
      <c r="U511" s="361"/>
      <c r="V511" s="361"/>
      <c r="W511" s="361"/>
      <c r="X511" s="357"/>
      <c r="Y511" s="357"/>
      <c r="Z511" s="357"/>
      <c r="AA511" s="357"/>
      <c r="AB511" s="357"/>
      <c r="AC511" s="357"/>
      <c r="AD511" s="357"/>
      <c r="AE511" s="357"/>
      <c r="AF511" s="357"/>
      <c r="AG511" s="357"/>
      <c r="AH511" s="357"/>
      <c r="AI511" s="357"/>
      <c r="AJ511" s="357"/>
      <c r="AK511" s="357"/>
      <c r="AL511" s="357"/>
      <c r="AM511" s="357"/>
      <c r="AN511" s="357"/>
      <c r="AO511" s="357"/>
      <c r="AP511" s="357"/>
      <c r="AQ511" s="357"/>
      <c r="AR511" s="357"/>
      <c r="AS511" s="362"/>
      <c r="AT511" s="360"/>
      <c r="AU511" s="361"/>
      <c r="AV511" s="357"/>
      <c r="AW511" s="357"/>
      <c r="AX511" s="357"/>
      <c r="AY511" s="360"/>
      <c r="AZ511" s="361"/>
      <c r="BA511" s="357"/>
      <c r="BB511" s="362"/>
      <c r="BC511" s="365">
        <f>SUM(AU511:AW511)</f>
        <v>0</v>
      </c>
      <c r="BD511" s="380"/>
      <c r="BE511" s="381"/>
      <c r="BF511" s="381"/>
      <c r="BG511" s="381"/>
      <c r="BH511" s="381"/>
      <c r="BI511" s="381"/>
      <c r="BJ511" s="381"/>
      <c r="BK511" s="381"/>
      <c r="BL511" s="381"/>
      <c r="BM511" s="381"/>
      <c r="BN511" s="381"/>
      <c r="BO511" s="381"/>
      <c r="BP511" s="381"/>
      <c r="BQ511" s="381"/>
      <c r="BR511" s="381"/>
      <c r="BS511" s="381"/>
      <c r="BT511" s="381"/>
      <c r="BU511" s="381"/>
      <c r="BV511" s="381"/>
      <c r="BW511" s="381"/>
      <c r="BX511" s="381"/>
      <c r="BY511" s="381"/>
      <c r="BZ511" s="381"/>
      <c r="CA511" s="381"/>
      <c r="CB511" s="381"/>
      <c r="CC511" s="381"/>
      <c r="CD511" s="381"/>
      <c r="CE511" s="381"/>
      <c r="CF511" s="381"/>
      <c r="CG511" s="381"/>
      <c r="CH511" s="381"/>
      <c r="CI511" s="381"/>
      <c r="CJ511" s="381"/>
      <c r="CK511" s="381"/>
      <c r="CL511" s="381"/>
      <c r="CM511" s="381"/>
      <c r="CN511" s="381"/>
      <c r="CO511" s="381"/>
      <c r="CP511" s="381"/>
      <c r="CQ511" s="381"/>
      <c r="CR511" s="381"/>
      <c r="CS511" s="381"/>
      <c r="CT511" s="381"/>
      <c r="CU511" s="381"/>
      <c r="CV511" s="381"/>
      <c r="CW511" s="381"/>
      <c r="CX511" s="381"/>
      <c r="CY511" s="381"/>
      <c r="CZ511" s="381"/>
      <c r="DA511" s="381"/>
      <c r="DB511" s="381"/>
      <c r="DC511" s="381"/>
      <c r="DD511" s="381"/>
      <c r="DE511" s="381"/>
      <c r="DF511" s="381"/>
      <c r="DG511" s="381"/>
      <c r="DH511" s="381"/>
      <c r="DI511" s="381"/>
      <c r="DJ511" s="381"/>
      <c r="DK511" s="381"/>
      <c r="DL511" s="381"/>
      <c r="DM511" s="381"/>
      <c r="DN511" s="381"/>
      <c r="DO511" s="381"/>
      <c r="DP511" s="310">
        <f>BH516</f>
        <v>4</v>
      </c>
      <c r="DV511" s="309" t="s">
        <v>2096</v>
      </c>
      <c r="DX511" s="708">
        <f>ROUNDUP(BH501*2500,0)</f>
        <v>28438</v>
      </c>
    </row>
    <row r="512" spans="1:128">
      <c r="A512" s="373"/>
      <c r="B512" s="361"/>
      <c r="C512" s="357"/>
      <c r="D512" s="357"/>
      <c r="E512" s="357"/>
      <c r="F512" s="357"/>
      <c r="G512" s="357"/>
      <c r="H512" s="357"/>
      <c r="I512" s="357"/>
      <c r="J512" s="357"/>
      <c r="K512" s="357"/>
      <c r="L512" s="357"/>
      <c r="M512" s="357"/>
      <c r="N512" s="357"/>
      <c r="O512" s="357"/>
      <c r="P512" s="362"/>
      <c r="Q512" s="362"/>
      <c r="R512" s="362"/>
      <c r="S512" s="362"/>
      <c r="T512" s="360"/>
      <c r="U512" s="361"/>
      <c r="V512" s="361"/>
      <c r="W512" s="361"/>
      <c r="X512" s="357"/>
      <c r="Y512" s="357"/>
      <c r="Z512" s="357"/>
      <c r="AA512" s="357"/>
      <c r="AB512" s="357"/>
      <c r="AC512" s="357"/>
      <c r="AD512" s="357"/>
      <c r="AE512" s="357"/>
      <c r="AF512" s="357"/>
      <c r="AG512" s="357"/>
      <c r="AH512" s="357"/>
      <c r="AI512" s="357"/>
      <c r="AJ512" s="357"/>
      <c r="AK512" s="357"/>
      <c r="AL512" s="357"/>
      <c r="AM512" s="357"/>
      <c r="AN512" s="357"/>
      <c r="AO512" s="357"/>
      <c r="AP512" s="357"/>
      <c r="AQ512" s="357"/>
      <c r="AR512" s="357"/>
      <c r="AS512" s="362"/>
      <c r="AT512" s="360"/>
      <c r="AU512" s="361"/>
      <c r="AV512" s="357"/>
      <c r="AW512" s="357"/>
      <c r="AX512" s="357"/>
      <c r="AY512" s="360"/>
      <c r="AZ512" s="361"/>
      <c r="BA512" s="357"/>
      <c r="BB512" s="362"/>
      <c r="BC512" s="360"/>
      <c r="BD512" s="380"/>
      <c r="BE512" s="381"/>
      <c r="BF512" s="381"/>
      <c r="BG512" s="381"/>
      <c r="BH512" s="381"/>
      <c r="BI512" s="381"/>
      <c r="BJ512" s="381"/>
      <c r="BK512" s="381"/>
      <c r="BL512" s="381"/>
      <c r="BM512" s="381"/>
      <c r="BN512" s="381"/>
      <c r="BO512" s="381"/>
      <c r="BP512" s="381"/>
      <c r="BQ512" s="381"/>
      <c r="BR512" s="381"/>
      <c r="BS512" s="381"/>
      <c r="BT512" s="381"/>
      <c r="BU512" s="381"/>
      <c r="BV512" s="381"/>
      <c r="BW512" s="381"/>
      <c r="BX512" s="381"/>
      <c r="BY512" s="381"/>
      <c r="BZ512" s="381"/>
      <c r="CA512" s="381"/>
      <c r="CB512" s="381"/>
      <c r="CC512" s="381"/>
      <c r="CD512" s="381"/>
      <c r="CE512" s="381"/>
      <c r="CF512" s="381"/>
      <c r="CG512" s="381"/>
      <c r="CH512" s="381"/>
      <c r="CI512" s="381"/>
      <c r="CJ512" s="381"/>
      <c r="CK512" s="381"/>
      <c r="CL512" s="381"/>
      <c r="CM512" s="381"/>
      <c r="CN512" s="381"/>
      <c r="CO512" s="381"/>
      <c r="CP512" s="381"/>
      <c r="CQ512" s="381"/>
      <c r="CR512" s="381"/>
      <c r="CS512" s="381"/>
      <c r="CT512" s="381"/>
      <c r="CU512" s="381"/>
      <c r="CV512" s="381"/>
      <c r="CW512" s="381"/>
      <c r="CX512" s="381"/>
      <c r="CY512" s="381"/>
      <c r="CZ512" s="381"/>
      <c r="DA512" s="381"/>
      <c r="DB512" s="381"/>
      <c r="DC512" s="381"/>
      <c r="DD512" s="381"/>
      <c r="DE512" s="381"/>
      <c r="DF512" s="381"/>
      <c r="DG512" s="381"/>
      <c r="DH512" s="381"/>
      <c r="DI512" s="381"/>
      <c r="DJ512" s="381"/>
      <c r="DK512" s="381"/>
      <c r="DL512" s="381"/>
      <c r="DM512" s="381"/>
      <c r="DN512" s="381"/>
      <c r="DO512" s="381"/>
      <c r="DX512" s="708"/>
    </row>
    <row r="513" spans="1:128">
      <c r="A513" s="373"/>
      <c r="B513" s="361"/>
      <c r="C513" s="357"/>
      <c r="D513" s="357"/>
      <c r="E513" s="357"/>
      <c r="F513" s="357"/>
      <c r="G513" s="357"/>
      <c r="H513" s="357"/>
      <c r="I513" s="357"/>
      <c r="J513" s="357"/>
      <c r="K513" s="357"/>
      <c r="L513" s="357"/>
      <c r="M513" s="357"/>
      <c r="N513" s="357"/>
      <c r="O513" s="357"/>
      <c r="P513" s="362"/>
      <c r="Q513" s="362"/>
      <c r="R513" s="362"/>
      <c r="S513" s="362"/>
      <c r="T513" s="360"/>
      <c r="U513" s="361"/>
      <c r="V513" s="361"/>
      <c r="W513" s="361"/>
      <c r="X513" s="357"/>
      <c r="Y513" s="357"/>
      <c r="Z513" s="357"/>
      <c r="AA513" s="357"/>
      <c r="AB513" s="357"/>
      <c r="AC513" s="357"/>
      <c r="AD513" s="357"/>
      <c r="AE513" s="357"/>
      <c r="AF513" s="357"/>
      <c r="AG513" s="357"/>
      <c r="AH513" s="357"/>
      <c r="AI513" s="357"/>
      <c r="AJ513" s="357"/>
      <c r="AK513" s="357"/>
      <c r="AL513" s="357"/>
      <c r="AM513" s="357"/>
      <c r="AN513" s="357"/>
      <c r="AO513" s="357"/>
      <c r="AP513" s="357"/>
      <c r="AQ513" s="357"/>
      <c r="AR513" s="357"/>
      <c r="AS513" s="362"/>
      <c r="AT513" s="360"/>
      <c r="AU513" s="361"/>
      <c r="AV513" s="357"/>
      <c r="AW513" s="357"/>
      <c r="AX513" s="357"/>
      <c r="AY513" s="360"/>
      <c r="AZ513" s="361"/>
      <c r="BA513" s="357"/>
      <c r="BB513" s="362"/>
      <c r="BC513" s="360"/>
      <c r="BD513" s="380"/>
      <c r="BE513" s="381"/>
      <c r="BF513" s="381"/>
      <c r="BG513" s="381"/>
      <c r="BH513" s="381"/>
      <c r="BI513" s="381"/>
      <c r="BJ513" s="381"/>
      <c r="BK513" s="381"/>
      <c r="BL513" s="381"/>
      <c r="BM513" s="381"/>
      <c r="BN513" s="381"/>
      <c r="BO513" s="381"/>
      <c r="BP513" s="381"/>
      <c r="BQ513" s="381"/>
      <c r="BR513" s="381"/>
      <c r="BS513" s="381"/>
      <c r="BT513" s="381"/>
      <c r="BU513" s="381"/>
      <c r="BV513" s="381"/>
      <c r="BW513" s="381"/>
      <c r="BX513" s="381"/>
      <c r="BY513" s="381"/>
      <c r="BZ513" s="381"/>
      <c r="CA513" s="381"/>
      <c r="CB513" s="381"/>
      <c r="CC513" s="381"/>
      <c r="CD513" s="381"/>
      <c r="CE513" s="381"/>
      <c r="CF513" s="381"/>
      <c r="CG513" s="381"/>
      <c r="CH513" s="381"/>
      <c r="CI513" s="381"/>
      <c r="CJ513" s="381"/>
      <c r="CK513" s="381"/>
      <c r="CL513" s="381"/>
      <c r="CM513" s="381"/>
      <c r="CN513" s="381"/>
      <c r="CO513" s="381"/>
      <c r="CP513" s="381"/>
      <c r="CQ513" s="381"/>
      <c r="CR513" s="381"/>
      <c r="CS513" s="381"/>
      <c r="CT513" s="381"/>
      <c r="CU513" s="381"/>
      <c r="CV513" s="381"/>
      <c r="CW513" s="381"/>
      <c r="CX513" s="381"/>
      <c r="CY513" s="381"/>
      <c r="CZ513" s="381"/>
      <c r="DA513" s="381"/>
      <c r="DB513" s="381"/>
      <c r="DC513" s="381"/>
      <c r="DD513" s="381"/>
      <c r="DE513" s="381"/>
      <c r="DF513" s="381"/>
      <c r="DG513" s="381"/>
      <c r="DH513" s="381"/>
      <c r="DI513" s="381"/>
      <c r="DJ513" s="381"/>
      <c r="DK513" s="381"/>
      <c r="DL513" s="381"/>
      <c r="DM513" s="381"/>
      <c r="DN513" s="381"/>
      <c r="DO513" s="381"/>
      <c r="DX513" s="708"/>
    </row>
    <row r="514" spans="1:128">
      <c r="A514" s="373"/>
      <c r="B514" s="361"/>
      <c r="C514" s="357"/>
      <c r="D514" s="357"/>
      <c r="E514" s="357"/>
      <c r="F514" s="357"/>
      <c r="G514" s="357"/>
      <c r="H514" s="357"/>
      <c r="I514" s="357"/>
      <c r="J514" s="357"/>
      <c r="K514" s="357"/>
      <c r="L514" s="357"/>
      <c r="M514" s="357"/>
      <c r="N514" s="357"/>
      <c r="O514" s="357"/>
      <c r="P514" s="362"/>
      <c r="Q514" s="362"/>
      <c r="R514" s="362"/>
      <c r="S514" s="362"/>
      <c r="T514" s="360"/>
      <c r="U514" s="361"/>
      <c r="V514" s="361"/>
      <c r="W514" s="361"/>
      <c r="X514" s="357"/>
      <c r="Y514" s="357"/>
      <c r="Z514" s="357"/>
      <c r="AA514" s="357"/>
      <c r="AB514" s="357"/>
      <c r="AC514" s="357"/>
      <c r="AD514" s="357"/>
      <c r="AE514" s="357"/>
      <c r="AF514" s="357"/>
      <c r="AG514" s="357"/>
      <c r="AH514" s="357"/>
      <c r="AI514" s="357"/>
      <c r="AJ514" s="357"/>
      <c r="AK514" s="357"/>
      <c r="AL514" s="357"/>
      <c r="AM514" s="357"/>
      <c r="AN514" s="357"/>
      <c r="AO514" s="357"/>
      <c r="AP514" s="357"/>
      <c r="AQ514" s="357"/>
      <c r="AR514" s="357"/>
      <c r="AS514" s="362"/>
      <c r="AT514" s="360"/>
      <c r="AU514" s="361"/>
      <c r="AV514" s="357"/>
      <c r="AW514" s="357"/>
      <c r="AX514" s="357"/>
      <c r="AY514" s="360"/>
      <c r="AZ514" s="361"/>
      <c r="BA514" s="357"/>
      <c r="BB514" s="362"/>
      <c r="BC514" s="360"/>
      <c r="BD514" s="380"/>
      <c r="BE514" s="381"/>
      <c r="BF514" s="381"/>
      <c r="BG514" s="381"/>
      <c r="BH514" s="381"/>
      <c r="BI514" s="381"/>
      <c r="BJ514" s="381"/>
      <c r="BK514" s="381"/>
      <c r="BL514" s="381"/>
      <c r="BM514" s="381"/>
      <c r="BN514" s="381"/>
      <c r="BO514" s="381"/>
      <c r="BP514" s="381"/>
      <c r="BQ514" s="381"/>
      <c r="BR514" s="381"/>
      <c r="BS514" s="381"/>
      <c r="BT514" s="381"/>
      <c r="BU514" s="381"/>
      <c r="BV514" s="381"/>
      <c r="BW514" s="381"/>
      <c r="BX514" s="381"/>
      <c r="BY514" s="381"/>
      <c r="BZ514" s="381"/>
      <c r="CA514" s="381"/>
      <c r="CB514" s="381"/>
      <c r="CC514" s="381"/>
      <c r="CD514" s="381"/>
      <c r="CE514" s="381"/>
      <c r="CF514" s="381"/>
      <c r="CG514" s="381"/>
      <c r="CH514" s="381"/>
      <c r="CI514" s="381"/>
      <c r="CJ514" s="381"/>
      <c r="CK514" s="381"/>
      <c r="CL514" s="381"/>
      <c r="CM514" s="381"/>
      <c r="CN514" s="381"/>
      <c r="CO514" s="381"/>
      <c r="CP514" s="381"/>
      <c r="CQ514" s="381"/>
      <c r="CR514" s="381"/>
      <c r="CS514" s="381"/>
      <c r="CT514" s="381"/>
      <c r="CU514" s="381"/>
      <c r="CV514" s="381"/>
      <c r="CW514" s="381"/>
      <c r="CX514" s="381"/>
      <c r="CY514" s="381"/>
      <c r="CZ514" s="381"/>
      <c r="DA514" s="381"/>
      <c r="DB514" s="381"/>
      <c r="DC514" s="381"/>
      <c r="DD514" s="381"/>
      <c r="DE514" s="381"/>
      <c r="DF514" s="381"/>
      <c r="DG514" s="381"/>
      <c r="DH514" s="381"/>
      <c r="DI514" s="381"/>
      <c r="DJ514" s="381"/>
      <c r="DK514" s="381"/>
      <c r="DL514" s="381"/>
      <c r="DM514" s="381"/>
      <c r="DN514" s="381"/>
      <c r="DO514" s="381"/>
      <c r="DP514" s="310">
        <f>CE516</f>
        <v>6</v>
      </c>
      <c r="DV514" s="309" t="s">
        <v>2097</v>
      </c>
      <c r="DX514" s="708">
        <f>ROUNDUP(CE501*2800,0)</f>
        <v>19635</v>
      </c>
    </row>
    <row r="515" spans="1:128">
      <c r="A515" s="384"/>
      <c r="B515" s="361"/>
      <c r="C515" s="357"/>
      <c r="D515" s="357"/>
      <c r="E515" s="357"/>
      <c r="F515" s="357"/>
      <c r="G515" s="357"/>
      <c r="H515" s="357"/>
      <c r="I515" s="357"/>
      <c r="J515" s="357"/>
      <c r="K515" s="357"/>
      <c r="L515" s="357"/>
      <c r="M515" s="357"/>
      <c r="N515" s="357"/>
      <c r="O515" s="357"/>
      <c r="P515" s="362"/>
      <c r="Q515" s="362"/>
      <c r="R515" s="362"/>
      <c r="S515" s="362"/>
      <c r="T515" s="360">
        <f>SUM(C515:O515)</f>
        <v>0</v>
      </c>
      <c r="U515" s="361"/>
      <c r="V515" s="361"/>
      <c r="W515" s="361"/>
      <c r="X515" s="357"/>
      <c r="Y515" s="357"/>
      <c r="Z515" s="357"/>
      <c r="AA515" s="357"/>
      <c r="AB515" s="357"/>
      <c r="AC515" s="357"/>
      <c r="AD515" s="357"/>
      <c r="AE515" s="357"/>
      <c r="AF515" s="357"/>
      <c r="AG515" s="357"/>
      <c r="AH515" s="357"/>
      <c r="AI515" s="357"/>
      <c r="AJ515" s="357"/>
      <c r="AK515" s="357"/>
      <c r="AL515" s="357"/>
      <c r="AM515" s="357"/>
      <c r="AN515" s="357"/>
      <c r="AO515" s="357"/>
      <c r="AP515" s="357"/>
      <c r="AQ515" s="357"/>
      <c r="AR515" s="357"/>
      <c r="AS515" s="362"/>
      <c r="AT515" s="360"/>
      <c r="AU515" s="361"/>
      <c r="AV515" s="357"/>
      <c r="AW515" s="357"/>
      <c r="AX515" s="357"/>
      <c r="AY515" s="360"/>
      <c r="AZ515" s="361"/>
      <c r="BA515" s="357"/>
      <c r="BB515" s="362"/>
      <c r="BC515" s="360"/>
      <c r="BD515" s="380"/>
      <c r="BE515" s="381"/>
      <c r="BF515" s="381"/>
      <c r="BG515" s="381"/>
      <c r="BH515" s="381"/>
      <c r="BI515" s="381"/>
      <c r="BJ515" s="381"/>
      <c r="BK515" s="381"/>
      <c r="BL515" s="381"/>
      <c r="BM515" s="381"/>
      <c r="BN515" s="381"/>
      <c r="BO515" s="381"/>
      <c r="BP515" s="381"/>
      <c r="BQ515" s="381"/>
      <c r="BR515" s="381"/>
      <c r="BS515" s="381"/>
      <c r="BT515" s="381"/>
      <c r="BU515" s="381"/>
      <c r="BV515" s="381"/>
      <c r="BW515" s="381"/>
      <c r="BX515" s="381"/>
      <c r="BY515" s="381"/>
      <c r="BZ515" s="381"/>
      <c r="CA515" s="381"/>
      <c r="CB515" s="381"/>
      <c r="CC515" s="381"/>
      <c r="CD515" s="381"/>
      <c r="CE515" s="381"/>
      <c r="CF515" s="381"/>
      <c r="CG515" s="381"/>
      <c r="CH515" s="381"/>
      <c r="CI515" s="381"/>
      <c r="CJ515" s="381"/>
      <c r="CK515" s="381"/>
      <c r="CL515" s="381"/>
      <c r="CM515" s="381"/>
      <c r="CN515" s="381"/>
      <c r="CO515" s="381"/>
      <c r="CP515" s="381"/>
      <c r="CQ515" s="381"/>
      <c r="CR515" s="381"/>
      <c r="CS515" s="381"/>
      <c r="CT515" s="381"/>
      <c r="CU515" s="381"/>
      <c r="CV515" s="381"/>
      <c r="CW515" s="381"/>
      <c r="CX515" s="381"/>
      <c r="CY515" s="381"/>
      <c r="CZ515" s="381"/>
      <c r="DA515" s="381"/>
      <c r="DB515" s="381"/>
      <c r="DC515" s="381"/>
      <c r="DD515" s="381"/>
      <c r="DE515" s="381"/>
      <c r="DF515" s="381"/>
      <c r="DG515" s="381"/>
      <c r="DH515" s="381"/>
      <c r="DI515" s="381"/>
      <c r="DJ515" s="381"/>
      <c r="DK515" s="381"/>
      <c r="DL515" s="381"/>
      <c r="DM515" s="381"/>
      <c r="DN515" s="381"/>
      <c r="DO515" s="381"/>
      <c r="DP515" s="310">
        <f>CF516</f>
        <v>2</v>
      </c>
      <c r="DV515" s="309" t="s">
        <v>2098</v>
      </c>
      <c r="DX515" s="708">
        <f>ROUNDUP(CF501*2800,0)</f>
        <v>19635</v>
      </c>
    </row>
    <row r="516" spans="1:128" ht="18.75">
      <c r="A516" s="384"/>
      <c r="B516" s="385" t="s">
        <v>182</v>
      </c>
      <c r="C516" s="386">
        <f>SUM(C507:C515)</f>
        <v>152</v>
      </c>
      <c r="D516" s="386">
        <f t="shared" ref="D516:BP516" si="111">SUM(D507:D515)</f>
        <v>0</v>
      </c>
      <c r="E516" s="386">
        <f t="shared" si="111"/>
        <v>0</v>
      </c>
      <c r="F516" s="386">
        <f t="shared" si="111"/>
        <v>0</v>
      </c>
      <c r="G516" s="386">
        <f t="shared" si="111"/>
        <v>0</v>
      </c>
      <c r="H516" s="386">
        <f t="shared" si="111"/>
        <v>452</v>
      </c>
      <c r="I516" s="386">
        <f t="shared" si="111"/>
        <v>0</v>
      </c>
      <c r="J516" s="386">
        <f t="shared" si="111"/>
        <v>0</v>
      </c>
      <c r="K516" s="386">
        <f t="shared" si="111"/>
        <v>0</v>
      </c>
      <c r="L516" s="386">
        <f t="shared" si="111"/>
        <v>0</v>
      </c>
      <c r="M516" s="386">
        <f t="shared" si="111"/>
        <v>0</v>
      </c>
      <c r="N516" s="386">
        <f t="shared" si="111"/>
        <v>0</v>
      </c>
      <c r="O516" s="386">
        <f t="shared" si="111"/>
        <v>0</v>
      </c>
      <c r="P516" s="386">
        <f t="shared" si="111"/>
        <v>0</v>
      </c>
      <c r="Q516" s="386">
        <f t="shared" si="111"/>
        <v>0</v>
      </c>
      <c r="R516" s="386">
        <f t="shared" si="111"/>
        <v>0</v>
      </c>
      <c r="S516" s="386">
        <f t="shared" si="111"/>
        <v>0</v>
      </c>
      <c r="T516" s="386">
        <f t="shared" si="111"/>
        <v>0</v>
      </c>
      <c r="U516" s="386">
        <f t="shared" si="111"/>
        <v>133</v>
      </c>
      <c r="V516" s="386">
        <f t="shared" si="111"/>
        <v>0</v>
      </c>
      <c r="W516" s="386">
        <f t="shared" si="111"/>
        <v>0</v>
      </c>
      <c r="X516" s="386">
        <f t="shared" si="111"/>
        <v>0</v>
      </c>
      <c r="Y516" s="386">
        <f t="shared" si="111"/>
        <v>0</v>
      </c>
      <c r="Z516" s="386">
        <f t="shared" si="111"/>
        <v>0</v>
      </c>
      <c r="AA516" s="386">
        <f t="shared" si="111"/>
        <v>0</v>
      </c>
      <c r="AB516" s="386">
        <f t="shared" si="111"/>
        <v>0</v>
      </c>
      <c r="AC516" s="386">
        <f t="shared" si="111"/>
        <v>291</v>
      </c>
      <c r="AD516" s="386">
        <f t="shared" si="111"/>
        <v>454</v>
      </c>
      <c r="AE516" s="386">
        <f t="shared" si="111"/>
        <v>0</v>
      </c>
      <c r="AF516" s="386">
        <f t="shared" si="111"/>
        <v>0</v>
      </c>
      <c r="AG516" s="386">
        <f t="shared" si="111"/>
        <v>0</v>
      </c>
      <c r="AH516" s="386">
        <f t="shared" si="111"/>
        <v>0</v>
      </c>
      <c r="AI516" s="386">
        <f t="shared" si="111"/>
        <v>0</v>
      </c>
      <c r="AJ516" s="386">
        <f t="shared" si="111"/>
        <v>0</v>
      </c>
      <c r="AK516" s="386">
        <f t="shared" si="111"/>
        <v>0</v>
      </c>
      <c r="AL516" s="386">
        <f t="shared" si="111"/>
        <v>0</v>
      </c>
      <c r="AM516" s="386">
        <f t="shared" si="111"/>
        <v>0</v>
      </c>
      <c r="AN516" s="386">
        <f t="shared" si="111"/>
        <v>0</v>
      </c>
      <c r="AO516" s="386">
        <f t="shared" si="111"/>
        <v>0</v>
      </c>
      <c r="AP516" s="386">
        <f t="shared" si="111"/>
        <v>0</v>
      </c>
      <c r="AQ516" s="386">
        <f t="shared" si="111"/>
        <v>67</v>
      </c>
      <c r="AR516" s="386">
        <f t="shared" si="111"/>
        <v>0</v>
      </c>
      <c r="AS516" s="386">
        <f t="shared" si="111"/>
        <v>0</v>
      </c>
      <c r="AT516" s="386">
        <f t="shared" si="111"/>
        <v>104</v>
      </c>
      <c r="AU516" s="386">
        <f t="shared" si="111"/>
        <v>0</v>
      </c>
      <c r="AV516" s="386">
        <f t="shared" si="111"/>
        <v>0</v>
      </c>
      <c r="AW516" s="386">
        <f t="shared" si="111"/>
        <v>302</v>
      </c>
      <c r="AX516" s="386">
        <f t="shared" si="111"/>
        <v>0</v>
      </c>
      <c r="AY516" s="386">
        <f t="shared" si="111"/>
        <v>0</v>
      </c>
      <c r="AZ516" s="386">
        <f t="shared" si="111"/>
        <v>454</v>
      </c>
      <c r="BA516" s="386">
        <f t="shared" si="111"/>
        <v>291</v>
      </c>
      <c r="BB516" s="386">
        <f t="shared" si="111"/>
        <v>0</v>
      </c>
      <c r="BC516" s="386">
        <f t="shared" si="111"/>
        <v>302</v>
      </c>
      <c r="BD516" s="386">
        <f t="shared" si="111"/>
        <v>0</v>
      </c>
      <c r="BE516" s="386">
        <f t="shared" si="111"/>
        <v>0</v>
      </c>
      <c r="BF516" s="386">
        <f t="shared" si="111"/>
        <v>2</v>
      </c>
      <c r="BG516" s="386">
        <f t="shared" si="111"/>
        <v>2</v>
      </c>
      <c r="BH516" s="386">
        <f t="shared" si="111"/>
        <v>4</v>
      </c>
      <c r="BI516" s="386">
        <f t="shared" si="111"/>
        <v>0</v>
      </c>
      <c r="BJ516" s="386">
        <f t="shared" si="111"/>
        <v>0</v>
      </c>
      <c r="BK516" s="386">
        <f t="shared" si="111"/>
        <v>0</v>
      </c>
      <c r="BL516" s="386">
        <f t="shared" si="111"/>
        <v>0</v>
      </c>
      <c r="BM516" s="386">
        <f t="shared" si="111"/>
        <v>0</v>
      </c>
      <c r="BN516" s="386">
        <f t="shared" si="111"/>
        <v>0</v>
      </c>
      <c r="BO516" s="386">
        <f t="shared" si="111"/>
        <v>0</v>
      </c>
      <c r="BP516" s="386">
        <f t="shared" si="111"/>
        <v>0</v>
      </c>
      <c r="BQ516" s="386">
        <f t="shared" ref="BQ516:DO516" si="112">SUM(BQ507:BQ515)</f>
        <v>0</v>
      </c>
      <c r="BR516" s="386">
        <f t="shared" si="112"/>
        <v>0</v>
      </c>
      <c r="BS516" s="386">
        <f t="shared" si="112"/>
        <v>0</v>
      </c>
      <c r="BT516" s="386">
        <f t="shared" si="112"/>
        <v>0</v>
      </c>
      <c r="BU516" s="386">
        <f t="shared" si="112"/>
        <v>0</v>
      </c>
      <c r="BV516" s="386">
        <f t="shared" si="112"/>
        <v>0</v>
      </c>
      <c r="BW516" s="386">
        <f t="shared" si="112"/>
        <v>0</v>
      </c>
      <c r="BX516" s="386">
        <f t="shared" si="112"/>
        <v>0</v>
      </c>
      <c r="BY516" s="386">
        <f t="shared" si="112"/>
        <v>0</v>
      </c>
      <c r="BZ516" s="386">
        <f t="shared" si="112"/>
        <v>0</v>
      </c>
      <c r="CA516" s="386">
        <f t="shared" si="112"/>
        <v>0</v>
      </c>
      <c r="CB516" s="386">
        <f t="shared" si="112"/>
        <v>0</v>
      </c>
      <c r="CC516" s="386">
        <f t="shared" si="112"/>
        <v>0</v>
      </c>
      <c r="CD516" s="386">
        <f t="shared" si="112"/>
        <v>0</v>
      </c>
      <c r="CE516" s="386">
        <f t="shared" si="112"/>
        <v>6</v>
      </c>
      <c r="CF516" s="386">
        <f t="shared" si="112"/>
        <v>2</v>
      </c>
      <c r="CG516" s="386">
        <f t="shared" si="112"/>
        <v>0</v>
      </c>
      <c r="CH516" s="386">
        <f t="shared" si="112"/>
        <v>0</v>
      </c>
      <c r="CI516" s="386">
        <f t="shared" si="112"/>
        <v>0</v>
      </c>
      <c r="CJ516" s="386">
        <f t="shared" si="112"/>
        <v>0</v>
      </c>
      <c r="CK516" s="386">
        <f t="shared" si="112"/>
        <v>0</v>
      </c>
      <c r="CL516" s="386">
        <f t="shared" si="112"/>
        <v>0</v>
      </c>
      <c r="CM516" s="386">
        <f t="shared" si="112"/>
        <v>0</v>
      </c>
      <c r="CN516" s="386">
        <f t="shared" si="112"/>
        <v>0</v>
      </c>
      <c r="CO516" s="386">
        <f t="shared" si="112"/>
        <v>0</v>
      </c>
      <c r="CP516" s="386">
        <f t="shared" si="112"/>
        <v>0</v>
      </c>
      <c r="CQ516" s="386">
        <f t="shared" si="112"/>
        <v>0</v>
      </c>
      <c r="CR516" s="386">
        <f t="shared" si="112"/>
        <v>0</v>
      </c>
      <c r="CS516" s="386">
        <f t="shared" si="112"/>
        <v>0</v>
      </c>
      <c r="CT516" s="386">
        <f t="shared" si="112"/>
        <v>0</v>
      </c>
      <c r="CU516" s="386">
        <f t="shared" si="112"/>
        <v>0</v>
      </c>
      <c r="CV516" s="386">
        <f t="shared" si="112"/>
        <v>0</v>
      </c>
      <c r="CW516" s="386">
        <f t="shared" si="112"/>
        <v>0</v>
      </c>
      <c r="CX516" s="386">
        <f t="shared" si="112"/>
        <v>0</v>
      </c>
      <c r="CY516" s="386">
        <f t="shared" si="112"/>
        <v>0</v>
      </c>
      <c r="CZ516" s="386"/>
      <c r="DA516" s="386"/>
      <c r="DB516" s="386"/>
      <c r="DC516" s="386"/>
      <c r="DD516" s="386"/>
      <c r="DE516" s="386"/>
      <c r="DF516" s="386">
        <f t="shared" si="112"/>
        <v>0</v>
      </c>
      <c r="DG516" s="386">
        <f t="shared" si="112"/>
        <v>0</v>
      </c>
      <c r="DH516" s="386">
        <f t="shared" si="112"/>
        <v>0</v>
      </c>
      <c r="DI516" s="386">
        <f t="shared" si="112"/>
        <v>0</v>
      </c>
      <c r="DJ516" s="386">
        <f t="shared" si="112"/>
        <v>0</v>
      </c>
      <c r="DK516" s="386">
        <f t="shared" si="112"/>
        <v>0</v>
      </c>
      <c r="DL516" s="386">
        <f t="shared" si="112"/>
        <v>0</v>
      </c>
      <c r="DM516" s="386">
        <f t="shared" si="112"/>
        <v>0</v>
      </c>
      <c r="DN516" s="386">
        <f t="shared" si="112"/>
        <v>0</v>
      </c>
      <c r="DO516" s="386">
        <f t="shared" si="112"/>
        <v>0</v>
      </c>
    </row>
    <row r="517" spans="1:128" ht="18.75">
      <c r="A517" s="384"/>
      <c r="B517" s="385"/>
      <c r="C517" s="386"/>
      <c r="D517" s="386"/>
      <c r="E517" s="386"/>
      <c r="F517" s="386"/>
      <c r="G517" s="386"/>
      <c r="H517" s="386"/>
      <c r="I517" s="386"/>
      <c r="J517" s="386"/>
      <c r="K517" s="386"/>
      <c r="L517" s="386"/>
      <c r="M517" s="386"/>
      <c r="N517" s="386"/>
      <c r="O517" s="386"/>
      <c r="P517" s="387"/>
      <c r="Q517" s="387"/>
      <c r="R517" s="387"/>
      <c r="S517" s="387"/>
      <c r="T517" s="388"/>
      <c r="U517" s="389"/>
      <c r="V517" s="389"/>
      <c r="W517" s="389"/>
      <c r="X517" s="386"/>
      <c r="Y517" s="386"/>
      <c r="Z517" s="386"/>
      <c r="AA517" s="386"/>
      <c r="AB517" s="386"/>
      <c r="AC517" s="386"/>
      <c r="AD517" s="386"/>
      <c r="AE517" s="386"/>
      <c r="AF517" s="386"/>
      <c r="AG517" s="386"/>
      <c r="AH517" s="386"/>
      <c r="AI517" s="386"/>
      <c r="AJ517" s="386"/>
      <c r="AK517" s="386"/>
      <c r="AL517" s="386"/>
      <c r="AM517" s="386"/>
      <c r="AN517" s="386"/>
      <c r="AO517" s="386"/>
      <c r="AP517" s="386"/>
      <c r="AQ517" s="386"/>
      <c r="AR517" s="386"/>
      <c r="AS517" s="387"/>
      <c r="AT517" s="388"/>
      <c r="AU517" s="389"/>
      <c r="AV517" s="386"/>
      <c r="AW517" s="386"/>
      <c r="AX517" s="387"/>
      <c r="AY517" s="388"/>
      <c r="AZ517" s="389"/>
      <c r="BA517" s="386"/>
      <c r="BB517" s="387"/>
      <c r="BC517" s="388"/>
      <c r="BD517" s="390"/>
      <c r="BE517" s="391"/>
      <c r="BF517" s="391"/>
      <c r="BG517" s="391"/>
      <c r="BH517" s="391"/>
      <c r="BI517" s="391"/>
      <c r="BJ517" s="391"/>
      <c r="BK517" s="391"/>
      <c r="BL517" s="391"/>
      <c r="BM517" s="391"/>
      <c r="BN517" s="391"/>
      <c r="BO517" s="391"/>
      <c r="BP517" s="391"/>
      <c r="BQ517" s="391"/>
      <c r="BR517" s="391"/>
      <c r="BS517" s="391"/>
      <c r="BT517" s="391"/>
      <c r="BU517" s="391"/>
      <c r="BV517" s="391"/>
      <c r="BW517" s="391"/>
      <c r="BX517" s="391"/>
      <c r="BY517" s="391"/>
      <c r="BZ517" s="391"/>
      <c r="CA517" s="391"/>
      <c r="CB517" s="391"/>
      <c r="CC517" s="391"/>
      <c r="CD517" s="391"/>
      <c r="CE517" s="391"/>
      <c r="CF517" s="391"/>
      <c r="CG517" s="391"/>
      <c r="CH517" s="391"/>
      <c r="CI517" s="391"/>
      <c r="CJ517" s="391"/>
      <c r="CK517" s="391"/>
      <c r="CL517" s="391"/>
      <c r="CM517" s="391"/>
      <c r="CN517" s="391"/>
      <c r="CO517" s="391"/>
      <c r="CP517" s="391"/>
      <c r="CQ517" s="391"/>
      <c r="CR517" s="391"/>
      <c r="CS517" s="391"/>
      <c r="CT517" s="391"/>
      <c r="CU517" s="391"/>
      <c r="CV517" s="391"/>
      <c r="CW517" s="391"/>
      <c r="CX517" s="391"/>
      <c r="CY517" s="391"/>
      <c r="CZ517" s="391"/>
      <c r="DA517" s="391"/>
      <c r="DB517" s="391"/>
      <c r="DC517" s="391"/>
      <c r="DD517" s="391"/>
      <c r="DE517" s="391"/>
      <c r="DF517" s="391"/>
      <c r="DG517" s="391"/>
      <c r="DH517" s="391"/>
      <c r="DI517" s="391"/>
      <c r="DJ517" s="391"/>
      <c r="DK517" s="391"/>
      <c r="DL517" s="391"/>
      <c r="DM517" s="391"/>
      <c r="DN517" s="391"/>
      <c r="DO517" s="391"/>
    </row>
    <row r="518" spans="1:128" ht="18.75">
      <c r="A518" s="406"/>
      <c r="B518" s="407"/>
      <c r="C518" s="408"/>
      <c r="D518" s="409"/>
      <c r="E518" s="409"/>
      <c r="F518" s="409"/>
      <c r="G518" s="409"/>
      <c r="H518" s="409"/>
      <c r="I518" s="409"/>
      <c r="J518" s="409"/>
      <c r="K518" s="409"/>
      <c r="L518" s="409"/>
      <c r="M518" s="409"/>
      <c r="N518" s="409"/>
      <c r="O518" s="409"/>
      <c r="P518" s="410"/>
      <c r="Q518" s="410"/>
      <c r="R518" s="410"/>
      <c r="S518" s="410"/>
      <c r="T518" s="411"/>
      <c r="U518" s="405"/>
      <c r="V518" s="405"/>
      <c r="W518" s="405"/>
      <c r="X518" s="408"/>
      <c r="Y518" s="408"/>
      <c r="Z518" s="408"/>
      <c r="AA518" s="408"/>
      <c r="AB518" s="408"/>
      <c r="AC518" s="408"/>
      <c r="AD518" s="408"/>
      <c r="AE518" s="408"/>
      <c r="AF518" s="408"/>
      <c r="AG518" s="408"/>
      <c r="AH518" s="408"/>
      <c r="AI518" s="408"/>
      <c r="AJ518" s="408"/>
      <c r="AK518" s="408"/>
      <c r="AL518" s="408"/>
      <c r="AM518" s="408"/>
      <c r="AN518" s="408"/>
      <c r="AO518" s="408"/>
      <c r="AP518" s="408"/>
      <c r="AQ518" s="408"/>
      <c r="AR518" s="408"/>
      <c r="AS518" s="412"/>
      <c r="AT518" s="413"/>
      <c r="AU518" s="405"/>
      <c r="AV518" s="408"/>
      <c r="AW518" s="408"/>
      <c r="AX518" s="412"/>
      <c r="AY518" s="413"/>
      <c r="AZ518" s="405"/>
      <c r="BA518" s="408"/>
      <c r="BB518" s="1183"/>
      <c r="BC518" s="413"/>
      <c r="BD518" s="414"/>
      <c r="BE518" s="415"/>
      <c r="BF518" s="415"/>
      <c r="BG518" s="415"/>
      <c r="BH518" s="415"/>
      <c r="BI518" s="415"/>
      <c r="BJ518" s="655"/>
      <c r="BK518" s="415"/>
      <c r="BL518" s="415"/>
      <c r="BM518" s="415"/>
      <c r="BN518" s="415"/>
      <c r="BO518" s="415"/>
      <c r="BP518" s="415"/>
      <c r="BQ518" s="415"/>
      <c r="BR518" s="415"/>
      <c r="BS518" s="415"/>
      <c r="BT518" s="415"/>
      <c r="BU518" s="655"/>
      <c r="BV518" s="415"/>
      <c r="BW518" s="415"/>
      <c r="BX518" s="415"/>
      <c r="BY518" s="655"/>
      <c r="BZ518" s="655"/>
      <c r="CA518" s="655"/>
      <c r="CB518" s="415"/>
      <c r="CC518" s="655"/>
      <c r="CD518" s="415"/>
      <c r="CE518" s="415"/>
      <c r="CF518" s="415"/>
      <c r="CG518" s="415"/>
      <c r="CH518" s="415"/>
      <c r="CI518" s="656"/>
      <c r="CJ518" s="416"/>
      <c r="CK518" s="656"/>
      <c r="CL518" s="416"/>
      <c r="CM518" s="656"/>
      <c r="CN518" s="416"/>
      <c r="CO518" s="416"/>
      <c r="CP518" s="416"/>
      <c r="CQ518" s="656"/>
      <c r="CR518" s="656"/>
      <c r="CS518" s="416"/>
      <c r="CT518" s="416"/>
      <c r="CU518" s="416"/>
      <c r="CV518" s="416"/>
      <c r="CW518" s="416"/>
      <c r="CX518" s="656"/>
      <c r="CY518" s="656"/>
      <c r="CZ518" s="416"/>
      <c r="DA518" s="416"/>
      <c r="DB518" s="416"/>
      <c r="DC518" s="416"/>
      <c r="DD518" s="416"/>
      <c r="DE518" s="416"/>
      <c r="DF518" s="416"/>
      <c r="DG518" s="416"/>
      <c r="DH518" s="416"/>
      <c r="DI518" s="416"/>
      <c r="DJ518" s="416"/>
      <c r="DK518" s="416"/>
      <c r="DL518" s="416"/>
      <c r="DM518" s="416"/>
      <c r="DN518" s="416"/>
      <c r="DO518" s="417"/>
    </row>
    <row r="519" spans="1:128">
      <c r="A519" s="406"/>
      <c r="B519" s="394" t="s">
        <v>269</v>
      </c>
      <c r="C519" s="408"/>
      <c r="D519" s="409"/>
      <c r="E519" s="409"/>
      <c r="F519" s="409"/>
      <c r="G519" s="409"/>
      <c r="H519" s="409"/>
      <c r="I519" s="409"/>
      <c r="J519" s="409"/>
      <c r="K519" s="409"/>
      <c r="L519" s="409"/>
      <c r="M519" s="409"/>
      <c r="N519" s="409"/>
      <c r="O519" s="409"/>
      <c r="P519" s="410"/>
      <c r="Q519" s="410"/>
      <c r="R519" s="410"/>
      <c r="S519" s="410"/>
      <c r="T519" s="411"/>
      <c r="U519" s="405"/>
      <c r="V519" s="405"/>
      <c r="W519" s="405"/>
      <c r="X519" s="408"/>
      <c r="Y519" s="408"/>
      <c r="Z519" s="408"/>
      <c r="AA519" s="408"/>
      <c r="AB519" s="408"/>
      <c r="AC519" s="408"/>
      <c r="AD519" s="408"/>
      <c r="AE519" s="408"/>
      <c r="AF519" s="408"/>
      <c r="AG519" s="408"/>
      <c r="AH519" s="408"/>
      <c r="AI519" s="408"/>
      <c r="AJ519" s="408"/>
      <c r="AK519" s="408"/>
      <c r="AL519" s="408"/>
      <c r="AM519" s="408"/>
      <c r="AN519" s="408"/>
      <c r="AO519" s="408"/>
      <c r="AP519" s="408"/>
      <c r="AQ519" s="408"/>
      <c r="AR519" s="408"/>
      <c r="AS519" s="412"/>
      <c r="AT519" s="413"/>
      <c r="AU519" s="405"/>
      <c r="AV519" s="408"/>
      <c r="AW519" s="408"/>
      <c r="AX519" s="412"/>
      <c r="AY519" s="413"/>
      <c r="AZ519" s="405"/>
      <c r="BA519" s="408"/>
      <c r="BB519" s="1183"/>
      <c r="BC519" s="413"/>
      <c r="BD519" s="414"/>
      <c r="BE519" s="415"/>
      <c r="BF519" s="415"/>
      <c r="BG519" s="415"/>
      <c r="BH519" s="415"/>
      <c r="BI519" s="415"/>
      <c r="BJ519" s="655"/>
      <c r="BK519" s="415"/>
      <c r="BL519" s="415"/>
      <c r="BM519" s="415"/>
      <c r="BN519" s="415"/>
      <c r="BO519" s="415"/>
      <c r="BP519" s="415"/>
      <c r="BQ519" s="415"/>
      <c r="BR519" s="415"/>
      <c r="BS519" s="415"/>
      <c r="BT519" s="415"/>
      <c r="BU519" s="655"/>
      <c r="BV519" s="415"/>
      <c r="BW519" s="415"/>
      <c r="BX519" s="415"/>
      <c r="BY519" s="655"/>
      <c r="BZ519" s="655"/>
      <c r="CA519" s="655"/>
      <c r="CB519" s="415"/>
      <c r="CC519" s="655"/>
      <c r="CD519" s="415"/>
      <c r="CE519" s="415"/>
      <c r="CF519" s="415"/>
      <c r="CG519" s="415"/>
      <c r="CH519" s="415"/>
      <c r="CI519" s="656"/>
      <c r="CJ519" s="416"/>
      <c r="CK519" s="656"/>
      <c r="CL519" s="416"/>
      <c r="CM519" s="656"/>
      <c r="CN519" s="416"/>
      <c r="CO519" s="416"/>
      <c r="CP519" s="416"/>
      <c r="CQ519" s="656"/>
      <c r="CR519" s="656"/>
      <c r="CS519" s="416"/>
      <c r="CT519" s="416"/>
      <c r="CU519" s="416"/>
      <c r="CV519" s="416"/>
      <c r="CW519" s="416"/>
      <c r="CX519" s="656"/>
      <c r="CY519" s="656"/>
      <c r="CZ519" s="416"/>
      <c r="DA519" s="416"/>
      <c r="DB519" s="416"/>
      <c r="DC519" s="416"/>
      <c r="DD519" s="416"/>
      <c r="DE519" s="416"/>
      <c r="DF519" s="416"/>
      <c r="DG519" s="416"/>
      <c r="DH519" s="416"/>
      <c r="DI519" s="416"/>
      <c r="DJ519" s="416"/>
      <c r="DK519" s="416"/>
      <c r="DL519" s="416"/>
      <c r="DM519" s="416"/>
      <c r="DN519" s="416"/>
      <c r="DO519" s="417"/>
    </row>
    <row r="520" spans="1:128">
      <c r="A520" s="406"/>
      <c r="B520" s="405" t="s">
        <v>650</v>
      </c>
      <c r="C520" s="408"/>
      <c r="D520" s="409"/>
      <c r="E520" s="409"/>
      <c r="F520" s="409"/>
      <c r="G520" s="409"/>
      <c r="H520" s="409"/>
      <c r="I520" s="409"/>
      <c r="J520" s="409"/>
      <c r="K520" s="409"/>
      <c r="L520" s="409"/>
      <c r="M520" s="409"/>
      <c r="N520" s="409"/>
      <c r="O520" s="409"/>
      <c r="P520" s="410"/>
      <c r="Q520" s="410"/>
      <c r="R520" s="410"/>
      <c r="S520" s="410"/>
      <c r="T520" s="360"/>
      <c r="U520" s="405"/>
      <c r="V520" s="405"/>
      <c r="W520" s="405"/>
      <c r="X520" s="408"/>
      <c r="Y520" s="408"/>
      <c r="Z520" s="408"/>
      <c r="AA520" s="408"/>
      <c r="AB520" s="408"/>
      <c r="AC520" s="408"/>
      <c r="AD520" s="408"/>
      <c r="AE520" s="408"/>
      <c r="AF520" s="408"/>
      <c r="AG520" s="408"/>
      <c r="AH520" s="408"/>
      <c r="AI520" s="408"/>
      <c r="AJ520" s="408"/>
      <c r="AK520" s="408"/>
      <c r="AL520" s="408"/>
      <c r="AM520" s="408"/>
      <c r="AN520" s="408"/>
      <c r="AO520" s="408"/>
      <c r="AP520" s="408"/>
      <c r="AQ520" s="408"/>
      <c r="AR520" s="408"/>
      <c r="AS520" s="412"/>
      <c r="AT520" s="405"/>
      <c r="AU520" s="405"/>
      <c r="AV520" s="408"/>
      <c r="AW520" s="416"/>
      <c r="AX520" s="412"/>
      <c r="AY520" s="413"/>
      <c r="AZ520" s="405"/>
      <c r="BA520" s="408">
        <f>AC520</f>
        <v>0</v>
      </c>
      <c r="BB520" s="1183"/>
      <c r="BC520" s="413"/>
      <c r="BD520" s="414"/>
      <c r="BE520" s="415"/>
      <c r="BF520" s="415"/>
      <c r="BG520" s="415"/>
      <c r="BH520" s="415"/>
      <c r="BI520" s="415"/>
      <c r="BJ520" s="655"/>
      <c r="BK520" s="415"/>
      <c r="BL520" s="415"/>
      <c r="BM520" s="415"/>
      <c r="BN520" s="415"/>
      <c r="BO520" s="415"/>
      <c r="BP520" s="415"/>
      <c r="BQ520" s="415"/>
      <c r="BR520" s="415"/>
      <c r="BS520" s="415"/>
      <c r="BT520" s="415"/>
      <c r="BU520" s="655"/>
      <c r="BV520" s="415"/>
      <c r="BW520" s="415"/>
      <c r="BX520" s="415"/>
      <c r="BY520" s="655"/>
      <c r="BZ520" s="655"/>
      <c r="CA520" s="655"/>
      <c r="CB520" s="415"/>
      <c r="CC520" s="655"/>
      <c r="CD520" s="415"/>
      <c r="CE520" s="415"/>
      <c r="CF520" s="415"/>
      <c r="CG520" s="415"/>
      <c r="CH520" s="415"/>
      <c r="CI520" s="656"/>
      <c r="CJ520" s="416"/>
      <c r="CK520" s="656"/>
      <c r="CL520" s="416"/>
      <c r="CM520" s="656"/>
      <c r="CN520" s="416"/>
      <c r="CO520" s="416"/>
      <c r="CP520" s="416"/>
      <c r="CQ520" s="656"/>
      <c r="CR520" s="656"/>
      <c r="CS520" s="416"/>
      <c r="CT520" s="416"/>
      <c r="CU520" s="416"/>
      <c r="CV520" s="416"/>
      <c r="CW520" s="416"/>
      <c r="CX520" s="656"/>
      <c r="CY520" s="656"/>
      <c r="CZ520" s="416"/>
      <c r="DA520" s="416"/>
      <c r="DB520" s="416"/>
      <c r="DC520" s="416"/>
      <c r="DD520" s="416"/>
      <c r="DE520" s="416"/>
      <c r="DF520" s="416"/>
      <c r="DG520" s="416"/>
      <c r="DH520" s="416"/>
      <c r="DI520" s="416"/>
      <c r="DJ520" s="416"/>
      <c r="DK520" s="416"/>
      <c r="DL520" s="416"/>
      <c r="DM520" s="416"/>
      <c r="DN520" s="416"/>
      <c r="DO520" s="417"/>
    </row>
    <row r="521" spans="1:128">
      <c r="A521" s="403"/>
      <c r="B521" s="374" t="s">
        <v>402</v>
      </c>
      <c r="C521" s="400"/>
      <c r="D521" s="357"/>
      <c r="E521" s="357"/>
      <c r="F521" s="357"/>
      <c r="G521" s="357"/>
      <c r="H521" s="357">
        <v>308</v>
      </c>
      <c r="I521" s="357"/>
      <c r="J521" s="357"/>
      <c r="K521" s="357"/>
      <c r="L521" s="357"/>
      <c r="M521" s="357"/>
      <c r="N521" s="357"/>
      <c r="O521" s="357"/>
      <c r="P521" s="362"/>
      <c r="Q521" s="362"/>
      <c r="R521" s="362"/>
      <c r="S521" s="362"/>
      <c r="T521" s="360"/>
      <c r="U521" s="361"/>
      <c r="V521" s="361"/>
      <c r="W521" s="361"/>
      <c r="X521" s="357"/>
      <c r="Y521" s="357"/>
      <c r="Z521" s="357"/>
      <c r="AA521" s="357"/>
      <c r="AB521" s="357"/>
      <c r="AC521" s="357"/>
      <c r="AD521" s="357"/>
      <c r="AE521" s="357"/>
      <c r="AF521" s="357"/>
      <c r="AG521" s="357"/>
      <c r="AH521" s="357"/>
      <c r="AI521" s="357"/>
      <c r="AJ521" s="357"/>
      <c r="AK521" s="357"/>
      <c r="AL521" s="357"/>
      <c r="AM521" s="357"/>
      <c r="AN521" s="357"/>
      <c r="AO521" s="357"/>
      <c r="AP521" s="357"/>
      <c r="AQ521" s="357"/>
      <c r="AR521" s="357"/>
      <c r="AS521" s="362"/>
      <c r="AT521" s="360"/>
      <c r="AU521" s="363"/>
      <c r="AV521" s="364"/>
      <c r="AW521" s="364"/>
      <c r="AX521" s="395"/>
      <c r="AY521" s="365"/>
      <c r="AZ521" s="361"/>
      <c r="BA521" s="357"/>
      <c r="BB521" s="362"/>
      <c r="BC521" s="360"/>
      <c r="BD521" s="380"/>
      <c r="BE521" s="381"/>
      <c r="BF521" s="381"/>
      <c r="BG521" s="381"/>
      <c r="BH521" s="381"/>
      <c r="BI521" s="381"/>
      <c r="BJ521" s="381"/>
      <c r="BK521" s="381"/>
      <c r="BL521" s="381"/>
      <c r="BM521" s="381"/>
      <c r="BN521" s="381"/>
      <c r="BO521" s="381"/>
      <c r="BP521" s="381"/>
      <c r="BQ521" s="381"/>
      <c r="BR521" s="381"/>
      <c r="BS521" s="381"/>
      <c r="BT521" s="381"/>
      <c r="BU521" s="381"/>
      <c r="BV521" s="381"/>
      <c r="BW521" s="381"/>
      <c r="BX521" s="381"/>
      <c r="BY521" s="381"/>
      <c r="BZ521" s="381"/>
      <c r="CA521" s="381"/>
      <c r="CB521" s="381"/>
      <c r="CC521" s="381"/>
      <c r="CD521" s="381"/>
      <c r="CE521" s="381"/>
      <c r="CF521" s="381"/>
      <c r="CG521" s="381"/>
      <c r="CH521" s="381"/>
      <c r="CI521" s="382"/>
      <c r="CJ521" s="382"/>
      <c r="CK521" s="382"/>
      <c r="CL521" s="382"/>
      <c r="CM521" s="382"/>
      <c r="CN521" s="382"/>
      <c r="CO521" s="382"/>
      <c r="CP521" s="382"/>
      <c r="CQ521" s="382"/>
      <c r="CR521" s="382"/>
      <c r="CS521" s="382"/>
      <c r="CT521" s="382"/>
      <c r="CU521" s="382"/>
      <c r="CV521" s="382"/>
      <c r="CW521" s="382"/>
      <c r="CX521" s="382"/>
      <c r="CY521" s="382"/>
      <c r="CZ521" s="382"/>
      <c r="DA521" s="382"/>
      <c r="DB521" s="382"/>
      <c r="DC521" s="382"/>
      <c r="DD521" s="382"/>
      <c r="DE521" s="382"/>
      <c r="DF521" s="382"/>
      <c r="DG521" s="382"/>
      <c r="DH521" s="382"/>
      <c r="DI521" s="382"/>
      <c r="DJ521" s="382"/>
      <c r="DK521" s="382"/>
      <c r="DL521" s="382"/>
      <c r="DM521" s="382"/>
      <c r="DN521" s="382"/>
      <c r="DO521" s="383"/>
    </row>
    <row r="522" spans="1:128">
      <c r="A522" s="403"/>
      <c r="B522" s="405"/>
      <c r="C522" s="357"/>
      <c r="D522" s="357"/>
      <c r="E522" s="357"/>
      <c r="F522" s="357"/>
      <c r="G522" s="357"/>
      <c r="H522" s="357"/>
      <c r="I522" s="357"/>
      <c r="J522" s="357"/>
      <c r="K522" s="357"/>
      <c r="L522" s="357"/>
      <c r="M522" s="357"/>
      <c r="N522" s="357"/>
      <c r="O522" s="357"/>
      <c r="P522" s="362"/>
      <c r="Q522" s="362"/>
      <c r="R522" s="362"/>
      <c r="S522" s="362"/>
      <c r="T522" s="360"/>
      <c r="U522" s="361"/>
      <c r="V522" s="361"/>
      <c r="W522" s="361"/>
      <c r="X522" s="357"/>
      <c r="Y522" s="357"/>
      <c r="Z522" s="357"/>
      <c r="AA522" s="357"/>
      <c r="AB522" s="357"/>
      <c r="AC522" s="357"/>
      <c r="AD522" s="357"/>
      <c r="AE522" s="357"/>
      <c r="AF522" s="357"/>
      <c r="AG522" s="357"/>
      <c r="AH522" s="357"/>
      <c r="AI522" s="357"/>
      <c r="AJ522" s="357"/>
      <c r="AK522" s="357"/>
      <c r="AL522" s="357"/>
      <c r="AM522" s="357"/>
      <c r="AN522" s="357"/>
      <c r="AO522" s="357"/>
      <c r="AP522" s="357"/>
      <c r="AQ522" s="357"/>
      <c r="AR522" s="357"/>
      <c r="AS522" s="362"/>
      <c r="AT522" s="360"/>
      <c r="AU522" s="363"/>
      <c r="AV522" s="364"/>
      <c r="AW522" s="364"/>
      <c r="AX522" s="395"/>
      <c r="AY522" s="365"/>
      <c r="AZ522" s="361"/>
      <c r="BA522" s="357"/>
      <c r="BB522" s="362"/>
      <c r="BC522" s="360"/>
      <c r="BD522" s="380"/>
      <c r="BE522" s="381"/>
      <c r="BF522" s="381"/>
      <c r="BG522" s="381"/>
      <c r="BH522" s="381"/>
      <c r="BI522" s="381"/>
      <c r="BJ522" s="381"/>
      <c r="BK522" s="381"/>
      <c r="BL522" s="381"/>
      <c r="BM522" s="381"/>
      <c r="BN522" s="381"/>
      <c r="BO522" s="381"/>
      <c r="BP522" s="381"/>
      <c r="BQ522" s="381"/>
      <c r="BR522" s="381"/>
      <c r="BS522" s="381"/>
      <c r="BT522" s="381"/>
      <c r="BU522" s="381"/>
      <c r="BV522" s="381"/>
      <c r="BW522" s="381"/>
      <c r="BX522" s="381"/>
      <c r="BY522" s="381"/>
      <c r="BZ522" s="381"/>
      <c r="CA522" s="381"/>
      <c r="CB522" s="381"/>
      <c r="CC522" s="381"/>
      <c r="CD522" s="381"/>
      <c r="CE522" s="381"/>
      <c r="CF522" s="381"/>
      <c r="CG522" s="381"/>
      <c r="CH522" s="381"/>
      <c r="CI522" s="382"/>
      <c r="CJ522" s="382"/>
      <c r="CK522" s="382"/>
      <c r="CL522" s="382"/>
      <c r="CM522" s="382"/>
      <c r="CN522" s="382"/>
      <c r="CO522" s="382"/>
      <c r="CP522" s="382"/>
      <c r="CQ522" s="382"/>
      <c r="CR522" s="382"/>
      <c r="CS522" s="382"/>
      <c r="CT522" s="382"/>
      <c r="CU522" s="382"/>
      <c r="CV522" s="382"/>
      <c r="CW522" s="382"/>
      <c r="CX522" s="382"/>
      <c r="CY522" s="382"/>
      <c r="CZ522" s="382"/>
      <c r="DA522" s="382"/>
      <c r="DB522" s="382"/>
      <c r="DC522" s="382"/>
      <c r="DD522" s="382"/>
      <c r="DE522" s="382"/>
      <c r="DF522" s="400">
        <f>ROUNDUP((437+614),0)</f>
        <v>1051</v>
      </c>
      <c r="DG522" s="382"/>
      <c r="DH522" s="382"/>
      <c r="DI522" s="382"/>
      <c r="DJ522" s="382"/>
      <c r="DK522" s="382"/>
      <c r="DL522" s="382"/>
      <c r="DM522" s="382"/>
      <c r="DN522" s="382"/>
      <c r="DO522" s="383"/>
    </row>
    <row r="523" spans="1:128">
      <c r="A523" s="403"/>
      <c r="B523" s="405"/>
      <c r="C523" s="357"/>
      <c r="D523" s="357"/>
      <c r="E523" s="357"/>
      <c r="F523" s="357"/>
      <c r="G523" s="357"/>
      <c r="H523" s="357"/>
      <c r="I523" s="357"/>
      <c r="J523" s="357"/>
      <c r="K523" s="357"/>
      <c r="L523" s="357"/>
      <c r="M523" s="357"/>
      <c r="N523" s="357"/>
      <c r="O523" s="357"/>
      <c r="P523" s="362"/>
      <c r="Q523" s="362"/>
      <c r="R523" s="362"/>
      <c r="S523" s="362"/>
      <c r="T523" s="360"/>
      <c r="U523" s="361"/>
      <c r="V523" s="361"/>
      <c r="W523" s="361"/>
      <c r="X523" s="357"/>
      <c r="Y523" s="357"/>
      <c r="Z523" s="357"/>
      <c r="AA523" s="357"/>
      <c r="AB523" s="357"/>
      <c r="AC523" s="357"/>
      <c r="AD523" s="357"/>
      <c r="AE523" s="357"/>
      <c r="AF523" s="357"/>
      <c r="AG523" s="357"/>
      <c r="AH523" s="357"/>
      <c r="AI523" s="357"/>
      <c r="AJ523" s="357"/>
      <c r="AK523" s="357"/>
      <c r="AL523" s="357"/>
      <c r="AM523" s="357"/>
      <c r="AN523" s="357"/>
      <c r="AO523" s="357"/>
      <c r="AP523" s="357"/>
      <c r="AQ523" s="357"/>
      <c r="AR523" s="357"/>
      <c r="AS523" s="362"/>
      <c r="AT523" s="360"/>
      <c r="AU523" s="363"/>
      <c r="AV523" s="364"/>
      <c r="AW523" s="364"/>
      <c r="AX523" s="395"/>
      <c r="AY523" s="365"/>
      <c r="AZ523" s="361"/>
      <c r="BA523" s="357"/>
      <c r="BB523" s="362"/>
      <c r="BC523" s="360"/>
      <c r="BD523" s="380"/>
      <c r="BE523" s="381"/>
      <c r="BF523" s="381"/>
      <c r="BG523" s="381"/>
      <c r="BH523" s="381"/>
      <c r="BI523" s="381"/>
      <c r="BJ523" s="381"/>
      <c r="BK523" s="381"/>
      <c r="BL523" s="381"/>
      <c r="BM523" s="381"/>
      <c r="BN523" s="381"/>
      <c r="BO523" s="381"/>
      <c r="BP523" s="381"/>
      <c r="BQ523" s="381"/>
      <c r="BR523" s="381"/>
      <c r="BS523" s="381"/>
      <c r="BT523" s="381"/>
      <c r="BU523" s="381"/>
      <c r="BV523" s="381"/>
      <c r="BW523" s="381"/>
      <c r="BX523" s="381"/>
      <c r="BY523" s="381"/>
      <c r="BZ523" s="381"/>
      <c r="CA523" s="381"/>
      <c r="CB523" s="381"/>
      <c r="CC523" s="381"/>
      <c r="CD523" s="381"/>
      <c r="CE523" s="381"/>
      <c r="CF523" s="381"/>
      <c r="CG523" s="381"/>
      <c r="CH523" s="381"/>
      <c r="CI523" s="382"/>
      <c r="CJ523" s="382"/>
      <c r="CK523" s="382"/>
      <c r="CL523" s="382"/>
      <c r="CM523" s="382"/>
      <c r="CN523" s="382"/>
      <c r="CO523" s="382"/>
      <c r="CP523" s="382"/>
      <c r="CQ523" s="382"/>
      <c r="CR523" s="382"/>
      <c r="CS523" s="382"/>
      <c r="CT523" s="382"/>
      <c r="CU523" s="382"/>
      <c r="CV523" s="382"/>
      <c r="CW523" s="382"/>
      <c r="CX523" s="382"/>
      <c r="CY523" s="382"/>
      <c r="CZ523" s="382"/>
      <c r="DA523" s="382"/>
      <c r="DB523" s="382"/>
      <c r="DC523" s="382"/>
      <c r="DD523" s="382"/>
      <c r="DE523" s="382"/>
      <c r="DF523" s="382"/>
      <c r="DG523" s="400"/>
      <c r="DH523" s="382"/>
      <c r="DI523" s="382"/>
      <c r="DJ523" s="382"/>
      <c r="DK523" s="382"/>
      <c r="DL523" s="382"/>
      <c r="DM523" s="382"/>
      <c r="DN523" s="382"/>
      <c r="DO523" s="383"/>
    </row>
    <row r="524" spans="1:128">
      <c r="A524" s="403"/>
      <c r="B524" s="405"/>
      <c r="C524" s="357"/>
      <c r="D524" s="357"/>
      <c r="E524" s="357"/>
      <c r="F524" s="357"/>
      <c r="G524" s="357"/>
      <c r="H524" s="357"/>
      <c r="I524" s="357"/>
      <c r="J524" s="357"/>
      <c r="K524" s="357"/>
      <c r="L524" s="357"/>
      <c r="M524" s="357"/>
      <c r="N524" s="357"/>
      <c r="O524" s="357"/>
      <c r="P524" s="362"/>
      <c r="Q524" s="362"/>
      <c r="R524" s="362"/>
      <c r="S524" s="362"/>
      <c r="T524" s="360"/>
      <c r="U524" s="361"/>
      <c r="V524" s="361"/>
      <c r="W524" s="361"/>
      <c r="X524" s="357"/>
      <c r="Y524" s="357"/>
      <c r="Z524" s="357"/>
      <c r="AA524" s="357"/>
      <c r="AB524" s="357"/>
      <c r="AC524" s="357"/>
      <c r="AD524" s="357"/>
      <c r="AE524" s="357"/>
      <c r="AF524" s="357"/>
      <c r="AG524" s="357"/>
      <c r="AH524" s="357"/>
      <c r="AI524" s="357"/>
      <c r="AJ524" s="357"/>
      <c r="AK524" s="357"/>
      <c r="AL524" s="357"/>
      <c r="AM524" s="357"/>
      <c r="AN524" s="357"/>
      <c r="AO524" s="357"/>
      <c r="AP524" s="357"/>
      <c r="AQ524" s="357"/>
      <c r="AR524" s="357"/>
      <c r="AS524" s="362"/>
      <c r="AT524" s="360"/>
      <c r="AU524" s="363"/>
      <c r="AV524" s="364"/>
      <c r="AW524" s="364"/>
      <c r="AX524" s="395"/>
      <c r="AY524" s="365"/>
      <c r="AZ524" s="361"/>
      <c r="BA524" s="357"/>
      <c r="BB524" s="362"/>
      <c r="BC524" s="360"/>
      <c r="BD524" s="380"/>
      <c r="BE524" s="381"/>
      <c r="BF524" s="381"/>
      <c r="BG524" s="381"/>
      <c r="BH524" s="381"/>
      <c r="BI524" s="381"/>
      <c r="BJ524" s="381"/>
      <c r="BK524" s="381"/>
      <c r="BL524" s="381"/>
      <c r="BM524" s="381"/>
      <c r="BN524" s="381"/>
      <c r="BO524" s="381"/>
      <c r="BP524" s="381"/>
      <c r="BQ524" s="381"/>
      <c r="BR524" s="381"/>
      <c r="BS524" s="381"/>
      <c r="BT524" s="381"/>
      <c r="BU524" s="381"/>
      <c r="BV524" s="381"/>
      <c r="BW524" s="381"/>
      <c r="BX524" s="381"/>
      <c r="BY524" s="381"/>
      <c r="BZ524" s="381"/>
      <c r="CA524" s="381"/>
      <c r="CB524" s="381"/>
      <c r="CC524" s="381"/>
      <c r="CD524" s="381"/>
      <c r="CE524" s="381"/>
      <c r="CF524" s="381"/>
      <c r="CG524" s="381"/>
      <c r="CH524" s="381"/>
      <c r="CI524" s="382"/>
      <c r="CJ524" s="382"/>
      <c r="CK524" s="382"/>
      <c r="CL524" s="382"/>
      <c r="CM524" s="382"/>
      <c r="CN524" s="382"/>
      <c r="CO524" s="382"/>
      <c r="CP524" s="382"/>
      <c r="CQ524" s="382"/>
      <c r="CR524" s="382"/>
      <c r="CS524" s="382"/>
      <c r="CT524" s="382"/>
      <c r="CU524" s="382"/>
      <c r="CV524" s="382"/>
      <c r="CW524" s="382"/>
      <c r="CX524" s="382"/>
      <c r="CY524" s="382"/>
      <c r="CZ524" s="382"/>
      <c r="DA524" s="382"/>
      <c r="DB524" s="382"/>
      <c r="DC524" s="382"/>
      <c r="DD524" s="382"/>
      <c r="DE524" s="382"/>
      <c r="DF524" s="382"/>
      <c r="DG524" s="382"/>
      <c r="DH524" s="400"/>
      <c r="DI524" s="382"/>
      <c r="DJ524" s="382"/>
      <c r="DK524" s="382"/>
      <c r="DL524" s="382"/>
      <c r="DM524" s="382"/>
      <c r="DN524" s="382"/>
      <c r="DO524" s="383"/>
    </row>
    <row r="525" spans="1:128">
      <c r="A525" s="403"/>
      <c r="B525" s="404"/>
      <c r="C525" s="357"/>
      <c r="D525" s="357"/>
      <c r="E525" s="357"/>
      <c r="F525" s="357"/>
      <c r="G525" s="357"/>
      <c r="H525" s="357"/>
      <c r="I525" s="357"/>
      <c r="J525" s="357"/>
      <c r="K525" s="357"/>
      <c r="L525" s="357"/>
      <c r="M525" s="357"/>
      <c r="N525" s="357"/>
      <c r="O525" s="357"/>
      <c r="P525" s="362"/>
      <c r="Q525" s="362"/>
      <c r="R525" s="362"/>
      <c r="S525" s="362"/>
      <c r="T525" s="360"/>
      <c r="U525" s="361"/>
      <c r="V525" s="361"/>
      <c r="W525" s="361"/>
      <c r="X525" s="357"/>
      <c r="Y525" s="357"/>
      <c r="Z525" s="357"/>
      <c r="AA525" s="357"/>
      <c r="AB525" s="357"/>
      <c r="AC525" s="357"/>
      <c r="AD525" s="357"/>
      <c r="AE525" s="357"/>
      <c r="AF525" s="357"/>
      <c r="AG525" s="357"/>
      <c r="AH525" s="357"/>
      <c r="AI525" s="357"/>
      <c r="AJ525" s="357"/>
      <c r="AK525" s="357"/>
      <c r="AL525" s="357"/>
      <c r="AM525" s="357"/>
      <c r="AN525" s="357"/>
      <c r="AO525" s="357"/>
      <c r="AP525" s="357"/>
      <c r="AQ525" s="357"/>
      <c r="AR525" s="357"/>
      <c r="AS525" s="362"/>
      <c r="AT525" s="360"/>
      <c r="AU525" s="363"/>
      <c r="AV525" s="364"/>
      <c r="AW525" s="364"/>
      <c r="AX525" s="395"/>
      <c r="AY525" s="365"/>
      <c r="AZ525" s="361"/>
      <c r="BA525" s="357"/>
      <c r="BB525" s="362"/>
      <c r="BC525" s="360"/>
      <c r="BD525" s="380"/>
      <c r="BE525" s="381"/>
      <c r="BF525" s="381"/>
      <c r="BG525" s="381"/>
      <c r="BH525" s="381"/>
      <c r="BI525" s="381"/>
      <c r="BJ525" s="381"/>
      <c r="BK525" s="381"/>
      <c r="BL525" s="381"/>
      <c r="BM525" s="381"/>
      <c r="BN525" s="381"/>
      <c r="BO525" s="381"/>
      <c r="BP525" s="381"/>
      <c r="BQ525" s="381"/>
      <c r="BR525" s="381"/>
      <c r="BS525" s="381"/>
      <c r="BT525" s="381"/>
      <c r="BU525" s="381"/>
      <c r="BV525" s="381"/>
      <c r="BW525" s="381"/>
      <c r="BX525" s="381"/>
      <c r="BY525" s="381"/>
      <c r="BZ525" s="381"/>
      <c r="CA525" s="381"/>
      <c r="CB525" s="381"/>
      <c r="CC525" s="381"/>
      <c r="CD525" s="381"/>
      <c r="CE525" s="381"/>
      <c r="CF525" s="381"/>
      <c r="CG525" s="381"/>
      <c r="CH525" s="381"/>
      <c r="CI525" s="382"/>
      <c r="CJ525" s="382"/>
      <c r="CK525" s="382"/>
      <c r="CL525" s="382"/>
      <c r="CM525" s="382"/>
      <c r="CN525" s="382"/>
      <c r="CO525" s="382"/>
      <c r="CP525" s="382"/>
      <c r="CQ525" s="382"/>
      <c r="CR525" s="382"/>
      <c r="CS525" s="382"/>
      <c r="CT525" s="382"/>
      <c r="CU525" s="382"/>
      <c r="CV525" s="382"/>
      <c r="CW525" s="382"/>
      <c r="CX525" s="382"/>
      <c r="CY525" s="382"/>
      <c r="CZ525" s="382"/>
      <c r="DA525" s="382"/>
      <c r="DB525" s="382"/>
      <c r="DC525" s="382"/>
      <c r="DD525" s="382"/>
      <c r="DE525" s="382"/>
      <c r="DF525" s="382"/>
      <c r="DG525" s="382"/>
      <c r="DH525" s="382"/>
      <c r="DI525" s="382"/>
      <c r="DJ525" s="382"/>
      <c r="DK525" s="382"/>
      <c r="DL525" s="382"/>
      <c r="DM525" s="382"/>
      <c r="DN525" s="400">
        <f>ROUNDUP(8*25.9,0)</f>
        <v>208</v>
      </c>
      <c r="DO525" s="383"/>
    </row>
    <row r="526" spans="1:128">
      <c r="A526" s="406"/>
      <c r="B526" s="405"/>
      <c r="C526" s="408"/>
      <c r="D526" s="409"/>
      <c r="E526" s="409"/>
      <c r="F526" s="409"/>
      <c r="G526" s="409"/>
      <c r="H526" s="409"/>
      <c r="I526" s="409"/>
      <c r="J526" s="409"/>
      <c r="K526" s="409"/>
      <c r="L526" s="409"/>
      <c r="M526" s="409"/>
      <c r="N526" s="409"/>
      <c r="O526" s="409"/>
      <c r="P526" s="410"/>
      <c r="Q526" s="410"/>
      <c r="R526" s="410"/>
      <c r="S526" s="410"/>
      <c r="T526" s="360"/>
      <c r="U526" s="405"/>
      <c r="V526" s="405"/>
      <c r="W526" s="405"/>
      <c r="X526" s="408"/>
      <c r="Y526" s="408"/>
      <c r="Z526" s="408"/>
      <c r="AA526" s="408"/>
      <c r="AB526" s="408"/>
      <c r="AC526" s="408"/>
      <c r="AD526" s="408"/>
      <c r="AE526" s="408"/>
      <c r="AF526" s="408"/>
      <c r="AG526" s="408"/>
      <c r="AH526" s="408"/>
      <c r="AI526" s="408"/>
      <c r="AJ526" s="408"/>
      <c r="AK526" s="408"/>
      <c r="AL526" s="408"/>
      <c r="AM526" s="408"/>
      <c r="AN526" s="408"/>
      <c r="AO526" s="408"/>
      <c r="AP526" s="408"/>
      <c r="AQ526" s="408"/>
      <c r="AR526" s="408"/>
      <c r="AS526" s="412"/>
      <c r="AT526" s="413"/>
      <c r="AU526" s="405"/>
      <c r="AV526" s="408"/>
      <c r="AW526" s="416"/>
      <c r="AX526" s="412"/>
      <c r="AY526" s="413"/>
      <c r="AZ526" s="405"/>
      <c r="BA526" s="408"/>
      <c r="BB526" s="1183"/>
      <c r="BC526" s="413"/>
      <c r="BD526" s="414"/>
      <c r="BE526" s="415"/>
      <c r="BF526" s="415"/>
      <c r="BG526" s="415"/>
      <c r="BH526" s="415"/>
      <c r="BI526" s="415"/>
      <c r="BJ526" s="655"/>
      <c r="BK526" s="415"/>
      <c r="BL526" s="415"/>
      <c r="BM526" s="415"/>
      <c r="BN526" s="415"/>
      <c r="BO526" s="415"/>
      <c r="BP526" s="415"/>
      <c r="BQ526" s="415"/>
      <c r="BR526" s="415"/>
      <c r="BS526" s="415"/>
      <c r="BT526" s="415"/>
      <c r="BU526" s="655"/>
      <c r="BV526" s="415"/>
      <c r="BW526" s="415"/>
      <c r="BX526" s="415"/>
      <c r="BY526" s="655"/>
      <c r="BZ526" s="655"/>
      <c r="CA526" s="655"/>
      <c r="CB526" s="415"/>
      <c r="CC526" s="655"/>
      <c r="CD526" s="415"/>
      <c r="CE526" s="415"/>
      <c r="CF526" s="415"/>
      <c r="CG526" s="415"/>
      <c r="CH526" s="415"/>
      <c r="CI526" s="656"/>
      <c r="CJ526" s="416"/>
      <c r="CK526" s="656"/>
      <c r="CL526" s="416"/>
      <c r="CM526" s="656"/>
      <c r="CN526" s="416"/>
      <c r="CO526" s="416"/>
      <c r="CP526" s="416"/>
      <c r="CQ526" s="656"/>
      <c r="CR526" s="656"/>
      <c r="CS526" s="416"/>
      <c r="CT526" s="416"/>
      <c r="CU526" s="416"/>
      <c r="CV526" s="416"/>
      <c r="CW526" s="416"/>
      <c r="CX526" s="656"/>
      <c r="CY526" s="656"/>
      <c r="CZ526" s="416"/>
      <c r="DA526" s="416"/>
      <c r="DB526" s="416"/>
      <c r="DC526" s="416"/>
      <c r="DD526" s="416"/>
      <c r="DE526" s="416"/>
      <c r="DF526" s="416"/>
      <c r="DG526" s="416"/>
      <c r="DH526" s="416"/>
      <c r="DI526" s="416"/>
      <c r="DJ526" s="416"/>
      <c r="DK526" s="416"/>
      <c r="DL526" s="416"/>
      <c r="DM526" s="416"/>
      <c r="DN526" s="416"/>
      <c r="DO526" s="401">
        <f>ROUNDUP(((0.5+1.53+9.3+1.53+0.5)*35.5)+((0.5+1.53+14.3+1.53+0.5)*35.5)+((0.8*12.3)*2)+((0.8*35.5)*2),0)</f>
        <v>1203</v>
      </c>
    </row>
    <row r="527" spans="1:128">
      <c r="A527" s="406"/>
      <c r="B527" s="405"/>
      <c r="C527" s="408"/>
      <c r="D527" s="409"/>
      <c r="E527" s="409"/>
      <c r="F527" s="409"/>
      <c r="G527" s="409"/>
      <c r="H527" s="409"/>
      <c r="I527" s="409"/>
      <c r="J527" s="409"/>
      <c r="K527" s="409"/>
      <c r="L527" s="409"/>
      <c r="M527" s="409"/>
      <c r="N527" s="409"/>
      <c r="O527" s="409"/>
      <c r="P527" s="410"/>
      <c r="Q527" s="410"/>
      <c r="R527" s="410"/>
      <c r="S527" s="410"/>
      <c r="T527" s="360">
        <f>SUM(C527:O527)</f>
        <v>0</v>
      </c>
      <c r="U527" s="405"/>
      <c r="V527" s="405"/>
      <c r="W527" s="405"/>
      <c r="X527" s="408"/>
      <c r="Y527" s="408"/>
      <c r="Z527" s="408"/>
      <c r="AA527" s="408"/>
      <c r="AB527" s="408"/>
      <c r="AC527" s="408"/>
      <c r="AD527" s="408"/>
      <c r="AE527" s="408"/>
      <c r="AF527" s="408"/>
      <c r="AG527" s="408"/>
      <c r="AH527" s="408"/>
      <c r="AI527" s="408"/>
      <c r="AJ527" s="408"/>
      <c r="AK527" s="408"/>
      <c r="AL527" s="408"/>
      <c r="AM527" s="408"/>
      <c r="AN527" s="408"/>
      <c r="AO527" s="408"/>
      <c r="AP527" s="408"/>
      <c r="AQ527" s="408"/>
      <c r="AR527" s="408"/>
      <c r="AS527" s="412"/>
      <c r="AT527" s="413"/>
      <c r="AU527" s="405"/>
      <c r="AV527" s="408"/>
      <c r="AW527" s="408"/>
      <c r="AX527" s="412"/>
      <c r="AY527" s="413"/>
      <c r="AZ527" s="405"/>
      <c r="BA527" s="408"/>
      <c r="BB527" s="1183"/>
      <c r="BC527" s="413"/>
      <c r="BD527" s="414"/>
      <c r="BE527" s="415"/>
      <c r="BF527" s="415"/>
      <c r="BG527" s="415"/>
      <c r="BH527" s="415"/>
      <c r="BI527" s="415"/>
      <c r="BJ527" s="655"/>
      <c r="BK527" s="415"/>
      <c r="BL527" s="415"/>
      <c r="BM527" s="415"/>
      <c r="BN527" s="415"/>
      <c r="BO527" s="415"/>
      <c r="BP527" s="415"/>
      <c r="BQ527" s="415"/>
      <c r="BR527" s="415"/>
      <c r="BS527" s="415"/>
      <c r="BT527" s="415"/>
      <c r="BU527" s="655"/>
      <c r="BV527" s="415"/>
      <c r="BW527" s="415"/>
      <c r="BX527" s="415"/>
      <c r="BY527" s="655"/>
      <c r="BZ527" s="655"/>
      <c r="CA527" s="655"/>
      <c r="CB527" s="415"/>
      <c r="CC527" s="655"/>
      <c r="CD527" s="415"/>
      <c r="CE527" s="415"/>
      <c r="CF527" s="415"/>
      <c r="CG527" s="415"/>
      <c r="CH527" s="415"/>
      <c r="CI527" s="656"/>
      <c r="CJ527" s="416"/>
      <c r="CK527" s="656"/>
      <c r="CL527" s="416"/>
      <c r="CM527" s="656"/>
      <c r="CN527" s="416"/>
      <c r="CO527" s="416"/>
      <c r="CP527" s="416"/>
      <c r="CQ527" s="656"/>
      <c r="CR527" s="656"/>
      <c r="CS527" s="416"/>
      <c r="CT527" s="416"/>
      <c r="CU527" s="416"/>
      <c r="CV527" s="416"/>
      <c r="CW527" s="416"/>
      <c r="CX527" s="656"/>
      <c r="CY527" s="656"/>
      <c r="CZ527" s="416"/>
      <c r="DA527" s="416"/>
      <c r="DB527" s="416"/>
      <c r="DC527" s="416"/>
      <c r="DD527" s="416"/>
      <c r="DE527" s="416"/>
      <c r="DF527" s="416"/>
      <c r="DG527" s="416"/>
      <c r="DH527" s="416"/>
      <c r="DI527" s="416"/>
      <c r="DJ527" s="416"/>
      <c r="DK527" s="416"/>
      <c r="DL527" s="416"/>
      <c r="DM527" s="416"/>
      <c r="DN527" s="416"/>
      <c r="DO527" s="417"/>
    </row>
    <row r="528" spans="1:128">
      <c r="A528" s="406"/>
      <c r="B528" s="405"/>
      <c r="C528" s="408"/>
      <c r="D528" s="409"/>
      <c r="E528" s="409"/>
      <c r="F528" s="409"/>
      <c r="G528" s="409"/>
      <c r="H528" s="409"/>
      <c r="I528" s="409"/>
      <c r="J528" s="409"/>
      <c r="K528" s="409"/>
      <c r="L528" s="409"/>
      <c r="M528" s="409"/>
      <c r="N528" s="409"/>
      <c r="O528" s="409"/>
      <c r="P528" s="410"/>
      <c r="Q528" s="410"/>
      <c r="R528" s="410"/>
      <c r="S528" s="410"/>
      <c r="T528" s="360">
        <f>SUM(C528:O528)</f>
        <v>0</v>
      </c>
      <c r="U528" s="405"/>
      <c r="V528" s="405"/>
      <c r="W528" s="405"/>
      <c r="X528" s="408"/>
      <c r="Y528" s="408"/>
      <c r="Z528" s="408"/>
      <c r="AA528" s="408"/>
      <c r="AB528" s="408"/>
      <c r="AC528" s="408"/>
      <c r="AD528" s="408"/>
      <c r="AE528" s="408"/>
      <c r="AF528" s="408"/>
      <c r="AG528" s="408"/>
      <c r="AH528" s="408"/>
      <c r="AI528" s="408"/>
      <c r="AJ528" s="408"/>
      <c r="AK528" s="408"/>
      <c r="AL528" s="408"/>
      <c r="AM528" s="408"/>
      <c r="AN528" s="408"/>
      <c r="AO528" s="408"/>
      <c r="AP528" s="408"/>
      <c r="AQ528" s="408"/>
      <c r="AR528" s="408"/>
      <c r="AS528" s="412"/>
      <c r="AT528" s="413"/>
      <c r="AU528" s="405"/>
      <c r="AV528" s="408"/>
      <c r="AW528" s="408"/>
      <c r="AX528" s="412"/>
      <c r="AY528" s="413"/>
      <c r="AZ528" s="405"/>
      <c r="BA528" s="408"/>
      <c r="BB528" s="1183"/>
      <c r="BC528" s="413"/>
      <c r="BD528" s="414"/>
      <c r="BE528" s="415"/>
      <c r="BF528" s="415"/>
      <c r="BG528" s="415"/>
      <c r="BH528" s="415"/>
      <c r="BI528" s="415"/>
      <c r="BJ528" s="655"/>
      <c r="BK528" s="415"/>
      <c r="BL528" s="415"/>
      <c r="BM528" s="415"/>
      <c r="BN528" s="415"/>
      <c r="BO528" s="415"/>
      <c r="BP528" s="415"/>
      <c r="BQ528" s="415"/>
      <c r="BR528" s="415"/>
      <c r="BS528" s="415"/>
      <c r="BT528" s="415"/>
      <c r="BU528" s="655"/>
      <c r="BV528" s="415"/>
      <c r="BW528" s="415"/>
      <c r="BX528" s="415"/>
      <c r="BY528" s="655"/>
      <c r="BZ528" s="655"/>
      <c r="CA528" s="655"/>
      <c r="CB528" s="415"/>
      <c r="CC528" s="655"/>
      <c r="CD528" s="415"/>
      <c r="CE528" s="415"/>
      <c r="CF528" s="415"/>
      <c r="CG528" s="415"/>
      <c r="CH528" s="415"/>
      <c r="CI528" s="656"/>
      <c r="CJ528" s="416"/>
      <c r="CK528" s="656"/>
      <c r="CL528" s="416"/>
      <c r="CM528" s="656"/>
      <c r="CN528" s="416"/>
      <c r="CO528" s="416"/>
      <c r="CP528" s="416"/>
      <c r="CQ528" s="656"/>
      <c r="CR528" s="656"/>
      <c r="CS528" s="416"/>
      <c r="CT528" s="416"/>
      <c r="CU528" s="416"/>
      <c r="CV528" s="416"/>
      <c r="CW528" s="416"/>
      <c r="CX528" s="656"/>
      <c r="CY528" s="656"/>
      <c r="CZ528" s="416"/>
      <c r="DA528" s="416"/>
      <c r="DB528" s="416"/>
      <c r="DC528" s="416"/>
      <c r="DD528" s="416"/>
      <c r="DE528" s="416"/>
      <c r="DF528" s="416"/>
      <c r="DG528" s="416"/>
      <c r="DH528" s="416"/>
      <c r="DI528" s="416"/>
      <c r="DJ528" s="416"/>
      <c r="DK528" s="416"/>
      <c r="DL528" s="416"/>
      <c r="DM528" s="416"/>
      <c r="DN528" s="416"/>
      <c r="DO528" s="417"/>
    </row>
    <row r="529" spans="1:119">
      <c r="A529" s="406"/>
      <c r="B529" s="405"/>
      <c r="C529" s="408"/>
      <c r="D529" s="409"/>
      <c r="E529" s="409"/>
      <c r="F529" s="409"/>
      <c r="G529" s="409"/>
      <c r="H529" s="409"/>
      <c r="I529" s="409"/>
      <c r="J529" s="409"/>
      <c r="K529" s="409"/>
      <c r="L529" s="409"/>
      <c r="M529" s="409"/>
      <c r="N529" s="409"/>
      <c r="O529" s="409"/>
      <c r="P529" s="410"/>
      <c r="Q529" s="410"/>
      <c r="R529" s="410"/>
      <c r="S529" s="410"/>
      <c r="T529" s="411"/>
      <c r="U529" s="405"/>
      <c r="V529" s="405"/>
      <c r="W529" s="405"/>
      <c r="X529" s="408"/>
      <c r="Y529" s="408"/>
      <c r="Z529" s="408"/>
      <c r="AA529" s="408"/>
      <c r="AB529" s="408"/>
      <c r="AC529" s="408"/>
      <c r="AD529" s="408"/>
      <c r="AE529" s="408"/>
      <c r="AF529" s="408"/>
      <c r="AG529" s="408"/>
      <c r="AH529" s="408"/>
      <c r="AI529" s="408"/>
      <c r="AJ529" s="408"/>
      <c r="AK529" s="408"/>
      <c r="AL529" s="408"/>
      <c r="AM529" s="408"/>
      <c r="AN529" s="408"/>
      <c r="AO529" s="408"/>
      <c r="AP529" s="408"/>
      <c r="AQ529" s="408"/>
      <c r="AR529" s="408"/>
      <c r="AS529" s="412"/>
      <c r="AT529" s="413"/>
      <c r="AU529" s="405"/>
      <c r="AV529" s="408"/>
      <c r="AW529" s="408"/>
      <c r="AX529" s="412"/>
      <c r="AY529" s="413"/>
      <c r="AZ529" s="405"/>
      <c r="BA529" s="408"/>
      <c r="BB529" s="1183"/>
      <c r="BC529" s="413"/>
      <c r="BD529" s="414"/>
      <c r="BE529" s="415"/>
      <c r="BF529" s="415"/>
      <c r="BG529" s="415"/>
      <c r="BH529" s="415"/>
      <c r="BI529" s="415"/>
      <c r="BJ529" s="655"/>
      <c r="BK529" s="415"/>
      <c r="BL529" s="415"/>
      <c r="BM529" s="415"/>
      <c r="BN529" s="415"/>
      <c r="BO529" s="415"/>
      <c r="BP529" s="415"/>
      <c r="BQ529" s="415"/>
      <c r="BR529" s="415"/>
      <c r="BS529" s="415"/>
      <c r="BT529" s="415"/>
      <c r="BU529" s="655"/>
      <c r="BV529" s="415"/>
      <c r="BW529" s="415"/>
      <c r="BX529" s="415"/>
      <c r="BY529" s="655"/>
      <c r="BZ529" s="655"/>
      <c r="CA529" s="655"/>
      <c r="CB529" s="415"/>
      <c r="CC529" s="655"/>
      <c r="CD529" s="415"/>
      <c r="CE529" s="415"/>
      <c r="CF529" s="415"/>
      <c r="CG529" s="415"/>
      <c r="CH529" s="415"/>
      <c r="CI529" s="656"/>
      <c r="CJ529" s="416"/>
      <c r="CK529" s="656"/>
      <c r="CL529" s="416"/>
      <c r="CM529" s="656"/>
      <c r="CN529" s="416"/>
      <c r="CO529" s="416"/>
      <c r="CP529" s="416"/>
      <c r="CQ529" s="656"/>
      <c r="CR529" s="656"/>
      <c r="CS529" s="416"/>
      <c r="CT529" s="416"/>
      <c r="CU529" s="416"/>
      <c r="CV529" s="416"/>
      <c r="CW529" s="416"/>
      <c r="CX529" s="656"/>
      <c r="CY529" s="656"/>
      <c r="CZ529" s="416"/>
      <c r="DA529" s="416"/>
      <c r="DB529" s="416"/>
      <c r="DC529" s="416"/>
      <c r="DD529" s="416"/>
      <c r="DE529" s="416"/>
      <c r="DF529" s="416"/>
      <c r="DG529" s="416"/>
      <c r="DH529" s="416"/>
      <c r="DI529" s="416"/>
      <c r="DJ529" s="416"/>
      <c r="DK529" s="416"/>
      <c r="DL529" s="416"/>
      <c r="DM529" s="416"/>
      <c r="DN529" s="416"/>
      <c r="DO529" s="417"/>
    </row>
    <row r="530" spans="1:119">
      <c r="A530" s="406"/>
      <c r="B530" s="405"/>
      <c r="C530" s="408"/>
      <c r="D530" s="409"/>
      <c r="E530" s="409"/>
      <c r="F530" s="409"/>
      <c r="G530" s="409"/>
      <c r="H530" s="409"/>
      <c r="I530" s="409"/>
      <c r="J530" s="409"/>
      <c r="K530" s="409"/>
      <c r="L530" s="409"/>
      <c r="M530" s="409"/>
      <c r="N530" s="409"/>
      <c r="O530" s="409"/>
      <c r="P530" s="410"/>
      <c r="Q530" s="410"/>
      <c r="R530" s="410"/>
      <c r="S530" s="410"/>
      <c r="T530" s="411"/>
      <c r="U530" s="405"/>
      <c r="V530" s="405"/>
      <c r="W530" s="405"/>
      <c r="X530" s="408"/>
      <c r="Y530" s="408"/>
      <c r="Z530" s="408"/>
      <c r="AA530" s="408"/>
      <c r="AB530" s="408"/>
      <c r="AC530" s="408"/>
      <c r="AD530" s="408"/>
      <c r="AE530" s="408"/>
      <c r="AF530" s="408"/>
      <c r="AG530" s="408"/>
      <c r="AH530" s="408"/>
      <c r="AI530" s="408"/>
      <c r="AJ530" s="408"/>
      <c r="AK530" s="408"/>
      <c r="AL530" s="408"/>
      <c r="AM530" s="408"/>
      <c r="AN530" s="408"/>
      <c r="AO530" s="408"/>
      <c r="AP530" s="408"/>
      <c r="AQ530" s="408"/>
      <c r="AR530" s="408"/>
      <c r="AS530" s="412"/>
      <c r="AT530" s="413"/>
      <c r="AU530" s="405"/>
      <c r="AV530" s="408"/>
      <c r="AW530" s="408"/>
      <c r="AX530" s="412"/>
      <c r="AY530" s="413"/>
      <c r="AZ530" s="405"/>
      <c r="BA530" s="408"/>
      <c r="BB530" s="1183"/>
      <c r="BC530" s="413"/>
      <c r="BD530" s="414"/>
      <c r="BE530" s="415"/>
      <c r="BF530" s="415"/>
      <c r="BG530" s="415"/>
      <c r="BH530" s="415"/>
      <c r="BI530" s="415"/>
      <c r="BJ530" s="655"/>
      <c r="BK530" s="415"/>
      <c r="BL530" s="415"/>
      <c r="BM530" s="415"/>
      <c r="BN530" s="415"/>
      <c r="BO530" s="415"/>
      <c r="BP530" s="415"/>
      <c r="BQ530" s="415"/>
      <c r="BR530" s="415"/>
      <c r="BS530" s="415"/>
      <c r="BT530" s="415"/>
      <c r="BU530" s="655"/>
      <c r="BV530" s="415"/>
      <c r="BW530" s="415"/>
      <c r="BX530" s="415"/>
      <c r="BY530" s="655"/>
      <c r="BZ530" s="655"/>
      <c r="CA530" s="655"/>
      <c r="CB530" s="415"/>
      <c r="CC530" s="655"/>
      <c r="CD530" s="415"/>
      <c r="CE530" s="415"/>
      <c r="CF530" s="415"/>
      <c r="CG530" s="415"/>
      <c r="CH530" s="415"/>
      <c r="CI530" s="656"/>
      <c r="CJ530" s="416"/>
      <c r="CK530" s="656"/>
      <c r="CL530" s="416"/>
      <c r="CM530" s="656"/>
      <c r="CN530" s="416"/>
      <c r="CO530" s="416"/>
      <c r="CP530" s="416"/>
      <c r="CQ530" s="656"/>
      <c r="CR530" s="656"/>
      <c r="CS530" s="416"/>
      <c r="CT530" s="416"/>
      <c r="CU530" s="416"/>
      <c r="CV530" s="416"/>
      <c r="CW530" s="416"/>
      <c r="CX530" s="656"/>
      <c r="CY530" s="656"/>
      <c r="CZ530" s="416"/>
      <c r="DA530" s="416"/>
      <c r="DB530" s="416"/>
      <c r="DC530" s="416"/>
      <c r="DD530" s="416"/>
      <c r="DE530" s="416"/>
      <c r="DF530" s="416"/>
      <c r="DG530" s="416"/>
      <c r="DH530" s="416"/>
      <c r="DI530" s="416"/>
      <c r="DJ530" s="416"/>
      <c r="DK530" s="416"/>
      <c r="DL530" s="416"/>
      <c r="DM530" s="416"/>
      <c r="DN530" s="416"/>
      <c r="DO530" s="417"/>
    </row>
    <row r="531" spans="1:119" ht="18.75">
      <c r="A531" s="406"/>
      <c r="B531" s="385" t="s">
        <v>182</v>
      </c>
      <c r="C531" s="386">
        <f>SUM(C519:C530)</f>
        <v>0</v>
      </c>
      <c r="D531" s="386">
        <f t="shared" ref="D531:BP531" si="113">SUM(D519:D530)</f>
        <v>0</v>
      </c>
      <c r="E531" s="386">
        <f t="shared" si="113"/>
        <v>0</v>
      </c>
      <c r="F531" s="386">
        <f t="shared" si="113"/>
        <v>0</v>
      </c>
      <c r="G531" s="386">
        <f t="shared" si="113"/>
        <v>0</v>
      </c>
      <c r="H531" s="386">
        <f t="shared" si="113"/>
        <v>308</v>
      </c>
      <c r="I531" s="386">
        <f t="shared" si="113"/>
        <v>0</v>
      </c>
      <c r="J531" s="386">
        <f t="shared" si="113"/>
        <v>0</v>
      </c>
      <c r="K531" s="386">
        <f t="shared" si="113"/>
        <v>0</v>
      </c>
      <c r="L531" s="386">
        <f t="shared" si="113"/>
        <v>0</v>
      </c>
      <c r="M531" s="386">
        <f t="shared" si="113"/>
        <v>0</v>
      </c>
      <c r="N531" s="386">
        <f t="shared" si="113"/>
        <v>0</v>
      </c>
      <c r="O531" s="386">
        <f t="shared" si="113"/>
        <v>0</v>
      </c>
      <c r="P531" s="386">
        <f t="shared" si="113"/>
        <v>0</v>
      </c>
      <c r="Q531" s="386">
        <f t="shared" si="113"/>
        <v>0</v>
      </c>
      <c r="R531" s="386">
        <f t="shared" si="113"/>
        <v>0</v>
      </c>
      <c r="S531" s="386">
        <f t="shared" si="113"/>
        <v>0</v>
      </c>
      <c r="T531" s="386">
        <f t="shared" si="113"/>
        <v>0</v>
      </c>
      <c r="U531" s="386">
        <f t="shared" si="113"/>
        <v>0</v>
      </c>
      <c r="V531" s="386">
        <f t="shared" si="113"/>
        <v>0</v>
      </c>
      <c r="W531" s="386">
        <f t="shared" si="113"/>
        <v>0</v>
      </c>
      <c r="X531" s="386">
        <f t="shared" si="113"/>
        <v>0</v>
      </c>
      <c r="Y531" s="386">
        <f t="shared" si="113"/>
        <v>0</v>
      </c>
      <c r="Z531" s="386">
        <f t="shared" si="113"/>
        <v>0</v>
      </c>
      <c r="AA531" s="386">
        <f t="shared" si="113"/>
        <v>0</v>
      </c>
      <c r="AB531" s="386">
        <f t="shared" si="113"/>
        <v>0</v>
      </c>
      <c r="AC531" s="386">
        <f t="shared" si="113"/>
        <v>0</v>
      </c>
      <c r="AD531" s="386">
        <f t="shared" si="113"/>
        <v>0</v>
      </c>
      <c r="AE531" s="386">
        <f t="shared" si="113"/>
        <v>0</v>
      </c>
      <c r="AF531" s="386">
        <f t="shared" si="113"/>
        <v>0</v>
      </c>
      <c r="AG531" s="386">
        <f t="shared" si="113"/>
        <v>0</v>
      </c>
      <c r="AH531" s="386">
        <f t="shared" si="113"/>
        <v>0</v>
      </c>
      <c r="AI531" s="386">
        <f t="shared" si="113"/>
        <v>0</v>
      </c>
      <c r="AJ531" s="386">
        <f t="shared" si="113"/>
        <v>0</v>
      </c>
      <c r="AK531" s="386">
        <f t="shared" si="113"/>
        <v>0</v>
      </c>
      <c r="AL531" s="386">
        <f t="shared" si="113"/>
        <v>0</v>
      </c>
      <c r="AM531" s="386">
        <f t="shared" si="113"/>
        <v>0</v>
      </c>
      <c r="AN531" s="386">
        <f t="shared" si="113"/>
        <v>0</v>
      </c>
      <c r="AO531" s="386">
        <f t="shared" si="113"/>
        <v>0</v>
      </c>
      <c r="AP531" s="386">
        <f t="shared" si="113"/>
        <v>0</v>
      </c>
      <c r="AQ531" s="386">
        <f t="shared" si="113"/>
        <v>0</v>
      </c>
      <c r="AR531" s="386">
        <f t="shared" si="113"/>
        <v>0</v>
      </c>
      <c r="AS531" s="386">
        <f t="shared" si="113"/>
        <v>0</v>
      </c>
      <c r="AT531" s="386">
        <f t="shared" si="113"/>
        <v>0</v>
      </c>
      <c r="AU531" s="386">
        <f t="shared" si="113"/>
        <v>0</v>
      </c>
      <c r="AV531" s="386">
        <f t="shared" si="113"/>
        <v>0</v>
      </c>
      <c r="AW531" s="386">
        <f t="shared" si="113"/>
        <v>0</v>
      </c>
      <c r="AX531" s="386">
        <f t="shared" si="113"/>
        <v>0</v>
      </c>
      <c r="AY531" s="386">
        <f t="shared" si="113"/>
        <v>0</v>
      </c>
      <c r="AZ531" s="386">
        <f t="shared" si="113"/>
        <v>0</v>
      </c>
      <c r="BA531" s="386">
        <f t="shared" si="113"/>
        <v>0</v>
      </c>
      <c r="BB531" s="386">
        <f t="shared" si="113"/>
        <v>0</v>
      </c>
      <c r="BC531" s="386">
        <f t="shared" si="113"/>
        <v>0</v>
      </c>
      <c r="BD531" s="386">
        <f t="shared" si="113"/>
        <v>0</v>
      </c>
      <c r="BE531" s="386">
        <f t="shared" si="113"/>
        <v>0</v>
      </c>
      <c r="BF531" s="386">
        <f t="shared" si="113"/>
        <v>0</v>
      </c>
      <c r="BG531" s="386">
        <f t="shared" si="113"/>
        <v>0</v>
      </c>
      <c r="BH531" s="386">
        <f t="shared" si="113"/>
        <v>0</v>
      </c>
      <c r="BI531" s="386">
        <f t="shared" si="113"/>
        <v>0</v>
      </c>
      <c r="BJ531" s="386">
        <f t="shared" si="113"/>
        <v>0</v>
      </c>
      <c r="BK531" s="386">
        <f t="shared" si="113"/>
        <v>0</v>
      </c>
      <c r="BL531" s="386">
        <f t="shared" si="113"/>
        <v>0</v>
      </c>
      <c r="BM531" s="386">
        <f t="shared" si="113"/>
        <v>0</v>
      </c>
      <c r="BN531" s="386">
        <f t="shared" si="113"/>
        <v>0</v>
      </c>
      <c r="BO531" s="386">
        <f t="shared" si="113"/>
        <v>0</v>
      </c>
      <c r="BP531" s="386">
        <f t="shared" si="113"/>
        <v>0</v>
      </c>
      <c r="BQ531" s="386">
        <f t="shared" ref="BQ531:DO531" si="114">SUM(BQ519:BQ530)</f>
        <v>0</v>
      </c>
      <c r="BR531" s="386">
        <f t="shared" si="114"/>
        <v>0</v>
      </c>
      <c r="BS531" s="386">
        <f t="shared" si="114"/>
        <v>0</v>
      </c>
      <c r="BT531" s="386">
        <f t="shared" si="114"/>
        <v>0</v>
      </c>
      <c r="BU531" s="386">
        <f t="shared" si="114"/>
        <v>0</v>
      </c>
      <c r="BV531" s="386">
        <f t="shared" si="114"/>
        <v>0</v>
      </c>
      <c r="BW531" s="386">
        <f t="shared" si="114"/>
        <v>0</v>
      </c>
      <c r="BX531" s="386">
        <f t="shared" si="114"/>
        <v>0</v>
      </c>
      <c r="BY531" s="386">
        <f t="shared" si="114"/>
        <v>0</v>
      </c>
      <c r="BZ531" s="386">
        <f t="shared" si="114"/>
        <v>0</v>
      </c>
      <c r="CA531" s="386">
        <f t="shared" si="114"/>
        <v>0</v>
      </c>
      <c r="CB531" s="386">
        <f t="shared" si="114"/>
        <v>0</v>
      </c>
      <c r="CC531" s="386">
        <f t="shared" si="114"/>
        <v>0</v>
      </c>
      <c r="CD531" s="386">
        <f t="shared" si="114"/>
        <v>0</v>
      </c>
      <c r="CE531" s="386">
        <f t="shared" si="114"/>
        <v>0</v>
      </c>
      <c r="CF531" s="386">
        <f t="shared" si="114"/>
        <v>0</v>
      </c>
      <c r="CG531" s="386">
        <f t="shared" si="114"/>
        <v>0</v>
      </c>
      <c r="CH531" s="386">
        <f t="shared" si="114"/>
        <v>0</v>
      </c>
      <c r="CI531" s="386">
        <f t="shared" si="114"/>
        <v>0</v>
      </c>
      <c r="CJ531" s="386">
        <f t="shared" si="114"/>
        <v>0</v>
      </c>
      <c r="CK531" s="386">
        <f t="shared" si="114"/>
        <v>0</v>
      </c>
      <c r="CL531" s="386">
        <f t="shared" si="114"/>
        <v>0</v>
      </c>
      <c r="CM531" s="386">
        <f t="shared" si="114"/>
        <v>0</v>
      </c>
      <c r="CN531" s="386">
        <f t="shared" si="114"/>
        <v>0</v>
      </c>
      <c r="CO531" s="386">
        <f t="shared" si="114"/>
        <v>0</v>
      </c>
      <c r="CP531" s="386">
        <f t="shared" si="114"/>
        <v>0</v>
      </c>
      <c r="CQ531" s="386">
        <f t="shared" si="114"/>
        <v>0</v>
      </c>
      <c r="CR531" s="386">
        <f t="shared" si="114"/>
        <v>0</v>
      </c>
      <c r="CS531" s="386">
        <f t="shared" si="114"/>
        <v>0</v>
      </c>
      <c r="CT531" s="386">
        <f t="shared" si="114"/>
        <v>0</v>
      </c>
      <c r="CU531" s="386">
        <f t="shared" si="114"/>
        <v>0</v>
      </c>
      <c r="CV531" s="386">
        <f t="shared" si="114"/>
        <v>0</v>
      </c>
      <c r="CW531" s="386">
        <f t="shared" si="114"/>
        <v>0</v>
      </c>
      <c r="CX531" s="386">
        <f t="shared" si="114"/>
        <v>0</v>
      </c>
      <c r="CY531" s="386">
        <f t="shared" si="114"/>
        <v>0</v>
      </c>
      <c r="CZ531" s="386"/>
      <c r="DA531" s="386"/>
      <c r="DB531" s="386"/>
      <c r="DC531" s="386"/>
      <c r="DD531" s="386"/>
      <c r="DE531" s="386"/>
      <c r="DF531" s="386">
        <f t="shared" si="114"/>
        <v>1051</v>
      </c>
      <c r="DG531" s="386">
        <f t="shared" si="114"/>
        <v>0</v>
      </c>
      <c r="DH531" s="386">
        <f t="shared" si="114"/>
        <v>0</v>
      </c>
      <c r="DI531" s="386">
        <f t="shared" si="114"/>
        <v>0</v>
      </c>
      <c r="DJ531" s="386">
        <f t="shared" si="114"/>
        <v>0</v>
      </c>
      <c r="DK531" s="386">
        <f t="shared" si="114"/>
        <v>0</v>
      </c>
      <c r="DL531" s="386">
        <f t="shared" si="114"/>
        <v>0</v>
      </c>
      <c r="DM531" s="386">
        <f t="shared" si="114"/>
        <v>0</v>
      </c>
      <c r="DN531" s="386">
        <f t="shared" si="114"/>
        <v>208</v>
      </c>
      <c r="DO531" s="386">
        <f t="shared" si="114"/>
        <v>1203</v>
      </c>
    </row>
    <row r="532" spans="1:119">
      <c r="A532" s="406"/>
      <c r="B532" s="405"/>
      <c r="C532" s="408"/>
      <c r="D532" s="409"/>
      <c r="E532" s="409"/>
      <c r="F532" s="409"/>
      <c r="G532" s="409"/>
      <c r="H532" s="409"/>
      <c r="I532" s="409"/>
      <c r="J532" s="409"/>
      <c r="K532" s="409"/>
      <c r="L532" s="409"/>
      <c r="M532" s="409"/>
      <c r="N532" s="409"/>
      <c r="O532" s="409"/>
      <c r="P532" s="410"/>
      <c r="Q532" s="410"/>
      <c r="R532" s="410"/>
      <c r="S532" s="410"/>
      <c r="T532" s="411"/>
      <c r="U532" s="405"/>
      <c r="V532" s="405"/>
      <c r="W532" s="405"/>
      <c r="X532" s="408"/>
      <c r="Y532" s="408"/>
      <c r="Z532" s="408"/>
      <c r="AA532" s="408"/>
      <c r="AB532" s="408"/>
      <c r="AC532" s="408"/>
      <c r="AD532" s="408"/>
      <c r="AE532" s="408"/>
      <c r="AF532" s="408"/>
      <c r="AG532" s="408"/>
      <c r="AH532" s="408"/>
      <c r="AI532" s="408"/>
      <c r="AJ532" s="408"/>
      <c r="AK532" s="408"/>
      <c r="AL532" s="408"/>
      <c r="AM532" s="408"/>
      <c r="AN532" s="408"/>
      <c r="AO532" s="408"/>
      <c r="AP532" s="408"/>
      <c r="AQ532" s="408"/>
      <c r="AR532" s="408"/>
      <c r="AS532" s="412"/>
      <c r="AT532" s="413"/>
      <c r="AU532" s="405"/>
      <c r="AV532" s="408"/>
      <c r="AW532" s="408"/>
      <c r="AX532" s="412"/>
      <c r="AY532" s="413"/>
      <c r="AZ532" s="405"/>
      <c r="BA532" s="408"/>
      <c r="BB532" s="1183"/>
      <c r="BC532" s="413"/>
      <c r="BD532" s="414"/>
      <c r="BE532" s="415"/>
      <c r="BF532" s="415"/>
      <c r="BG532" s="415"/>
      <c r="BH532" s="415"/>
      <c r="BI532" s="415"/>
      <c r="BJ532" s="655"/>
      <c r="BK532" s="415"/>
      <c r="BL532" s="415"/>
      <c r="BM532" s="415"/>
      <c r="BN532" s="415"/>
      <c r="BO532" s="415"/>
      <c r="BP532" s="415"/>
      <c r="BQ532" s="415"/>
      <c r="BR532" s="415"/>
      <c r="BS532" s="415"/>
      <c r="BT532" s="415"/>
      <c r="BU532" s="655"/>
      <c r="BV532" s="415"/>
      <c r="BW532" s="415"/>
      <c r="BX532" s="415"/>
      <c r="BY532" s="655"/>
      <c r="BZ532" s="655"/>
      <c r="CA532" s="655"/>
      <c r="CB532" s="415"/>
      <c r="CC532" s="655"/>
      <c r="CD532" s="415"/>
      <c r="CE532" s="415"/>
      <c r="CF532" s="415"/>
      <c r="CG532" s="415"/>
      <c r="CH532" s="415"/>
      <c r="CI532" s="656"/>
      <c r="CJ532" s="416"/>
      <c r="CK532" s="656"/>
      <c r="CL532" s="416"/>
      <c r="CM532" s="656"/>
      <c r="CN532" s="416"/>
      <c r="CO532" s="416"/>
      <c r="CP532" s="416"/>
      <c r="CQ532" s="656"/>
      <c r="CR532" s="656"/>
      <c r="CS532" s="416"/>
      <c r="CT532" s="416"/>
      <c r="CU532" s="416"/>
      <c r="CV532" s="416"/>
      <c r="CW532" s="416"/>
      <c r="CX532" s="656"/>
      <c r="CY532" s="656"/>
      <c r="CZ532" s="416"/>
      <c r="DA532" s="416"/>
      <c r="DB532" s="416"/>
      <c r="DC532" s="416"/>
      <c r="DD532" s="416"/>
      <c r="DE532" s="416"/>
      <c r="DF532" s="416"/>
      <c r="DG532" s="416"/>
      <c r="DH532" s="416"/>
      <c r="DI532" s="416"/>
      <c r="DJ532" s="416"/>
      <c r="DK532" s="416"/>
      <c r="DL532" s="416"/>
      <c r="DM532" s="416"/>
      <c r="DN532" s="416"/>
      <c r="DO532" s="417"/>
    </row>
    <row r="533" spans="1:119">
      <c r="A533" s="316"/>
      <c r="B533" s="419"/>
      <c r="C533" s="420"/>
      <c r="D533" s="421"/>
      <c r="E533" s="421"/>
      <c r="F533" s="421"/>
      <c r="G533" s="421"/>
      <c r="H533" s="421"/>
      <c r="I533" s="421"/>
      <c r="J533" s="421"/>
      <c r="K533" s="421"/>
      <c r="L533" s="421"/>
      <c r="M533" s="421"/>
      <c r="N533" s="421"/>
      <c r="O533" s="421"/>
      <c r="P533" s="422"/>
      <c r="Q533" s="422"/>
      <c r="R533" s="422"/>
      <c r="S533" s="422"/>
      <c r="T533" s="423"/>
      <c r="U533" s="419"/>
      <c r="V533" s="419"/>
      <c r="W533" s="419"/>
      <c r="X533" s="420"/>
      <c r="Y533" s="420"/>
      <c r="Z533" s="420"/>
      <c r="AA533" s="420"/>
      <c r="AB533" s="420"/>
      <c r="AC533" s="420"/>
      <c r="AD533" s="420"/>
      <c r="AE533" s="420"/>
      <c r="AF533" s="420"/>
      <c r="AG533" s="420"/>
      <c r="AH533" s="420"/>
      <c r="AI533" s="420"/>
      <c r="AJ533" s="420"/>
      <c r="AK533" s="420"/>
      <c r="AL533" s="420"/>
      <c r="AM533" s="420"/>
      <c r="AN533" s="420"/>
      <c r="AO533" s="420"/>
      <c r="AP533" s="420"/>
      <c r="AQ533" s="420"/>
      <c r="AR533" s="420"/>
      <c r="AS533" s="424"/>
      <c r="AT533" s="425"/>
      <c r="AU533" s="419"/>
      <c r="AV533" s="420"/>
      <c r="AW533" s="420"/>
      <c r="AX533" s="424"/>
      <c r="AY533" s="425"/>
      <c r="AZ533" s="419"/>
      <c r="BA533" s="420"/>
      <c r="BB533" s="424"/>
      <c r="BC533" s="425"/>
      <c r="BD533" s="426"/>
      <c r="BE533" s="427"/>
      <c r="BF533" s="427"/>
      <c r="BG533" s="427"/>
      <c r="BH533" s="427"/>
      <c r="BI533" s="427"/>
      <c r="BJ533" s="427"/>
      <c r="BK533" s="427"/>
      <c r="BL533" s="427"/>
      <c r="BM533" s="427"/>
      <c r="BN533" s="427"/>
      <c r="BO533" s="427"/>
      <c r="BP533" s="427"/>
      <c r="BQ533" s="427"/>
      <c r="BR533" s="427"/>
      <c r="BS533" s="427"/>
      <c r="BT533" s="427"/>
      <c r="BU533" s="427"/>
      <c r="BV533" s="427"/>
      <c r="BW533" s="427"/>
      <c r="BX533" s="427"/>
      <c r="BY533" s="427"/>
      <c r="BZ533" s="427"/>
      <c r="CA533" s="427"/>
      <c r="CB533" s="427"/>
      <c r="CC533" s="427"/>
      <c r="CD533" s="427"/>
      <c r="CE533" s="427"/>
      <c r="CF533" s="427"/>
      <c r="CG533" s="427"/>
      <c r="CH533" s="427"/>
      <c r="CI533" s="428"/>
      <c r="CJ533" s="428"/>
      <c r="CK533" s="428"/>
      <c r="CL533" s="428"/>
      <c r="CM533" s="428"/>
      <c r="CN533" s="428"/>
      <c r="CO533" s="428"/>
      <c r="CP533" s="428"/>
      <c r="CQ533" s="428"/>
      <c r="CR533" s="428"/>
      <c r="CS533" s="428"/>
      <c r="CT533" s="428"/>
      <c r="CU533" s="428"/>
      <c r="CV533" s="428"/>
      <c r="CW533" s="428"/>
      <c r="CX533" s="428"/>
      <c r="CY533" s="428"/>
      <c r="CZ533" s="428"/>
      <c r="DA533" s="428"/>
      <c r="DB533" s="428"/>
      <c r="DC533" s="428"/>
      <c r="DD533" s="428"/>
      <c r="DE533" s="428"/>
      <c r="DF533" s="428"/>
      <c r="DG533" s="428"/>
      <c r="DH533" s="428"/>
      <c r="DI533" s="428"/>
      <c r="DJ533" s="428"/>
      <c r="DK533" s="428"/>
      <c r="DL533" s="428"/>
      <c r="DM533" s="428"/>
      <c r="DN533" s="428"/>
      <c r="DO533" s="429"/>
    </row>
    <row r="534" spans="1:119" ht="19.5" thickBot="1">
      <c r="A534" s="430"/>
      <c r="B534" s="431" t="s">
        <v>181</v>
      </c>
      <c r="C534" s="432">
        <f>SUM(C516+C531)</f>
        <v>152</v>
      </c>
      <c r="D534" s="432">
        <f t="shared" ref="D534:BP534" si="115">SUM(D516+D531)</f>
        <v>0</v>
      </c>
      <c r="E534" s="432">
        <f t="shared" si="115"/>
        <v>0</v>
      </c>
      <c r="F534" s="432">
        <f t="shared" si="115"/>
        <v>0</v>
      </c>
      <c r="G534" s="432">
        <f t="shared" si="115"/>
        <v>0</v>
      </c>
      <c r="H534" s="432">
        <f t="shared" si="115"/>
        <v>760</v>
      </c>
      <c r="I534" s="432">
        <f t="shared" si="115"/>
        <v>0</v>
      </c>
      <c r="J534" s="432">
        <f t="shared" si="115"/>
        <v>0</v>
      </c>
      <c r="K534" s="432">
        <f t="shared" si="115"/>
        <v>0</v>
      </c>
      <c r="L534" s="432">
        <f t="shared" si="115"/>
        <v>0</v>
      </c>
      <c r="M534" s="432">
        <f t="shared" si="115"/>
        <v>0</v>
      </c>
      <c r="N534" s="432">
        <f t="shared" si="115"/>
        <v>0</v>
      </c>
      <c r="O534" s="432">
        <f t="shared" si="115"/>
        <v>0</v>
      </c>
      <c r="P534" s="432">
        <f t="shared" si="115"/>
        <v>0</v>
      </c>
      <c r="Q534" s="432">
        <f t="shared" si="115"/>
        <v>0</v>
      </c>
      <c r="R534" s="432">
        <f t="shared" si="115"/>
        <v>0</v>
      </c>
      <c r="S534" s="432">
        <f t="shared" si="115"/>
        <v>0</v>
      </c>
      <c r="T534" s="432">
        <f t="shared" si="115"/>
        <v>0</v>
      </c>
      <c r="U534" s="432">
        <f t="shared" si="115"/>
        <v>133</v>
      </c>
      <c r="V534" s="432">
        <f t="shared" si="115"/>
        <v>0</v>
      </c>
      <c r="W534" s="432">
        <f t="shared" si="115"/>
        <v>0</v>
      </c>
      <c r="X534" s="432">
        <f t="shared" si="115"/>
        <v>0</v>
      </c>
      <c r="Y534" s="432">
        <f t="shared" si="115"/>
        <v>0</v>
      </c>
      <c r="Z534" s="432">
        <f t="shared" si="115"/>
        <v>0</v>
      </c>
      <c r="AA534" s="432">
        <f t="shared" si="115"/>
        <v>0</v>
      </c>
      <c r="AB534" s="432">
        <f t="shared" si="115"/>
        <v>0</v>
      </c>
      <c r="AC534" s="432">
        <f t="shared" si="115"/>
        <v>291</v>
      </c>
      <c r="AD534" s="432">
        <f t="shared" si="115"/>
        <v>454</v>
      </c>
      <c r="AE534" s="432">
        <f t="shared" si="115"/>
        <v>0</v>
      </c>
      <c r="AF534" s="432">
        <f t="shared" si="115"/>
        <v>0</v>
      </c>
      <c r="AG534" s="432">
        <f t="shared" si="115"/>
        <v>0</v>
      </c>
      <c r="AH534" s="432">
        <f t="shared" si="115"/>
        <v>0</v>
      </c>
      <c r="AI534" s="432">
        <f t="shared" si="115"/>
        <v>0</v>
      </c>
      <c r="AJ534" s="432">
        <f t="shared" si="115"/>
        <v>0</v>
      </c>
      <c r="AK534" s="432">
        <f t="shared" si="115"/>
        <v>0</v>
      </c>
      <c r="AL534" s="432">
        <f t="shared" si="115"/>
        <v>0</v>
      </c>
      <c r="AM534" s="432">
        <f t="shared" si="115"/>
        <v>0</v>
      </c>
      <c r="AN534" s="432">
        <f t="shared" si="115"/>
        <v>0</v>
      </c>
      <c r="AO534" s="432">
        <f t="shared" si="115"/>
        <v>0</v>
      </c>
      <c r="AP534" s="432">
        <f t="shared" si="115"/>
        <v>0</v>
      </c>
      <c r="AQ534" s="432">
        <f t="shared" si="115"/>
        <v>67</v>
      </c>
      <c r="AR534" s="432">
        <f t="shared" si="115"/>
        <v>0</v>
      </c>
      <c r="AS534" s="432">
        <f t="shared" si="115"/>
        <v>0</v>
      </c>
      <c r="AT534" s="432">
        <f t="shared" si="115"/>
        <v>104</v>
      </c>
      <c r="AU534" s="432">
        <f t="shared" si="115"/>
        <v>0</v>
      </c>
      <c r="AV534" s="432">
        <f t="shared" si="115"/>
        <v>0</v>
      </c>
      <c r="AW534" s="432">
        <f t="shared" si="115"/>
        <v>302</v>
      </c>
      <c r="AX534" s="432">
        <f t="shared" si="115"/>
        <v>0</v>
      </c>
      <c r="AY534" s="432">
        <f t="shared" si="115"/>
        <v>0</v>
      </c>
      <c r="AZ534" s="432">
        <f t="shared" si="115"/>
        <v>454</v>
      </c>
      <c r="BA534" s="432">
        <f t="shared" si="115"/>
        <v>291</v>
      </c>
      <c r="BB534" s="432">
        <f t="shared" si="115"/>
        <v>0</v>
      </c>
      <c r="BC534" s="432">
        <f t="shared" si="115"/>
        <v>302</v>
      </c>
      <c r="BD534" s="432">
        <f t="shared" si="115"/>
        <v>0</v>
      </c>
      <c r="BE534" s="432">
        <f t="shared" si="115"/>
        <v>0</v>
      </c>
      <c r="BF534" s="432">
        <f t="shared" si="115"/>
        <v>2</v>
      </c>
      <c r="BG534" s="432">
        <f t="shared" si="115"/>
        <v>2</v>
      </c>
      <c r="BH534" s="432">
        <f t="shared" si="115"/>
        <v>4</v>
      </c>
      <c r="BI534" s="432">
        <f t="shared" si="115"/>
        <v>0</v>
      </c>
      <c r="BJ534" s="432">
        <f t="shared" si="115"/>
        <v>0</v>
      </c>
      <c r="BK534" s="432">
        <f t="shared" si="115"/>
        <v>0</v>
      </c>
      <c r="BL534" s="432">
        <f t="shared" si="115"/>
        <v>0</v>
      </c>
      <c r="BM534" s="432">
        <f t="shared" si="115"/>
        <v>0</v>
      </c>
      <c r="BN534" s="432">
        <f t="shared" si="115"/>
        <v>0</v>
      </c>
      <c r="BO534" s="432">
        <f t="shared" si="115"/>
        <v>0</v>
      </c>
      <c r="BP534" s="432">
        <f t="shared" si="115"/>
        <v>0</v>
      </c>
      <c r="BQ534" s="432">
        <f t="shared" ref="BQ534:DO534" si="116">SUM(BQ516+BQ531)</f>
        <v>0</v>
      </c>
      <c r="BR534" s="432">
        <f t="shared" si="116"/>
        <v>0</v>
      </c>
      <c r="BS534" s="432">
        <f t="shared" si="116"/>
        <v>0</v>
      </c>
      <c r="BT534" s="432">
        <f t="shared" si="116"/>
        <v>0</v>
      </c>
      <c r="BU534" s="432">
        <f t="shared" si="116"/>
        <v>0</v>
      </c>
      <c r="BV534" s="432">
        <f t="shared" si="116"/>
        <v>0</v>
      </c>
      <c r="BW534" s="432">
        <f t="shared" si="116"/>
        <v>0</v>
      </c>
      <c r="BX534" s="432">
        <f t="shared" si="116"/>
        <v>0</v>
      </c>
      <c r="BY534" s="432">
        <f t="shared" si="116"/>
        <v>0</v>
      </c>
      <c r="BZ534" s="432">
        <f t="shared" si="116"/>
        <v>0</v>
      </c>
      <c r="CA534" s="432">
        <f t="shared" si="116"/>
        <v>0</v>
      </c>
      <c r="CB534" s="432">
        <f t="shared" si="116"/>
        <v>0</v>
      </c>
      <c r="CC534" s="432">
        <f t="shared" si="116"/>
        <v>0</v>
      </c>
      <c r="CD534" s="432">
        <f t="shared" si="116"/>
        <v>0</v>
      </c>
      <c r="CE534" s="432">
        <f t="shared" si="116"/>
        <v>6</v>
      </c>
      <c r="CF534" s="432">
        <f t="shared" si="116"/>
        <v>2</v>
      </c>
      <c r="CG534" s="432">
        <f t="shared" si="116"/>
        <v>0</v>
      </c>
      <c r="CH534" s="432">
        <f t="shared" si="116"/>
        <v>0</v>
      </c>
      <c r="CI534" s="432">
        <f t="shared" si="116"/>
        <v>0</v>
      </c>
      <c r="CJ534" s="432">
        <f t="shared" si="116"/>
        <v>0</v>
      </c>
      <c r="CK534" s="432">
        <f t="shared" si="116"/>
        <v>0</v>
      </c>
      <c r="CL534" s="432">
        <f t="shared" si="116"/>
        <v>0</v>
      </c>
      <c r="CM534" s="432">
        <f t="shared" si="116"/>
        <v>0</v>
      </c>
      <c r="CN534" s="432">
        <f t="shared" si="116"/>
        <v>0</v>
      </c>
      <c r="CO534" s="432">
        <f t="shared" si="116"/>
        <v>0</v>
      </c>
      <c r="CP534" s="432">
        <f t="shared" si="116"/>
        <v>0</v>
      </c>
      <c r="CQ534" s="432">
        <f t="shared" si="116"/>
        <v>0</v>
      </c>
      <c r="CR534" s="432">
        <f t="shared" si="116"/>
        <v>0</v>
      </c>
      <c r="CS534" s="432">
        <f t="shared" si="116"/>
        <v>0</v>
      </c>
      <c r="CT534" s="432">
        <f t="shared" si="116"/>
        <v>0</v>
      </c>
      <c r="CU534" s="432">
        <f t="shared" si="116"/>
        <v>0</v>
      </c>
      <c r="CV534" s="432">
        <f t="shared" si="116"/>
        <v>0</v>
      </c>
      <c r="CW534" s="432">
        <f t="shared" si="116"/>
        <v>0</v>
      </c>
      <c r="CX534" s="432">
        <f t="shared" si="116"/>
        <v>0</v>
      </c>
      <c r="CY534" s="432">
        <f t="shared" si="116"/>
        <v>0</v>
      </c>
      <c r="CZ534" s="432"/>
      <c r="DA534" s="432"/>
      <c r="DB534" s="432"/>
      <c r="DC534" s="432"/>
      <c r="DD534" s="432"/>
      <c r="DE534" s="432"/>
      <c r="DF534" s="432">
        <f t="shared" si="116"/>
        <v>1051</v>
      </c>
      <c r="DG534" s="432">
        <f t="shared" si="116"/>
        <v>0</v>
      </c>
      <c r="DH534" s="432">
        <f t="shared" si="116"/>
        <v>0</v>
      </c>
      <c r="DI534" s="432">
        <f t="shared" si="116"/>
        <v>0</v>
      </c>
      <c r="DJ534" s="432">
        <f t="shared" si="116"/>
        <v>0</v>
      </c>
      <c r="DK534" s="432">
        <f t="shared" si="116"/>
        <v>0</v>
      </c>
      <c r="DL534" s="432">
        <f t="shared" si="116"/>
        <v>0</v>
      </c>
      <c r="DM534" s="432">
        <f t="shared" si="116"/>
        <v>0</v>
      </c>
      <c r="DN534" s="432">
        <f t="shared" si="116"/>
        <v>208</v>
      </c>
      <c r="DO534" s="432">
        <f t="shared" si="116"/>
        <v>1203</v>
      </c>
    </row>
    <row r="535" spans="1:119" ht="17.25" thickTop="1"/>
    <row r="539" spans="1:119" ht="19.5" thickBot="1">
      <c r="A539" s="430"/>
      <c r="B539" s="431" t="s">
        <v>1838</v>
      </c>
      <c r="C539" s="432">
        <f>SUM(C173+C227+C292+C492+C534)</f>
        <v>5420</v>
      </c>
      <c r="D539" s="432">
        <f t="shared" ref="D539:BO539" si="117">SUM(D173+D227+D292+D492+D534)</f>
        <v>11280</v>
      </c>
      <c r="E539" s="432">
        <f t="shared" si="117"/>
        <v>887</v>
      </c>
      <c r="F539" s="432">
        <f t="shared" si="117"/>
        <v>1131</v>
      </c>
      <c r="G539" s="432">
        <f t="shared" si="117"/>
        <v>2740</v>
      </c>
      <c r="H539" s="432">
        <f t="shared" si="117"/>
        <v>9733</v>
      </c>
      <c r="I539" s="432">
        <f t="shared" si="117"/>
        <v>0</v>
      </c>
      <c r="J539" s="432">
        <f t="shared" si="117"/>
        <v>0</v>
      </c>
      <c r="K539" s="432">
        <f t="shared" si="117"/>
        <v>0</v>
      </c>
      <c r="L539" s="432">
        <f t="shared" si="117"/>
        <v>0</v>
      </c>
      <c r="M539" s="432">
        <f t="shared" si="117"/>
        <v>0</v>
      </c>
      <c r="N539" s="432">
        <f t="shared" si="117"/>
        <v>0</v>
      </c>
      <c r="O539" s="432">
        <f t="shared" si="117"/>
        <v>0</v>
      </c>
      <c r="P539" s="432">
        <f t="shared" si="117"/>
        <v>0</v>
      </c>
      <c r="Q539" s="432">
        <f t="shared" si="117"/>
        <v>0</v>
      </c>
      <c r="R539" s="432">
        <f t="shared" si="117"/>
        <v>0</v>
      </c>
      <c r="S539" s="432">
        <f t="shared" si="117"/>
        <v>34</v>
      </c>
      <c r="T539" s="432">
        <f t="shared" si="117"/>
        <v>900</v>
      </c>
      <c r="U539" s="432">
        <f t="shared" si="117"/>
        <v>18671</v>
      </c>
      <c r="V539" s="432">
        <f t="shared" si="117"/>
        <v>3806</v>
      </c>
      <c r="W539" s="432">
        <f t="shared" si="117"/>
        <v>108</v>
      </c>
      <c r="X539" s="432">
        <f t="shared" si="117"/>
        <v>0</v>
      </c>
      <c r="Y539" s="432">
        <f t="shared" si="117"/>
        <v>0</v>
      </c>
      <c r="Z539" s="432">
        <f t="shared" si="117"/>
        <v>124</v>
      </c>
      <c r="AA539" s="432">
        <f t="shared" si="117"/>
        <v>1441</v>
      </c>
      <c r="AB539" s="432">
        <f t="shared" si="117"/>
        <v>399</v>
      </c>
      <c r="AC539" s="432">
        <f t="shared" si="117"/>
        <v>12900</v>
      </c>
      <c r="AD539" s="432">
        <f t="shared" si="117"/>
        <v>34049</v>
      </c>
      <c r="AE539" s="432">
        <f t="shared" si="117"/>
        <v>1021</v>
      </c>
      <c r="AF539" s="432">
        <f t="shared" si="117"/>
        <v>0</v>
      </c>
      <c r="AG539" s="432">
        <f t="shared" si="117"/>
        <v>2511</v>
      </c>
      <c r="AH539" s="432">
        <f t="shared" si="117"/>
        <v>594</v>
      </c>
      <c r="AI539" s="432">
        <f t="shared" si="117"/>
        <v>519</v>
      </c>
      <c r="AJ539" s="432">
        <f t="shared" si="117"/>
        <v>0</v>
      </c>
      <c r="AK539" s="432">
        <f t="shared" si="117"/>
        <v>0</v>
      </c>
      <c r="AL539" s="432">
        <f t="shared" si="117"/>
        <v>0</v>
      </c>
      <c r="AM539" s="432">
        <f t="shared" si="117"/>
        <v>0</v>
      </c>
      <c r="AN539" s="432">
        <f t="shared" si="117"/>
        <v>0</v>
      </c>
      <c r="AO539" s="432">
        <f t="shared" si="117"/>
        <v>0</v>
      </c>
      <c r="AP539" s="432">
        <f t="shared" si="117"/>
        <v>0</v>
      </c>
      <c r="AQ539" s="432">
        <f t="shared" si="117"/>
        <v>4214.7</v>
      </c>
      <c r="AR539" s="432">
        <f t="shared" si="117"/>
        <v>303</v>
      </c>
      <c r="AS539" s="432">
        <f t="shared" si="117"/>
        <v>0</v>
      </c>
      <c r="AT539" s="432">
        <f t="shared" si="117"/>
        <v>4073.2</v>
      </c>
      <c r="AU539" s="432">
        <f t="shared" si="117"/>
        <v>3882</v>
      </c>
      <c r="AV539" s="432">
        <f t="shared" si="117"/>
        <v>887</v>
      </c>
      <c r="AW539" s="432">
        <f t="shared" si="117"/>
        <v>9521</v>
      </c>
      <c r="AX539" s="432">
        <f t="shared" si="117"/>
        <v>0</v>
      </c>
      <c r="AY539" s="432">
        <f t="shared" si="117"/>
        <v>0</v>
      </c>
      <c r="AZ539" s="432">
        <f t="shared" si="117"/>
        <v>30737</v>
      </c>
      <c r="BA539" s="432">
        <f t="shared" si="117"/>
        <v>12882</v>
      </c>
      <c r="BB539" s="432">
        <f t="shared" si="117"/>
        <v>519</v>
      </c>
      <c r="BC539" s="432">
        <f t="shared" si="117"/>
        <v>14290</v>
      </c>
      <c r="BD539" s="432">
        <f t="shared" si="117"/>
        <v>2</v>
      </c>
      <c r="BE539" s="432">
        <f t="shared" si="117"/>
        <v>8</v>
      </c>
      <c r="BF539" s="432">
        <f t="shared" si="117"/>
        <v>40</v>
      </c>
      <c r="BG539" s="432">
        <f t="shared" si="117"/>
        <v>11</v>
      </c>
      <c r="BH539" s="432">
        <f t="shared" si="117"/>
        <v>15</v>
      </c>
      <c r="BI539" s="432">
        <f t="shared" si="117"/>
        <v>5</v>
      </c>
      <c r="BJ539" s="432">
        <f t="shared" si="117"/>
        <v>5</v>
      </c>
      <c r="BK539" s="432">
        <f t="shared" si="117"/>
        <v>7</v>
      </c>
      <c r="BL539" s="432">
        <f t="shared" si="117"/>
        <v>6</v>
      </c>
      <c r="BM539" s="432">
        <f t="shared" si="117"/>
        <v>3</v>
      </c>
      <c r="BN539" s="432">
        <f t="shared" si="117"/>
        <v>4</v>
      </c>
      <c r="BO539" s="432">
        <f t="shared" si="117"/>
        <v>5</v>
      </c>
      <c r="BP539" s="432">
        <f t="shared" ref="BP539:DO539" si="118">SUM(BP173+BP227+BP292+BP492+BP534)</f>
        <v>14</v>
      </c>
      <c r="BQ539" s="432">
        <f t="shared" si="118"/>
        <v>8</v>
      </c>
      <c r="BR539" s="432">
        <f t="shared" si="118"/>
        <v>17</v>
      </c>
      <c r="BS539" s="432">
        <f t="shared" si="118"/>
        <v>47</v>
      </c>
      <c r="BT539" s="432">
        <f t="shared" si="118"/>
        <v>6</v>
      </c>
      <c r="BU539" s="432">
        <f t="shared" si="118"/>
        <v>5</v>
      </c>
      <c r="BV539" s="432">
        <f t="shared" si="118"/>
        <v>3</v>
      </c>
      <c r="BW539" s="432">
        <f t="shared" si="118"/>
        <v>5</v>
      </c>
      <c r="BX539" s="432">
        <f t="shared" si="118"/>
        <v>6</v>
      </c>
      <c r="BY539" s="432">
        <f t="shared" si="118"/>
        <v>23</v>
      </c>
      <c r="BZ539" s="432">
        <f t="shared" si="118"/>
        <v>2</v>
      </c>
      <c r="CA539" s="432">
        <f t="shared" si="118"/>
        <v>9</v>
      </c>
      <c r="CB539" s="432">
        <f t="shared" si="118"/>
        <v>38</v>
      </c>
      <c r="CC539" s="432">
        <f t="shared" si="118"/>
        <v>21</v>
      </c>
      <c r="CD539" s="432">
        <f t="shared" si="118"/>
        <v>6</v>
      </c>
      <c r="CE539" s="432">
        <f t="shared" si="118"/>
        <v>35</v>
      </c>
      <c r="CF539" s="432">
        <f t="shared" si="118"/>
        <v>21</v>
      </c>
      <c r="CG539" s="432">
        <f t="shared" si="118"/>
        <v>18</v>
      </c>
      <c r="CH539" s="432">
        <f t="shared" si="118"/>
        <v>19</v>
      </c>
      <c r="CI539" s="432">
        <f t="shared" si="118"/>
        <v>9</v>
      </c>
      <c r="CJ539" s="432">
        <f t="shared" si="118"/>
        <v>37</v>
      </c>
      <c r="CK539" s="432">
        <f t="shared" si="118"/>
        <v>13</v>
      </c>
      <c r="CL539" s="432">
        <f t="shared" si="118"/>
        <v>29</v>
      </c>
      <c r="CM539" s="432">
        <f t="shared" si="118"/>
        <v>3</v>
      </c>
      <c r="CN539" s="432">
        <f t="shared" si="118"/>
        <v>6</v>
      </c>
      <c r="CO539" s="432">
        <f t="shared" si="118"/>
        <v>5</v>
      </c>
      <c r="CP539" s="432">
        <f t="shared" si="118"/>
        <v>5</v>
      </c>
      <c r="CQ539" s="432">
        <f t="shared" si="118"/>
        <v>4</v>
      </c>
      <c r="CR539" s="432">
        <f t="shared" si="118"/>
        <v>11</v>
      </c>
      <c r="CS539" s="432">
        <f t="shared" si="118"/>
        <v>6</v>
      </c>
      <c r="CT539" s="432">
        <f t="shared" si="118"/>
        <v>2</v>
      </c>
      <c r="CU539" s="432">
        <f t="shared" si="118"/>
        <v>2</v>
      </c>
      <c r="CV539" s="432">
        <f t="shared" si="118"/>
        <v>2</v>
      </c>
      <c r="CW539" s="432">
        <f t="shared" si="118"/>
        <v>3</v>
      </c>
      <c r="CX539" s="432">
        <f t="shared" si="118"/>
        <v>6</v>
      </c>
      <c r="CY539" s="432">
        <f t="shared" si="118"/>
        <v>13</v>
      </c>
      <c r="CZ539" s="432">
        <f t="shared" si="118"/>
        <v>1</v>
      </c>
      <c r="DA539" s="432">
        <f t="shared" si="118"/>
        <v>1</v>
      </c>
      <c r="DB539" s="432">
        <f t="shared" si="118"/>
        <v>1</v>
      </c>
      <c r="DC539" s="432">
        <f t="shared" si="118"/>
        <v>1</v>
      </c>
      <c r="DD539" s="432">
        <f t="shared" si="118"/>
        <v>3</v>
      </c>
      <c r="DE539" s="432">
        <f t="shared" si="118"/>
        <v>2</v>
      </c>
      <c r="DF539" s="432">
        <f t="shared" si="118"/>
        <v>5764</v>
      </c>
      <c r="DG539" s="432">
        <f t="shared" si="118"/>
        <v>280</v>
      </c>
      <c r="DH539" s="432">
        <f t="shared" si="118"/>
        <v>355</v>
      </c>
      <c r="DI539" s="432">
        <f t="shared" si="118"/>
        <v>1791</v>
      </c>
      <c r="DJ539" s="432">
        <f t="shared" si="118"/>
        <v>165</v>
      </c>
      <c r="DK539" s="432">
        <f t="shared" si="118"/>
        <v>287</v>
      </c>
      <c r="DL539" s="432">
        <f t="shared" si="118"/>
        <v>6203</v>
      </c>
      <c r="DM539" s="432">
        <f t="shared" si="118"/>
        <v>515</v>
      </c>
      <c r="DN539" s="432">
        <f t="shared" si="118"/>
        <v>2471</v>
      </c>
      <c r="DO539" s="432">
        <f t="shared" si="118"/>
        <v>4014</v>
      </c>
    </row>
    <row r="540" spans="1:119" ht="17.25" thickTop="1"/>
  </sheetData>
  <sheetProtection algorithmName="SHA-512" hashValue="qxM5wcGQSyuj3wk+Q5sK7bmigek2NcpInB8W89b0q/1QT7lpX0GQhvz661Xgo1DYB9pRngk+OGhGqFoccMKHWQ==" saltValue="2n2GdoujSgyIKufNGQ+KBg==" spinCount="100000" sheet="1" formatCells="0" formatColumns="0" formatRows="0" insertColumns="0" insertRows="0" insertHyperlinks="0" deleteColumns="0" deleteRows="0" sort="0" autoFilter="0" pivotTables="0"/>
  <mergeCells count="11">
    <mergeCell ref="C5:T5"/>
    <mergeCell ref="AC6:AD6"/>
    <mergeCell ref="AU5:AY5"/>
    <mergeCell ref="AZ5:BC5"/>
    <mergeCell ref="AQ5:AS5"/>
    <mergeCell ref="DQ69:DR69"/>
    <mergeCell ref="DS72:DT72"/>
    <mergeCell ref="DF5:DO5"/>
    <mergeCell ref="U6:V6"/>
    <mergeCell ref="BD5:CW5"/>
    <mergeCell ref="U5:AP5"/>
  </mergeCells>
  <phoneticPr fontId="40" type="noConversion"/>
  <pageMargins left="0.7" right="0.7" top="0.75" bottom="0.75" header="0.3" footer="0.3"/>
  <pageSetup paperSize="9" orientation="portrait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8"/>
  <sheetViews>
    <sheetView topLeftCell="A13" zoomScale="80" zoomScaleNormal="80" workbookViewId="0">
      <selection activeCell="AP36" sqref="AP36"/>
    </sheetView>
  </sheetViews>
  <sheetFormatPr defaultColWidth="8.85546875" defaultRowHeight="18.75"/>
  <cols>
    <col min="1" max="1" width="9.42578125" customWidth="1"/>
    <col min="2" max="2" width="58.42578125" customWidth="1"/>
    <col min="3" max="7" width="15.42578125" customWidth="1"/>
    <col min="8" max="8" width="12.42578125" customWidth="1"/>
    <col min="9" max="9" width="9.42578125" customWidth="1"/>
    <col min="10" max="10" width="58.42578125" customWidth="1"/>
    <col min="11" max="14" width="15.42578125" style="66" customWidth="1"/>
    <col min="15" max="17" width="12.42578125" style="66" customWidth="1"/>
    <col min="18" max="18" width="9.42578125" customWidth="1"/>
    <col min="19" max="19" width="58.42578125" customWidth="1"/>
    <col min="20" max="26" width="15.42578125" customWidth="1"/>
    <col min="27" max="27" width="12.42578125" customWidth="1"/>
    <col min="30" max="30" width="12.42578125" customWidth="1"/>
    <col min="32" max="32" width="11" customWidth="1"/>
    <col min="35" max="35" width="14.140625" customWidth="1"/>
    <col min="40" max="40" width="11.7109375" customWidth="1"/>
    <col min="42" max="42" width="11.7109375" customWidth="1"/>
  </cols>
  <sheetData>
    <row r="1" spans="1:42" ht="23.25" customHeight="1">
      <c r="A1" s="1752" t="s">
        <v>493</v>
      </c>
      <c r="B1" s="1752"/>
      <c r="C1" s="1753"/>
      <c r="D1" s="1753"/>
      <c r="E1" s="1753"/>
      <c r="F1" s="1753"/>
      <c r="G1" s="308"/>
      <c r="H1" s="1754" t="s">
        <v>182</v>
      </c>
      <c r="I1" s="1761" t="s">
        <v>492</v>
      </c>
      <c r="J1" s="1761"/>
      <c r="K1" s="1762"/>
      <c r="L1" s="1762"/>
      <c r="M1" s="1762"/>
      <c r="N1" s="1762"/>
      <c r="O1" s="1765" t="s">
        <v>182</v>
      </c>
      <c r="P1" s="749"/>
      <c r="Q1" s="749"/>
      <c r="R1" s="1760" t="s">
        <v>1053</v>
      </c>
      <c r="S1" s="1760"/>
      <c r="T1" s="1743" t="s">
        <v>825</v>
      </c>
      <c r="U1" s="1744"/>
      <c r="V1" s="1744"/>
      <c r="W1" s="1744"/>
      <c r="X1" s="1745"/>
      <c r="Y1" s="795"/>
      <c r="Z1" s="809"/>
      <c r="AA1" s="1746" t="s">
        <v>182</v>
      </c>
    </row>
    <row r="2" spans="1:42" ht="23.25" customHeight="1">
      <c r="A2" s="1752"/>
      <c r="B2" s="1752"/>
      <c r="C2" s="97" t="s">
        <v>249</v>
      </c>
      <c r="D2" s="97" t="s">
        <v>250</v>
      </c>
      <c r="E2" s="97" t="s">
        <v>252</v>
      </c>
      <c r="F2" s="97" t="s">
        <v>253</v>
      </c>
      <c r="G2" s="438" t="s">
        <v>468</v>
      </c>
      <c r="H2" s="1755"/>
      <c r="I2" s="1761"/>
      <c r="J2" s="1761"/>
      <c r="K2" s="89" t="s">
        <v>249</v>
      </c>
      <c r="L2" s="89" t="s">
        <v>250</v>
      </c>
      <c r="M2" s="89"/>
      <c r="N2" s="89"/>
      <c r="O2" s="1766"/>
      <c r="P2" s="750"/>
      <c r="Q2" s="750"/>
      <c r="R2" s="1760"/>
      <c r="S2" s="1760"/>
      <c r="T2" s="105" t="s">
        <v>249</v>
      </c>
      <c r="U2" s="105" t="s">
        <v>250</v>
      </c>
      <c r="V2" s="438" t="s">
        <v>1524</v>
      </c>
      <c r="W2" s="105" t="s">
        <v>252</v>
      </c>
      <c r="X2" s="105" t="s">
        <v>253</v>
      </c>
      <c r="Y2" s="796" t="s">
        <v>1527</v>
      </c>
      <c r="Z2" s="796" t="s">
        <v>1528</v>
      </c>
      <c r="AA2" s="1747"/>
    </row>
    <row r="3" spans="1:42" ht="20.25">
      <c r="A3" s="98"/>
      <c r="B3" s="1756" t="s">
        <v>4</v>
      </c>
      <c r="C3" s="99"/>
      <c r="D3" s="99"/>
      <c r="E3" s="99"/>
      <c r="F3" s="99"/>
      <c r="G3" s="439"/>
      <c r="H3" s="1755"/>
      <c r="I3" s="90"/>
      <c r="J3" s="1763" t="s">
        <v>4</v>
      </c>
      <c r="K3" s="91"/>
      <c r="L3" s="91"/>
      <c r="M3" s="91"/>
      <c r="N3" s="91"/>
      <c r="O3" s="1766"/>
      <c r="P3" s="758"/>
      <c r="Q3" s="758"/>
      <c r="R3" s="106"/>
      <c r="S3" s="1758" t="s">
        <v>4</v>
      </c>
      <c r="T3" s="107"/>
      <c r="U3" s="107"/>
      <c r="V3" s="439"/>
      <c r="W3" s="107"/>
      <c r="X3" s="107"/>
      <c r="Y3" s="797"/>
      <c r="Z3" s="797"/>
      <c r="AA3" s="1747"/>
    </row>
    <row r="4" spans="1:42" ht="20.25">
      <c r="A4" s="100"/>
      <c r="B4" s="1757"/>
      <c r="C4" s="101"/>
      <c r="D4" s="101"/>
      <c r="E4" s="101"/>
      <c r="F4" s="101"/>
      <c r="G4" s="440"/>
      <c r="H4" s="1755"/>
      <c r="I4" s="92"/>
      <c r="J4" s="1764"/>
      <c r="K4" s="93"/>
      <c r="L4" s="93"/>
      <c r="M4" s="93"/>
      <c r="N4" s="93"/>
      <c r="O4" s="1766"/>
      <c r="P4" s="759"/>
      <c r="Q4" s="759"/>
      <c r="R4" s="108"/>
      <c r="S4" s="1759"/>
      <c r="T4" s="109"/>
      <c r="U4" s="109"/>
      <c r="V4" s="440"/>
      <c r="W4" s="109"/>
      <c r="X4" s="109"/>
      <c r="Y4" s="798"/>
      <c r="Z4" s="798"/>
      <c r="AA4" s="1747"/>
    </row>
    <row r="5" spans="1:42" ht="20.25">
      <c r="A5" s="102"/>
      <c r="B5" s="103" t="s">
        <v>246</v>
      </c>
      <c r="C5" s="104"/>
      <c r="D5" s="104"/>
      <c r="E5" s="104"/>
      <c r="F5" s="104"/>
      <c r="G5" s="104"/>
      <c r="H5" s="128"/>
      <c r="I5" s="94"/>
      <c r="J5" s="95" t="s">
        <v>246</v>
      </c>
      <c r="K5" s="96"/>
      <c r="L5" s="96"/>
      <c r="M5" s="96"/>
      <c r="N5" s="96"/>
      <c r="O5" s="129"/>
      <c r="P5" s="767" t="s">
        <v>1421</v>
      </c>
      <c r="Q5" s="767" t="s">
        <v>1422</v>
      </c>
      <c r="R5" s="110"/>
      <c r="S5" s="111" t="s">
        <v>246</v>
      </c>
      <c r="T5" s="112"/>
      <c r="U5" s="112"/>
      <c r="V5" s="104"/>
      <c r="W5" s="112"/>
      <c r="X5" s="112"/>
      <c r="Y5" s="112"/>
      <c r="Z5" s="112"/>
      <c r="AA5" s="130"/>
    </row>
    <row r="6" spans="1:42" ht="20.25">
      <c r="A6" s="124"/>
      <c r="B6" s="125"/>
      <c r="C6" s="126"/>
      <c r="D6" s="126"/>
      <c r="E6" s="126"/>
      <c r="F6" s="126"/>
      <c r="G6" s="126"/>
      <c r="H6" s="127"/>
      <c r="I6" s="124"/>
      <c r="J6" s="125"/>
      <c r="K6" s="126"/>
      <c r="L6" s="126"/>
      <c r="M6" s="126"/>
      <c r="N6" s="126"/>
      <c r="O6" s="127"/>
      <c r="P6" s="760"/>
      <c r="Q6" s="760"/>
      <c r="R6" s="124"/>
      <c r="S6" s="125"/>
      <c r="T6" s="126"/>
      <c r="U6" s="126"/>
      <c r="V6" s="126"/>
      <c r="W6" s="126"/>
      <c r="X6" s="126"/>
      <c r="Y6" s="126"/>
      <c r="Z6" s="126"/>
      <c r="AA6" s="127"/>
      <c r="AD6" s="1751" t="s">
        <v>424</v>
      </c>
      <c r="AE6" s="1751"/>
      <c r="AF6" s="1751"/>
      <c r="AI6" s="1751" t="s">
        <v>1308</v>
      </c>
      <c r="AJ6" s="1751"/>
      <c r="AK6" s="1751"/>
      <c r="AN6" s="1751" t="s">
        <v>1304</v>
      </c>
      <c r="AO6" s="1751"/>
      <c r="AP6" s="1751"/>
    </row>
    <row r="7" spans="1:42" ht="24">
      <c r="A7" s="113">
        <v>1</v>
      </c>
      <c r="B7" s="118" t="s">
        <v>472</v>
      </c>
      <c r="C7" s="116">
        <v>4</v>
      </c>
      <c r="D7" s="73">
        <v>7</v>
      </c>
      <c r="E7" s="73">
        <v>3</v>
      </c>
      <c r="F7" s="73">
        <v>9</v>
      </c>
      <c r="G7" s="725">
        <v>0</v>
      </c>
      <c r="H7" s="72">
        <f>SUM(C7:G7)</f>
        <v>23</v>
      </c>
      <c r="I7" s="113">
        <v>1</v>
      </c>
      <c r="J7" s="118" t="s">
        <v>472</v>
      </c>
      <c r="K7" s="729">
        <v>1</v>
      </c>
      <c r="L7" s="730">
        <v>3</v>
      </c>
      <c r="M7" s="731"/>
      <c r="N7" s="730"/>
      <c r="O7" s="81">
        <f t="shared" ref="O7:O17" si="0">SUM(K7:N7)</f>
        <v>4</v>
      </c>
      <c r="P7" s="768">
        <v>6500</v>
      </c>
      <c r="Q7" s="769">
        <v>450</v>
      </c>
      <c r="R7" s="113">
        <v>1</v>
      </c>
      <c r="S7" s="118" t="s">
        <v>1535</v>
      </c>
      <c r="T7" s="729">
        <v>5</v>
      </c>
      <c r="U7" s="730">
        <v>5</v>
      </c>
      <c r="V7" s="725">
        <v>0</v>
      </c>
      <c r="W7" s="730">
        <v>5</v>
      </c>
      <c r="X7" s="730">
        <v>5</v>
      </c>
      <c r="Y7" s="725">
        <v>0</v>
      </c>
      <c r="Z7" s="725">
        <v>0</v>
      </c>
      <c r="AA7" s="81">
        <f>SUM(T7:Z7)</f>
        <v>20</v>
      </c>
      <c r="AD7" s="466">
        <v>6500</v>
      </c>
      <c r="AF7" s="467">
        <v>450</v>
      </c>
      <c r="AI7" s="466">
        <v>4850</v>
      </c>
      <c r="AK7" s="467">
        <v>450</v>
      </c>
      <c r="AN7" s="466">
        <v>4850</v>
      </c>
      <c r="AP7" s="467">
        <v>450</v>
      </c>
    </row>
    <row r="8" spans="1:42" ht="24">
      <c r="A8" s="714">
        <v>1</v>
      </c>
      <c r="B8" s="715" t="s">
        <v>434</v>
      </c>
      <c r="C8" s="84">
        <f>C7</f>
        <v>4</v>
      </c>
      <c r="D8" s="69">
        <f>D7</f>
        <v>7</v>
      </c>
      <c r="E8" s="69">
        <f>E7</f>
        <v>3</v>
      </c>
      <c r="F8" s="69">
        <f>F7</f>
        <v>9</v>
      </c>
      <c r="G8" s="724">
        <v>0</v>
      </c>
      <c r="H8" s="68">
        <f>SUM(C8:G8)</f>
        <v>23</v>
      </c>
      <c r="I8" s="714">
        <v>1</v>
      </c>
      <c r="J8" s="715" t="s">
        <v>434</v>
      </c>
      <c r="K8" s="726">
        <f>K7</f>
        <v>1</v>
      </c>
      <c r="L8" s="720">
        <f>L7</f>
        <v>3</v>
      </c>
      <c r="M8" s="727"/>
      <c r="N8" s="720"/>
      <c r="O8" s="68">
        <f t="shared" si="0"/>
        <v>4</v>
      </c>
      <c r="P8" s="770">
        <v>80</v>
      </c>
      <c r="Q8" s="771">
        <v>35</v>
      </c>
      <c r="R8" s="714">
        <v>1</v>
      </c>
      <c r="S8" s="715" t="s">
        <v>434</v>
      </c>
      <c r="T8" s="726">
        <f>T7</f>
        <v>5</v>
      </c>
      <c r="U8" s="720">
        <f>U7</f>
        <v>5</v>
      </c>
      <c r="V8" s="724">
        <v>0</v>
      </c>
      <c r="W8" s="720">
        <f>W7</f>
        <v>5</v>
      </c>
      <c r="X8" s="720">
        <f>X7</f>
        <v>5</v>
      </c>
      <c r="Y8" s="799">
        <v>0</v>
      </c>
      <c r="Z8" s="799">
        <v>0</v>
      </c>
      <c r="AA8" s="81">
        <f t="shared" ref="AA8:AA40" si="1">SUM(T8:Z8)</f>
        <v>20</v>
      </c>
      <c r="AD8" s="468">
        <v>80</v>
      </c>
      <c r="AF8" s="467">
        <v>35</v>
      </c>
      <c r="AI8" s="468">
        <v>80</v>
      </c>
      <c r="AK8" s="467">
        <v>35</v>
      </c>
      <c r="AN8" s="468">
        <v>80</v>
      </c>
      <c r="AP8" s="467">
        <v>35</v>
      </c>
    </row>
    <row r="9" spans="1:42" ht="24">
      <c r="A9" s="710" t="s">
        <v>1346</v>
      </c>
      <c r="B9" s="716" t="s">
        <v>1349</v>
      </c>
      <c r="C9" s="719">
        <v>0</v>
      </c>
      <c r="D9" s="720">
        <v>0</v>
      </c>
      <c r="E9" s="720">
        <v>0</v>
      </c>
      <c r="F9" s="720">
        <v>0</v>
      </c>
      <c r="G9" s="441">
        <v>1</v>
      </c>
      <c r="H9" s="68">
        <f>SUM(C9:G9)</f>
        <v>1</v>
      </c>
      <c r="I9" s="114">
        <v>2</v>
      </c>
      <c r="J9" s="119" t="s">
        <v>435</v>
      </c>
      <c r="K9" s="719">
        <f>K7</f>
        <v>1</v>
      </c>
      <c r="L9" s="719">
        <f>L7</f>
        <v>3</v>
      </c>
      <c r="M9" s="732"/>
      <c r="N9" s="720"/>
      <c r="O9" s="68">
        <f t="shared" si="0"/>
        <v>4</v>
      </c>
      <c r="P9" s="772">
        <v>300</v>
      </c>
      <c r="Q9" s="777">
        <v>70</v>
      </c>
      <c r="R9" s="710" t="s">
        <v>1346</v>
      </c>
      <c r="S9" s="716" t="s">
        <v>1536</v>
      </c>
      <c r="T9" s="719">
        <v>0</v>
      </c>
      <c r="U9" s="720">
        <v>0</v>
      </c>
      <c r="V9" s="724">
        <v>1</v>
      </c>
      <c r="W9" s="720">
        <v>0</v>
      </c>
      <c r="X9" s="720">
        <v>0</v>
      </c>
      <c r="Y9" s="799">
        <v>0</v>
      </c>
      <c r="Z9" s="799">
        <v>0</v>
      </c>
      <c r="AA9" s="81">
        <f t="shared" si="1"/>
        <v>1</v>
      </c>
      <c r="AD9" s="466">
        <v>6500</v>
      </c>
      <c r="AF9" s="467">
        <v>450</v>
      </c>
      <c r="AI9" s="468"/>
      <c r="AK9" s="711"/>
      <c r="AN9" s="466">
        <v>4850</v>
      </c>
      <c r="AP9" s="467">
        <v>450</v>
      </c>
    </row>
    <row r="10" spans="1:42" ht="24">
      <c r="A10" s="114" t="s">
        <v>1346</v>
      </c>
      <c r="B10" s="119" t="s">
        <v>434</v>
      </c>
      <c r="C10" s="721">
        <v>0</v>
      </c>
      <c r="D10" s="720">
        <v>0</v>
      </c>
      <c r="E10" s="720">
        <v>0</v>
      </c>
      <c r="F10" s="720">
        <v>0</v>
      </c>
      <c r="G10" s="441">
        <f>G9</f>
        <v>1</v>
      </c>
      <c r="H10" s="68">
        <f>SUM(C10:G10)</f>
        <v>1</v>
      </c>
      <c r="I10" s="114">
        <v>3</v>
      </c>
      <c r="J10" s="119" t="s">
        <v>436</v>
      </c>
      <c r="K10" s="721">
        <v>2</v>
      </c>
      <c r="L10" s="721">
        <v>3</v>
      </c>
      <c r="M10" s="733"/>
      <c r="N10" s="720"/>
      <c r="O10" s="68">
        <f t="shared" si="0"/>
        <v>5</v>
      </c>
      <c r="P10" s="773">
        <v>3500</v>
      </c>
      <c r="Q10" s="1767">
        <v>450</v>
      </c>
      <c r="R10" s="114" t="s">
        <v>1346</v>
      </c>
      <c r="S10" s="119" t="s">
        <v>434</v>
      </c>
      <c r="T10" s="721">
        <v>0</v>
      </c>
      <c r="U10" s="720">
        <v>0</v>
      </c>
      <c r="V10" s="724">
        <v>1</v>
      </c>
      <c r="W10" s="720">
        <v>0</v>
      </c>
      <c r="X10" s="720">
        <v>0</v>
      </c>
      <c r="Y10" s="799">
        <v>0</v>
      </c>
      <c r="Z10" s="799">
        <v>0</v>
      </c>
      <c r="AA10" s="81">
        <f t="shared" si="1"/>
        <v>1</v>
      </c>
      <c r="AD10" s="468">
        <v>80</v>
      </c>
      <c r="AF10" s="467">
        <v>35</v>
      </c>
      <c r="AI10" s="468"/>
      <c r="AK10" s="711"/>
      <c r="AN10" s="468">
        <v>80</v>
      </c>
      <c r="AP10" s="467">
        <v>35</v>
      </c>
    </row>
    <row r="11" spans="1:42" ht="24">
      <c r="A11" s="114">
        <v>2</v>
      </c>
      <c r="B11" s="119" t="s">
        <v>435</v>
      </c>
      <c r="C11" s="84">
        <f>C7</f>
        <v>4</v>
      </c>
      <c r="D11" s="69">
        <f>D7</f>
        <v>7</v>
      </c>
      <c r="E11" s="69">
        <f>E7</f>
        <v>3</v>
      </c>
      <c r="F11" s="69">
        <f>F7</f>
        <v>9</v>
      </c>
      <c r="G11" s="724">
        <f>G7</f>
        <v>0</v>
      </c>
      <c r="H11" s="68">
        <f>SUM(C11:G11)</f>
        <v>23</v>
      </c>
      <c r="I11" s="114">
        <v>3</v>
      </c>
      <c r="J11" s="119" t="s">
        <v>437</v>
      </c>
      <c r="K11" s="726">
        <f>K10</f>
        <v>2</v>
      </c>
      <c r="L11" s="726">
        <f>L10</f>
        <v>3</v>
      </c>
      <c r="M11" s="726"/>
      <c r="N11" s="720"/>
      <c r="O11" s="68">
        <f t="shared" si="0"/>
        <v>5</v>
      </c>
      <c r="P11" s="774"/>
      <c r="Q11" s="1768"/>
      <c r="R11" s="114">
        <v>2</v>
      </c>
      <c r="S11" s="119" t="s">
        <v>435</v>
      </c>
      <c r="T11" s="726">
        <f>T7</f>
        <v>5</v>
      </c>
      <c r="U11" s="720">
        <f>U7</f>
        <v>5</v>
      </c>
      <c r="V11" s="724">
        <f>V7</f>
        <v>0</v>
      </c>
      <c r="W11" s="720">
        <f>W7</f>
        <v>5</v>
      </c>
      <c r="X11" s="720">
        <f>X7</f>
        <v>5</v>
      </c>
      <c r="Y11" s="799">
        <v>0</v>
      </c>
      <c r="Z11" s="799">
        <v>0</v>
      </c>
      <c r="AA11" s="81">
        <f t="shared" si="1"/>
        <v>20</v>
      </c>
      <c r="AD11" s="464">
        <v>300</v>
      </c>
      <c r="AF11" s="465">
        <v>70</v>
      </c>
      <c r="AI11" s="464">
        <v>380</v>
      </c>
      <c r="AK11" s="465">
        <v>105</v>
      </c>
      <c r="AN11" s="464">
        <v>1180</v>
      </c>
      <c r="AP11" s="465">
        <v>105</v>
      </c>
    </row>
    <row r="12" spans="1:42" ht="24">
      <c r="A12" s="114">
        <v>3</v>
      </c>
      <c r="B12" s="119" t="s">
        <v>473</v>
      </c>
      <c r="C12" s="84">
        <v>4</v>
      </c>
      <c r="D12" s="722">
        <v>0</v>
      </c>
      <c r="E12" s="83">
        <v>6</v>
      </c>
      <c r="F12" s="722">
        <v>0</v>
      </c>
      <c r="G12" s="723">
        <v>0</v>
      </c>
      <c r="H12" s="68">
        <f t="shared" ref="H12:H18" si="2">SUM(C12:G12)</f>
        <v>10</v>
      </c>
      <c r="I12" s="114">
        <v>3</v>
      </c>
      <c r="J12" s="119" t="s">
        <v>438</v>
      </c>
      <c r="K12" s="726">
        <f>K10</f>
        <v>2</v>
      </c>
      <c r="L12" s="726">
        <f>L10</f>
        <v>3</v>
      </c>
      <c r="M12" s="726"/>
      <c r="N12" s="720"/>
      <c r="O12" s="68">
        <f t="shared" si="0"/>
        <v>5</v>
      </c>
      <c r="P12" s="774"/>
      <c r="Q12" s="1768"/>
      <c r="R12" s="114">
        <v>3</v>
      </c>
      <c r="S12" s="119" t="s">
        <v>473</v>
      </c>
      <c r="T12" s="726">
        <v>5</v>
      </c>
      <c r="U12" s="722">
        <v>0</v>
      </c>
      <c r="V12" s="723">
        <v>0</v>
      </c>
      <c r="W12" s="722">
        <v>3</v>
      </c>
      <c r="X12" s="722">
        <v>0</v>
      </c>
      <c r="Y12" s="800">
        <v>0</v>
      </c>
      <c r="Z12" s="800">
        <v>0</v>
      </c>
      <c r="AA12" s="81">
        <f t="shared" si="1"/>
        <v>8</v>
      </c>
      <c r="AD12" s="469">
        <v>5500</v>
      </c>
      <c r="AF12" s="470">
        <v>450</v>
      </c>
      <c r="AI12" s="469">
        <v>5500</v>
      </c>
      <c r="AK12" s="470">
        <v>450</v>
      </c>
      <c r="AN12" s="469">
        <v>5500</v>
      </c>
      <c r="AP12" s="470">
        <v>450</v>
      </c>
    </row>
    <row r="13" spans="1:42" ht="20.25">
      <c r="A13" s="114">
        <v>4</v>
      </c>
      <c r="B13" s="119" t="s">
        <v>436</v>
      </c>
      <c r="C13" s="84">
        <v>4</v>
      </c>
      <c r="D13" s="69">
        <v>4</v>
      </c>
      <c r="E13" s="69">
        <v>4</v>
      </c>
      <c r="F13" s="69">
        <v>3</v>
      </c>
      <c r="G13" s="724">
        <v>0</v>
      </c>
      <c r="H13" s="68">
        <f t="shared" si="2"/>
        <v>15</v>
      </c>
      <c r="I13" s="114">
        <v>3</v>
      </c>
      <c r="J13" s="119" t="s">
        <v>439</v>
      </c>
      <c r="K13" s="726">
        <f>K10</f>
        <v>2</v>
      </c>
      <c r="L13" s="726">
        <f>L10</f>
        <v>3</v>
      </c>
      <c r="M13" s="726"/>
      <c r="N13" s="720"/>
      <c r="O13" s="68">
        <f t="shared" si="0"/>
        <v>5</v>
      </c>
      <c r="P13" s="774"/>
      <c r="Q13" s="1768"/>
      <c r="R13" s="114">
        <v>4</v>
      </c>
      <c r="S13" s="119" t="s">
        <v>436</v>
      </c>
      <c r="T13" s="726">
        <v>4</v>
      </c>
      <c r="U13" s="720">
        <v>4</v>
      </c>
      <c r="V13" s="724">
        <v>0</v>
      </c>
      <c r="W13" s="720">
        <v>3</v>
      </c>
      <c r="X13" s="720">
        <v>6</v>
      </c>
      <c r="Y13" s="800">
        <v>0</v>
      </c>
      <c r="Z13" s="800">
        <v>0</v>
      </c>
      <c r="AA13" s="81">
        <f t="shared" si="1"/>
        <v>17</v>
      </c>
      <c r="AD13" s="734">
        <v>3500</v>
      </c>
      <c r="AF13" s="1740">
        <v>450</v>
      </c>
      <c r="AI13" s="1748">
        <v>3500</v>
      </c>
      <c r="AK13" s="1740">
        <v>450</v>
      </c>
      <c r="AN13" s="734">
        <v>3500</v>
      </c>
      <c r="AP13" s="1740">
        <v>450</v>
      </c>
    </row>
    <row r="14" spans="1:42" ht="20.25">
      <c r="A14" s="114">
        <v>4</v>
      </c>
      <c r="B14" s="119" t="s">
        <v>437</v>
      </c>
      <c r="C14" s="84">
        <f>C13</f>
        <v>4</v>
      </c>
      <c r="D14" s="69">
        <f>D13</f>
        <v>4</v>
      </c>
      <c r="E14" s="69">
        <f>E13</f>
        <v>4</v>
      </c>
      <c r="F14" s="69">
        <f>F13</f>
        <v>3</v>
      </c>
      <c r="G14" s="724">
        <f>G13</f>
        <v>0</v>
      </c>
      <c r="H14" s="68">
        <f t="shared" si="2"/>
        <v>15</v>
      </c>
      <c r="I14" s="114">
        <v>3</v>
      </c>
      <c r="J14" s="119" t="s">
        <v>440</v>
      </c>
      <c r="K14" s="726">
        <f>K10</f>
        <v>2</v>
      </c>
      <c r="L14" s="726">
        <f>L10</f>
        <v>3</v>
      </c>
      <c r="M14" s="726"/>
      <c r="N14" s="720"/>
      <c r="O14" s="68">
        <f t="shared" si="0"/>
        <v>5</v>
      </c>
      <c r="P14" s="775"/>
      <c r="Q14" s="1768"/>
      <c r="R14" s="114">
        <v>4</v>
      </c>
      <c r="S14" s="119" t="s">
        <v>437</v>
      </c>
      <c r="T14" s="726">
        <f>T13</f>
        <v>4</v>
      </c>
      <c r="U14" s="720">
        <f>U13</f>
        <v>4</v>
      </c>
      <c r="V14" s="724">
        <f>V13</f>
        <v>0</v>
      </c>
      <c r="W14" s="720">
        <f>W13</f>
        <v>3</v>
      </c>
      <c r="X14" s="720">
        <f>X13</f>
        <v>6</v>
      </c>
      <c r="Y14" s="800">
        <v>0</v>
      </c>
      <c r="Z14" s="800">
        <v>0</v>
      </c>
      <c r="AA14" s="81">
        <f t="shared" si="1"/>
        <v>17</v>
      </c>
      <c r="AD14" s="735"/>
      <c r="AF14" s="1741"/>
      <c r="AI14" s="1749"/>
      <c r="AK14" s="1741"/>
      <c r="AN14" s="735"/>
      <c r="AP14" s="1741"/>
    </row>
    <row r="15" spans="1:42" ht="20.25">
      <c r="A15" s="114">
        <v>4</v>
      </c>
      <c r="B15" s="119" t="s">
        <v>438</v>
      </c>
      <c r="C15" s="84">
        <f>C13</f>
        <v>4</v>
      </c>
      <c r="D15" s="69">
        <f>D13</f>
        <v>4</v>
      </c>
      <c r="E15" s="69">
        <f>E13</f>
        <v>4</v>
      </c>
      <c r="F15" s="69">
        <f>F13</f>
        <v>3</v>
      </c>
      <c r="G15" s="724">
        <f>G13</f>
        <v>0</v>
      </c>
      <c r="H15" s="68">
        <f t="shared" si="2"/>
        <v>15</v>
      </c>
      <c r="I15" s="710">
        <v>3</v>
      </c>
      <c r="J15" s="119" t="s">
        <v>434</v>
      </c>
      <c r="K15" s="726">
        <f>K10</f>
        <v>2</v>
      </c>
      <c r="L15" s="726">
        <f>L10</f>
        <v>3</v>
      </c>
      <c r="M15" s="726"/>
      <c r="N15" s="720"/>
      <c r="O15" s="68">
        <f t="shared" si="0"/>
        <v>5</v>
      </c>
      <c r="P15" s="770"/>
      <c r="Q15" s="1769"/>
      <c r="R15" s="114">
        <v>4</v>
      </c>
      <c r="S15" s="119" t="s">
        <v>438</v>
      </c>
      <c r="T15" s="726">
        <f>T13</f>
        <v>4</v>
      </c>
      <c r="U15" s="720">
        <f>U13</f>
        <v>4</v>
      </c>
      <c r="V15" s="724">
        <f>V13</f>
        <v>0</v>
      </c>
      <c r="W15" s="720">
        <f>W13</f>
        <v>3</v>
      </c>
      <c r="X15" s="720">
        <f>X13</f>
        <v>6</v>
      </c>
      <c r="Y15" s="800">
        <v>0</v>
      </c>
      <c r="Z15" s="800">
        <v>0</v>
      </c>
      <c r="AA15" s="81">
        <f t="shared" si="1"/>
        <v>17</v>
      </c>
      <c r="AD15" s="735"/>
      <c r="AF15" s="1741"/>
      <c r="AI15" s="1749"/>
      <c r="AK15" s="1741"/>
      <c r="AN15" s="735"/>
      <c r="AP15" s="1741"/>
    </row>
    <row r="16" spans="1:42" ht="20.25">
      <c r="A16" s="114">
        <v>4</v>
      </c>
      <c r="B16" s="119" t="s">
        <v>439</v>
      </c>
      <c r="C16" s="84">
        <f>C13</f>
        <v>4</v>
      </c>
      <c r="D16" s="69">
        <f>D13</f>
        <v>4</v>
      </c>
      <c r="E16" s="69">
        <f>E13</f>
        <v>4</v>
      </c>
      <c r="F16" s="69">
        <f>F13</f>
        <v>3</v>
      </c>
      <c r="G16" s="724">
        <f>G13</f>
        <v>0</v>
      </c>
      <c r="H16" s="68">
        <f t="shared" si="2"/>
        <v>15</v>
      </c>
      <c r="I16" s="710">
        <v>4</v>
      </c>
      <c r="J16" s="119" t="s">
        <v>1351</v>
      </c>
      <c r="K16" s="726">
        <v>1</v>
      </c>
      <c r="L16" s="720">
        <v>1</v>
      </c>
      <c r="M16" s="726"/>
      <c r="N16" s="720"/>
      <c r="O16" s="68">
        <f t="shared" si="0"/>
        <v>2</v>
      </c>
      <c r="P16" s="772">
        <f>ROUNDUP((4.1*1)*10.764*200,0)</f>
        <v>8827</v>
      </c>
      <c r="Q16" s="777">
        <v>120</v>
      </c>
      <c r="R16" s="114">
        <v>4</v>
      </c>
      <c r="S16" s="119" t="s">
        <v>439</v>
      </c>
      <c r="T16" s="726">
        <f>T13</f>
        <v>4</v>
      </c>
      <c r="U16" s="720">
        <f>U13</f>
        <v>4</v>
      </c>
      <c r="V16" s="724">
        <f>V13</f>
        <v>0</v>
      </c>
      <c r="W16" s="720">
        <f>W13</f>
        <v>3</v>
      </c>
      <c r="X16" s="720">
        <f>X13</f>
        <v>6</v>
      </c>
      <c r="Y16" s="800">
        <v>0</v>
      </c>
      <c r="Z16" s="800">
        <v>0</v>
      </c>
      <c r="AA16" s="81">
        <f t="shared" si="1"/>
        <v>17</v>
      </c>
      <c r="AD16" s="735"/>
      <c r="AF16" s="1741"/>
      <c r="AI16" s="1749"/>
      <c r="AK16" s="1741"/>
      <c r="AN16" s="735"/>
      <c r="AP16" s="1741"/>
    </row>
    <row r="17" spans="1:42" ht="20.25">
      <c r="A17" s="114">
        <v>4</v>
      </c>
      <c r="B17" s="119" t="s">
        <v>440</v>
      </c>
      <c r="C17" s="84">
        <f>C13</f>
        <v>4</v>
      </c>
      <c r="D17" s="69">
        <f>D13</f>
        <v>4</v>
      </c>
      <c r="E17" s="69">
        <f>E13</f>
        <v>4</v>
      </c>
      <c r="F17" s="69">
        <f>F13</f>
        <v>3</v>
      </c>
      <c r="G17" s="724">
        <f>G13</f>
        <v>0</v>
      </c>
      <c r="H17" s="68">
        <f t="shared" si="2"/>
        <v>15</v>
      </c>
      <c r="I17" s="114">
        <v>5</v>
      </c>
      <c r="J17" s="119" t="s">
        <v>473</v>
      </c>
      <c r="K17" s="721">
        <v>4</v>
      </c>
      <c r="L17" s="721">
        <v>0</v>
      </c>
      <c r="M17" s="721">
        <f>M12</f>
        <v>0</v>
      </c>
      <c r="N17" s="721">
        <f>N12</f>
        <v>0</v>
      </c>
      <c r="O17" s="68">
        <f t="shared" si="0"/>
        <v>4</v>
      </c>
      <c r="P17" s="777">
        <v>5500</v>
      </c>
      <c r="Q17" s="777">
        <v>450</v>
      </c>
      <c r="R17" s="114">
        <v>4</v>
      </c>
      <c r="S17" s="119" t="s">
        <v>440</v>
      </c>
      <c r="T17" s="726">
        <f>T13</f>
        <v>4</v>
      </c>
      <c r="U17" s="720">
        <f>U13</f>
        <v>4</v>
      </c>
      <c r="V17" s="724">
        <f>V13</f>
        <v>0</v>
      </c>
      <c r="W17" s="720">
        <f>W13</f>
        <v>3</v>
      </c>
      <c r="X17" s="720">
        <f>X13</f>
        <v>6</v>
      </c>
      <c r="Y17" s="800">
        <v>0</v>
      </c>
      <c r="Z17" s="800">
        <v>0</v>
      </c>
      <c r="AA17" s="81">
        <f t="shared" si="1"/>
        <v>17</v>
      </c>
      <c r="AD17" s="736"/>
      <c r="AF17" s="1741"/>
      <c r="AI17" s="1750"/>
      <c r="AK17" s="1742"/>
      <c r="AN17" s="736"/>
      <c r="AP17" s="1741"/>
    </row>
    <row r="18" spans="1:42" ht="24">
      <c r="A18" s="710">
        <v>4</v>
      </c>
      <c r="B18" s="119" t="s">
        <v>434</v>
      </c>
      <c r="C18" s="712">
        <f>C13</f>
        <v>4</v>
      </c>
      <c r="D18" s="712">
        <f>D13</f>
        <v>4</v>
      </c>
      <c r="E18" s="712">
        <f>E13</f>
        <v>4</v>
      </c>
      <c r="F18" s="712">
        <f>F13</f>
        <v>3</v>
      </c>
      <c r="G18" s="721">
        <f>G13</f>
        <v>0</v>
      </c>
      <c r="H18" s="68">
        <f t="shared" si="2"/>
        <v>15</v>
      </c>
      <c r="I18" s="114">
        <v>6</v>
      </c>
      <c r="J18" s="120" t="s">
        <v>441</v>
      </c>
      <c r="K18" s="721">
        <v>1</v>
      </c>
      <c r="L18" s="721">
        <v>2</v>
      </c>
      <c r="M18" s="721">
        <f>M13</f>
        <v>0</v>
      </c>
      <c r="N18" s="721">
        <f>N13</f>
        <v>0</v>
      </c>
      <c r="O18" s="68">
        <f>SUM(K18:N18)</f>
        <v>3</v>
      </c>
      <c r="P18" s="777">
        <v>400</v>
      </c>
      <c r="Q18" s="777">
        <v>170</v>
      </c>
      <c r="R18" s="710">
        <v>4</v>
      </c>
      <c r="S18" s="119" t="s">
        <v>434</v>
      </c>
      <c r="T18" s="721">
        <f>T13</f>
        <v>4</v>
      </c>
      <c r="U18" s="721">
        <f>U13</f>
        <v>4</v>
      </c>
      <c r="V18" s="721">
        <f>V13</f>
        <v>0</v>
      </c>
      <c r="W18" s="721">
        <f>W13</f>
        <v>3</v>
      </c>
      <c r="X18" s="721">
        <f>X13</f>
        <v>6</v>
      </c>
      <c r="Y18" s="800">
        <v>0</v>
      </c>
      <c r="Z18" s="800">
        <v>0</v>
      </c>
      <c r="AA18" s="81">
        <f t="shared" si="1"/>
        <v>17</v>
      </c>
      <c r="AD18" s="468">
        <v>0</v>
      </c>
      <c r="AF18" s="1742"/>
      <c r="AI18" s="469"/>
      <c r="AK18" s="718"/>
      <c r="AN18" s="468"/>
      <c r="AP18" s="1742"/>
    </row>
    <row r="19" spans="1:42" ht="20.25">
      <c r="A19" s="114" t="s">
        <v>1347</v>
      </c>
      <c r="B19" s="119" t="s">
        <v>1348</v>
      </c>
      <c r="C19" s="726">
        <v>0</v>
      </c>
      <c r="D19" s="720">
        <v>0</v>
      </c>
      <c r="E19" s="720">
        <v>0</v>
      </c>
      <c r="F19" s="720">
        <v>0</v>
      </c>
      <c r="G19" s="441">
        <v>1</v>
      </c>
      <c r="H19" s="68">
        <f t="shared" ref="H19:H29" si="3">SUM(C19:G19)</f>
        <v>1</v>
      </c>
      <c r="I19" s="114">
        <v>7</v>
      </c>
      <c r="J19" s="120" t="s">
        <v>442</v>
      </c>
      <c r="K19" s="726">
        <f>K18</f>
        <v>1</v>
      </c>
      <c r="L19" s="720">
        <f>L18</f>
        <v>2</v>
      </c>
      <c r="M19" s="726"/>
      <c r="N19" s="720"/>
      <c r="O19" s="68">
        <f t="shared" ref="O19:O25" si="4">SUM(K19:N19)</f>
        <v>3</v>
      </c>
      <c r="P19" s="777">
        <v>370</v>
      </c>
      <c r="Q19" s="777">
        <v>120</v>
      </c>
      <c r="R19" s="114" t="s">
        <v>1347</v>
      </c>
      <c r="S19" s="119" t="s">
        <v>1348</v>
      </c>
      <c r="T19" s="726">
        <v>0</v>
      </c>
      <c r="U19" s="720">
        <v>0</v>
      </c>
      <c r="V19" s="724">
        <v>1</v>
      </c>
      <c r="W19" s="720">
        <v>0</v>
      </c>
      <c r="X19" s="720">
        <v>0</v>
      </c>
      <c r="Y19" s="800">
        <v>0</v>
      </c>
      <c r="Z19" s="800">
        <v>0</v>
      </c>
      <c r="AA19" s="81">
        <f t="shared" si="1"/>
        <v>1</v>
      </c>
      <c r="AD19" s="734">
        <v>2300</v>
      </c>
      <c r="AF19" s="1740">
        <v>450</v>
      </c>
      <c r="AI19" s="1748">
        <v>3500</v>
      </c>
      <c r="AK19" s="1740">
        <v>450</v>
      </c>
      <c r="AN19" s="734">
        <v>2300</v>
      </c>
      <c r="AP19" s="1740">
        <v>450</v>
      </c>
    </row>
    <row r="20" spans="1:42" ht="20.25">
      <c r="A20" s="114" t="s">
        <v>1347</v>
      </c>
      <c r="B20" s="119" t="s">
        <v>437</v>
      </c>
      <c r="C20" s="726">
        <f>C19</f>
        <v>0</v>
      </c>
      <c r="D20" s="720">
        <f>D19</f>
        <v>0</v>
      </c>
      <c r="E20" s="720">
        <f>E19</f>
        <v>0</v>
      </c>
      <c r="F20" s="720">
        <f>F19</f>
        <v>0</v>
      </c>
      <c r="G20" s="441">
        <f>G19</f>
        <v>1</v>
      </c>
      <c r="H20" s="68">
        <f t="shared" si="3"/>
        <v>1</v>
      </c>
      <c r="I20" s="114">
        <v>8</v>
      </c>
      <c r="J20" s="120" t="s">
        <v>443</v>
      </c>
      <c r="K20" s="726">
        <f>K19</f>
        <v>1</v>
      </c>
      <c r="L20" s="720">
        <v>1</v>
      </c>
      <c r="M20" s="726"/>
      <c r="N20" s="720"/>
      <c r="O20" s="68">
        <f t="shared" si="4"/>
        <v>2</v>
      </c>
      <c r="P20" s="777">
        <v>125</v>
      </c>
      <c r="Q20" s="777">
        <v>25</v>
      </c>
      <c r="R20" s="114" t="s">
        <v>1347</v>
      </c>
      <c r="S20" s="119" t="s">
        <v>437</v>
      </c>
      <c r="T20" s="726">
        <f>T19</f>
        <v>0</v>
      </c>
      <c r="U20" s="720">
        <f>U19</f>
        <v>0</v>
      </c>
      <c r="V20" s="724">
        <f>V19</f>
        <v>1</v>
      </c>
      <c r="W20" s="720">
        <f>W19</f>
        <v>0</v>
      </c>
      <c r="X20" s="720">
        <f>X19</f>
        <v>0</v>
      </c>
      <c r="Y20" s="800">
        <v>0</v>
      </c>
      <c r="Z20" s="800">
        <v>0</v>
      </c>
      <c r="AA20" s="81">
        <f t="shared" si="1"/>
        <v>1</v>
      </c>
      <c r="AD20" s="735"/>
      <c r="AF20" s="1741"/>
      <c r="AI20" s="1749"/>
      <c r="AK20" s="1741"/>
      <c r="AN20" s="735"/>
      <c r="AP20" s="1741"/>
    </row>
    <row r="21" spans="1:42" ht="20.25">
      <c r="A21" s="114" t="s">
        <v>1347</v>
      </c>
      <c r="B21" s="119" t="s">
        <v>438</v>
      </c>
      <c r="C21" s="726">
        <f>C19</f>
        <v>0</v>
      </c>
      <c r="D21" s="720">
        <f>D19</f>
        <v>0</v>
      </c>
      <c r="E21" s="720">
        <f>E19</f>
        <v>0</v>
      </c>
      <c r="F21" s="720">
        <f>F19</f>
        <v>0</v>
      </c>
      <c r="G21" s="441">
        <f>G19</f>
        <v>1</v>
      </c>
      <c r="H21" s="68">
        <f t="shared" si="3"/>
        <v>1</v>
      </c>
      <c r="I21" s="114" t="s">
        <v>1357</v>
      </c>
      <c r="J21" s="120" t="s">
        <v>45</v>
      </c>
      <c r="K21" s="726">
        <f>K7+K18</f>
        <v>2</v>
      </c>
      <c r="L21" s="726">
        <f>L7+L18</f>
        <v>5</v>
      </c>
      <c r="M21" s="726"/>
      <c r="N21" s="720"/>
      <c r="O21" s="68">
        <f t="shared" si="4"/>
        <v>7</v>
      </c>
      <c r="P21" s="772">
        <v>12600</v>
      </c>
      <c r="Q21" s="777">
        <v>1250</v>
      </c>
      <c r="R21" s="114" t="s">
        <v>1347</v>
      </c>
      <c r="S21" s="119" t="s">
        <v>438</v>
      </c>
      <c r="T21" s="726">
        <f>T19</f>
        <v>0</v>
      </c>
      <c r="U21" s="720">
        <f>U19</f>
        <v>0</v>
      </c>
      <c r="V21" s="724">
        <f>V19</f>
        <v>1</v>
      </c>
      <c r="W21" s="720">
        <f>W19</f>
        <v>0</v>
      </c>
      <c r="X21" s="720">
        <f>X19</f>
        <v>0</v>
      </c>
      <c r="Y21" s="800">
        <v>0</v>
      </c>
      <c r="Z21" s="800">
        <v>0</v>
      </c>
      <c r="AA21" s="81">
        <f t="shared" si="1"/>
        <v>1</v>
      </c>
      <c r="AD21" s="735"/>
      <c r="AF21" s="1741"/>
      <c r="AI21" s="1749"/>
      <c r="AK21" s="1741"/>
      <c r="AN21" s="735"/>
      <c r="AP21" s="1741"/>
    </row>
    <row r="22" spans="1:42" ht="20.25">
      <c r="A22" s="114" t="s">
        <v>1347</v>
      </c>
      <c r="B22" s="119" t="s">
        <v>439</v>
      </c>
      <c r="C22" s="726">
        <f>C19</f>
        <v>0</v>
      </c>
      <c r="D22" s="720">
        <f>D19</f>
        <v>0</v>
      </c>
      <c r="E22" s="720">
        <f>E19</f>
        <v>0</v>
      </c>
      <c r="F22" s="720">
        <f>F19</f>
        <v>0</v>
      </c>
      <c r="G22" s="441">
        <f>G19</f>
        <v>1</v>
      </c>
      <c r="H22" s="68">
        <f t="shared" si="3"/>
        <v>1</v>
      </c>
      <c r="I22" s="114"/>
      <c r="J22" s="119" t="s">
        <v>1358</v>
      </c>
      <c r="K22" s="726">
        <v>0</v>
      </c>
      <c r="L22" s="720">
        <v>0</v>
      </c>
      <c r="M22" s="726"/>
      <c r="N22" s="720"/>
      <c r="O22" s="68">
        <f t="shared" si="4"/>
        <v>0</v>
      </c>
      <c r="P22" s="776"/>
      <c r="Q22" s="776"/>
      <c r="R22" s="114" t="s">
        <v>1347</v>
      </c>
      <c r="S22" s="119" t="s">
        <v>439</v>
      </c>
      <c r="T22" s="726">
        <f>T19</f>
        <v>0</v>
      </c>
      <c r="U22" s="720">
        <f>U19</f>
        <v>0</v>
      </c>
      <c r="V22" s="724">
        <f>V19</f>
        <v>1</v>
      </c>
      <c r="W22" s="720">
        <f>W19</f>
        <v>0</v>
      </c>
      <c r="X22" s="720">
        <f>X19</f>
        <v>0</v>
      </c>
      <c r="Y22" s="800">
        <v>0</v>
      </c>
      <c r="Z22" s="800">
        <v>0</v>
      </c>
      <c r="AA22" s="81">
        <f t="shared" si="1"/>
        <v>1</v>
      </c>
      <c r="AD22" s="735"/>
      <c r="AF22" s="1741"/>
      <c r="AI22" s="1749"/>
      <c r="AK22" s="1741"/>
      <c r="AN22" s="735"/>
      <c r="AP22" s="1741"/>
    </row>
    <row r="23" spans="1:42" ht="20.25">
      <c r="A23" s="114" t="s">
        <v>1347</v>
      </c>
      <c r="B23" s="119" t="s">
        <v>440</v>
      </c>
      <c r="C23" s="726">
        <f>C19</f>
        <v>0</v>
      </c>
      <c r="D23" s="720">
        <f>D19</f>
        <v>0</v>
      </c>
      <c r="E23" s="720">
        <f>E19</f>
        <v>0</v>
      </c>
      <c r="F23" s="720">
        <f>F19</f>
        <v>0</v>
      </c>
      <c r="G23" s="441">
        <f>G19</f>
        <v>1</v>
      </c>
      <c r="H23" s="68">
        <f t="shared" si="3"/>
        <v>1</v>
      </c>
      <c r="I23" s="114" t="s">
        <v>1423</v>
      </c>
      <c r="J23" s="120" t="s">
        <v>444</v>
      </c>
      <c r="K23" s="726">
        <v>4</v>
      </c>
      <c r="L23" s="720">
        <v>3</v>
      </c>
      <c r="M23" s="726"/>
      <c r="N23" s="720"/>
      <c r="O23" s="68">
        <f t="shared" si="4"/>
        <v>7</v>
      </c>
      <c r="P23" s="777">
        <v>350</v>
      </c>
      <c r="Q23" s="777">
        <v>75</v>
      </c>
      <c r="R23" s="114" t="s">
        <v>1347</v>
      </c>
      <c r="S23" s="119" t="s">
        <v>440</v>
      </c>
      <c r="T23" s="726">
        <f>T19</f>
        <v>0</v>
      </c>
      <c r="U23" s="720">
        <f>U19</f>
        <v>0</v>
      </c>
      <c r="V23" s="724">
        <f>V19</f>
        <v>1</v>
      </c>
      <c r="W23" s="720">
        <f>W19</f>
        <v>0</v>
      </c>
      <c r="X23" s="720">
        <f>X19</f>
        <v>0</v>
      </c>
      <c r="Y23" s="800">
        <v>0</v>
      </c>
      <c r="Z23" s="800">
        <v>0</v>
      </c>
      <c r="AA23" s="81">
        <f t="shared" si="1"/>
        <v>1</v>
      </c>
      <c r="AD23" s="736"/>
      <c r="AF23" s="1741"/>
      <c r="AI23" s="1750"/>
      <c r="AK23" s="1742"/>
      <c r="AN23" s="736"/>
      <c r="AP23" s="1741"/>
    </row>
    <row r="24" spans="1:42" ht="24">
      <c r="A24" s="710" t="s">
        <v>1347</v>
      </c>
      <c r="B24" s="119" t="s">
        <v>434</v>
      </c>
      <c r="C24" s="721">
        <f>C19</f>
        <v>0</v>
      </c>
      <c r="D24" s="721">
        <f>D19</f>
        <v>0</v>
      </c>
      <c r="E24" s="721">
        <f>E19</f>
        <v>0</v>
      </c>
      <c r="F24" s="721">
        <f>F19</f>
        <v>0</v>
      </c>
      <c r="G24" s="712">
        <f>G19</f>
        <v>1</v>
      </c>
      <c r="H24" s="68">
        <f t="shared" si="3"/>
        <v>1</v>
      </c>
      <c r="I24" s="114"/>
      <c r="J24" s="120" t="s">
        <v>46</v>
      </c>
      <c r="K24" s="727">
        <f>ROUNDUP((0.6*1.75)+(0.6*0.25)+(0.25*1.75)+(0.15*1)+(0.1*1.75),0)</f>
        <v>2</v>
      </c>
      <c r="L24" s="727">
        <f>ROUNDUP((0.6*1.75)+(0.6*0.25)+(0.25*1.75)+(0.3*2.78)+(0.1*1.75),0)</f>
        <v>3</v>
      </c>
      <c r="M24" s="721">
        <f>M19</f>
        <v>0</v>
      </c>
      <c r="N24" s="721">
        <f>N19</f>
        <v>0</v>
      </c>
      <c r="O24" s="68">
        <f t="shared" si="4"/>
        <v>5</v>
      </c>
      <c r="P24" s="772">
        <v>2500</v>
      </c>
      <c r="Q24" s="777">
        <v>250</v>
      </c>
      <c r="R24" s="710" t="s">
        <v>1347</v>
      </c>
      <c r="S24" s="119" t="s">
        <v>434</v>
      </c>
      <c r="T24" s="721">
        <f>T19</f>
        <v>0</v>
      </c>
      <c r="U24" s="721">
        <f>U19</f>
        <v>0</v>
      </c>
      <c r="V24" s="721">
        <f>V19</f>
        <v>1</v>
      </c>
      <c r="W24" s="721">
        <f>W19</f>
        <v>0</v>
      </c>
      <c r="X24" s="721">
        <f>X19</f>
        <v>0</v>
      </c>
      <c r="Y24" s="800">
        <v>0</v>
      </c>
      <c r="Z24" s="800">
        <v>0</v>
      </c>
      <c r="AA24" s="81">
        <f t="shared" si="1"/>
        <v>1</v>
      </c>
      <c r="AD24" s="468">
        <v>0</v>
      </c>
      <c r="AF24" s="1742"/>
      <c r="AI24" s="469"/>
      <c r="AK24" s="718"/>
      <c r="AN24" s="468"/>
      <c r="AP24" s="1742"/>
    </row>
    <row r="25" spans="1:42" ht="24">
      <c r="A25" s="114">
        <v>5</v>
      </c>
      <c r="B25" s="119" t="s">
        <v>1351</v>
      </c>
      <c r="C25" s="726">
        <v>1</v>
      </c>
      <c r="D25" s="720">
        <v>0</v>
      </c>
      <c r="E25" s="720">
        <v>0</v>
      </c>
      <c r="F25" s="720">
        <v>0</v>
      </c>
      <c r="G25" s="724">
        <v>0</v>
      </c>
      <c r="H25" s="68">
        <f t="shared" si="3"/>
        <v>1</v>
      </c>
      <c r="I25" s="114"/>
      <c r="J25" s="121" t="s">
        <v>41</v>
      </c>
      <c r="K25" s="727">
        <f>ROUNDUP(1.75,0)</f>
        <v>2</v>
      </c>
      <c r="L25" s="727">
        <f>ROUNDUP(1.75,0)</f>
        <v>2</v>
      </c>
      <c r="M25" s="726"/>
      <c r="N25" s="720"/>
      <c r="O25" s="68">
        <f t="shared" si="4"/>
        <v>4</v>
      </c>
      <c r="P25" s="777"/>
      <c r="Q25" s="777">
        <v>800</v>
      </c>
      <c r="R25" s="114">
        <v>5</v>
      </c>
      <c r="S25" s="119" t="s">
        <v>1531</v>
      </c>
      <c r="T25" s="726">
        <v>0</v>
      </c>
      <c r="U25" s="720">
        <v>0</v>
      </c>
      <c r="V25" s="724">
        <f>V20</f>
        <v>1</v>
      </c>
      <c r="W25" s="720">
        <v>0</v>
      </c>
      <c r="X25" s="720">
        <v>0</v>
      </c>
      <c r="Y25" s="800">
        <v>0</v>
      </c>
      <c r="Z25" s="800">
        <v>0</v>
      </c>
      <c r="AA25" s="81">
        <f t="shared" si="1"/>
        <v>1</v>
      </c>
      <c r="AD25" s="464">
        <f>ROUNDUP((4.1*1)*10.764*200,0)</f>
        <v>8827</v>
      </c>
      <c r="AF25" s="465">
        <v>120</v>
      </c>
      <c r="AI25" s="464">
        <v>3500</v>
      </c>
      <c r="AK25" s="465">
        <v>120</v>
      </c>
      <c r="AN25" s="464">
        <f>ROUNDUP((1*1)*10.764*200,0)</f>
        <v>2153</v>
      </c>
      <c r="AP25" s="465">
        <v>120</v>
      </c>
    </row>
    <row r="26" spans="1:42" ht="24">
      <c r="A26" s="114">
        <v>5</v>
      </c>
      <c r="B26" s="119" t="s">
        <v>1350</v>
      </c>
      <c r="C26" s="721">
        <v>0</v>
      </c>
      <c r="D26" s="722">
        <v>1</v>
      </c>
      <c r="E26" s="722">
        <v>0</v>
      </c>
      <c r="F26" s="722">
        <v>0</v>
      </c>
      <c r="G26" s="723">
        <v>0</v>
      </c>
      <c r="H26" s="68">
        <f t="shared" si="3"/>
        <v>1</v>
      </c>
      <c r="I26" s="114"/>
      <c r="J26" s="120"/>
      <c r="K26" s="721"/>
      <c r="L26" s="722"/>
      <c r="M26" s="721"/>
      <c r="N26" s="722"/>
      <c r="O26" s="68"/>
      <c r="P26" s="762"/>
      <c r="Q26" s="762"/>
      <c r="R26" s="114">
        <v>5</v>
      </c>
      <c r="S26" s="119" t="s">
        <v>1529</v>
      </c>
      <c r="T26" s="721">
        <v>0</v>
      </c>
      <c r="U26" s="722">
        <v>0</v>
      </c>
      <c r="V26" s="723">
        <v>0</v>
      </c>
      <c r="W26" s="722">
        <v>1</v>
      </c>
      <c r="X26" s="722">
        <v>0</v>
      </c>
      <c r="Y26" s="800">
        <v>0</v>
      </c>
      <c r="Z26" s="800">
        <v>0</v>
      </c>
      <c r="AA26" s="81">
        <f t="shared" si="1"/>
        <v>1</v>
      </c>
      <c r="AD26" s="464">
        <f>ROUNDUP((2.9*1)*10.764*200,0)</f>
        <v>6244</v>
      </c>
      <c r="AF26" s="465">
        <v>120</v>
      </c>
      <c r="AI26" s="469"/>
      <c r="AK26" s="718"/>
      <c r="AN26" s="464">
        <f>ROUNDUP((2.8*1)*10.764*200,0)</f>
        <v>6028</v>
      </c>
      <c r="AP26" s="465">
        <v>120</v>
      </c>
    </row>
    <row r="27" spans="1:42" ht="24">
      <c r="A27" s="114">
        <v>5</v>
      </c>
      <c r="B27" s="119" t="s">
        <v>1352</v>
      </c>
      <c r="C27" s="721">
        <v>0</v>
      </c>
      <c r="D27" s="722">
        <v>0</v>
      </c>
      <c r="E27" s="722">
        <v>1</v>
      </c>
      <c r="F27" s="722">
        <v>0</v>
      </c>
      <c r="G27" s="723">
        <v>0</v>
      </c>
      <c r="H27" s="68">
        <f t="shared" si="3"/>
        <v>1</v>
      </c>
      <c r="I27" s="114"/>
      <c r="J27" s="121"/>
      <c r="K27" s="721"/>
      <c r="L27" s="722"/>
      <c r="M27" s="721"/>
      <c r="N27" s="722"/>
      <c r="O27" s="68"/>
      <c r="P27" s="762"/>
      <c r="Q27" s="762"/>
      <c r="R27" s="114">
        <v>5</v>
      </c>
      <c r="S27" s="119" t="s">
        <v>1530</v>
      </c>
      <c r="T27" s="721">
        <v>0</v>
      </c>
      <c r="U27" s="722">
        <v>1</v>
      </c>
      <c r="V27" s="723">
        <v>0</v>
      </c>
      <c r="W27" s="722">
        <v>0</v>
      </c>
      <c r="X27" s="722">
        <v>0</v>
      </c>
      <c r="Y27" s="800">
        <v>0</v>
      </c>
      <c r="Z27" s="800">
        <v>0</v>
      </c>
      <c r="AA27" s="81">
        <f t="shared" si="1"/>
        <v>1</v>
      </c>
      <c r="AD27" s="464">
        <f>ROUNDUP((3.51*1)*10.764*200,0)</f>
        <v>7557</v>
      </c>
      <c r="AF27" s="465">
        <v>120</v>
      </c>
      <c r="AI27" s="469"/>
      <c r="AK27" s="718"/>
      <c r="AN27" s="464">
        <f>ROUNDUP((3*1)*10.764*200,0)</f>
        <v>6459</v>
      </c>
      <c r="AP27" s="465">
        <v>120</v>
      </c>
    </row>
    <row r="28" spans="1:42" ht="24">
      <c r="A28" s="114">
        <v>5</v>
      </c>
      <c r="B28" s="119" t="s">
        <v>1353</v>
      </c>
      <c r="C28" s="721">
        <v>0</v>
      </c>
      <c r="D28" s="722">
        <v>0</v>
      </c>
      <c r="E28" s="722">
        <v>0</v>
      </c>
      <c r="F28" s="722">
        <v>1</v>
      </c>
      <c r="G28" s="723">
        <v>0</v>
      </c>
      <c r="H28" s="68">
        <f t="shared" si="3"/>
        <v>1</v>
      </c>
      <c r="I28" s="114"/>
      <c r="J28" s="119"/>
      <c r="K28" s="721"/>
      <c r="L28" s="722"/>
      <c r="M28" s="721"/>
      <c r="N28" s="722"/>
      <c r="O28" s="68"/>
      <c r="P28" s="762"/>
      <c r="Q28" s="762"/>
      <c r="R28" s="114">
        <v>5</v>
      </c>
      <c r="S28" s="119" t="s">
        <v>1533</v>
      </c>
      <c r="T28" s="721">
        <v>1</v>
      </c>
      <c r="U28" s="722">
        <v>0</v>
      </c>
      <c r="V28" s="723">
        <v>0</v>
      </c>
      <c r="W28" s="722">
        <v>0</v>
      </c>
      <c r="X28" s="722">
        <v>0</v>
      </c>
      <c r="Y28" s="800">
        <v>0</v>
      </c>
      <c r="Z28" s="800">
        <v>0</v>
      </c>
      <c r="AA28" s="81">
        <f t="shared" si="1"/>
        <v>1</v>
      </c>
      <c r="AD28" s="464">
        <f>ROUNDUP((8.7*1)*10.764*200,0)</f>
        <v>18730</v>
      </c>
      <c r="AF28" s="465">
        <v>120</v>
      </c>
      <c r="AI28" s="469"/>
      <c r="AK28" s="718"/>
      <c r="AN28" s="464">
        <f>ROUNDUP((3.7*1)*10.764*200,0)</f>
        <v>7966</v>
      </c>
      <c r="AP28" s="465">
        <v>120</v>
      </c>
    </row>
    <row r="29" spans="1:42" ht="24">
      <c r="A29" s="114">
        <v>5</v>
      </c>
      <c r="B29" s="119" t="s">
        <v>1354</v>
      </c>
      <c r="C29" s="721">
        <v>0</v>
      </c>
      <c r="D29" s="722">
        <v>0</v>
      </c>
      <c r="E29" s="722">
        <v>0</v>
      </c>
      <c r="F29" s="722">
        <v>0</v>
      </c>
      <c r="G29" s="723">
        <v>1</v>
      </c>
      <c r="H29" s="68">
        <f t="shared" si="3"/>
        <v>1</v>
      </c>
      <c r="I29" s="114"/>
      <c r="J29" s="119"/>
      <c r="K29" s="721"/>
      <c r="L29" s="722"/>
      <c r="M29" s="721"/>
      <c r="N29" s="722"/>
      <c r="O29" s="68"/>
      <c r="P29" s="762"/>
      <c r="Q29" s="762"/>
      <c r="R29" s="114">
        <v>5</v>
      </c>
      <c r="S29" s="119" t="s">
        <v>1532</v>
      </c>
      <c r="T29" s="721">
        <v>0</v>
      </c>
      <c r="U29" s="722">
        <v>0</v>
      </c>
      <c r="V29" s="723">
        <v>0</v>
      </c>
      <c r="W29" s="722">
        <v>0</v>
      </c>
      <c r="X29" s="722">
        <v>1</v>
      </c>
      <c r="Y29" s="800">
        <v>0</v>
      </c>
      <c r="Z29" s="800">
        <v>0</v>
      </c>
      <c r="AA29" s="81">
        <f t="shared" si="1"/>
        <v>1</v>
      </c>
      <c r="AD29" s="464">
        <f>ROUNDUP((0.6*1)*10.764*200,0)</f>
        <v>1292</v>
      </c>
      <c r="AF29" s="465">
        <v>120</v>
      </c>
      <c r="AI29" s="469"/>
      <c r="AK29" s="718"/>
      <c r="AN29" s="464">
        <f>ROUNDUP((5.6*1)*10.764*200,0)</f>
        <v>12056</v>
      </c>
      <c r="AP29" s="465">
        <v>120</v>
      </c>
    </row>
    <row r="30" spans="1:42" ht="24">
      <c r="A30" s="114">
        <v>6</v>
      </c>
      <c r="B30" s="120" t="s">
        <v>469</v>
      </c>
      <c r="C30" s="727">
        <v>0</v>
      </c>
      <c r="D30" s="722">
        <v>0</v>
      </c>
      <c r="E30" s="727">
        <v>0</v>
      </c>
      <c r="F30" s="722">
        <v>0</v>
      </c>
      <c r="G30" s="723">
        <v>2</v>
      </c>
      <c r="H30" s="68">
        <f t="shared" ref="H30:H38" si="5">SUM(C30:G30)</f>
        <v>2</v>
      </c>
      <c r="I30" s="114"/>
      <c r="J30" s="120"/>
      <c r="K30" s="727"/>
      <c r="L30" s="722"/>
      <c r="M30" s="727"/>
      <c r="N30" s="722"/>
      <c r="O30" s="68"/>
      <c r="P30" s="762"/>
      <c r="Q30" s="762"/>
      <c r="R30" s="114">
        <v>6</v>
      </c>
      <c r="S30" s="120" t="s">
        <v>469</v>
      </c>
      <c r="T30" s="727">
        <v>0</v>
      </c>
      <c r="U30" s="722">
        <v>0</v>
      </c>
      <c r="V30" s="723">
        <v>2</v>
      </c>
      <c r="W30" s="727">
        <v>0</v>
      </c>
      <c r="X30" s="722">
        <v>0</v>
      </c>
      <c r="Y30" s="800">
        <v>0</v>
      </c>
      <c r="Z30" s="800">
        <v>0</v>
      </c>
      <c r="AA30" s="81">
        <f t="shared" si="1"/>
        <v>2</v>
      </c>
      <c r="AD30" s="739">
        <v>3600</v>
      </c>
      <c r="AF30" s="737">
        <v>105</v>
      </c>
      <c r="AI30" s="1748">
        <v>3500</v>
      </c>
      <c r="AK30" s="1740">
        <v>450</v>
      </c>
      <c r="AN30" s="739">
        <v>3600</v>
      </c>
      <c r="AP30" s="737">
        <v>105</v>
      </c>
    </row>
    <row r="31" spans="1:42" ht="24">
      <c r="A31" s="114" t="s">
        <v>1355</v>
      </c>
      <c r="B31" s="120" t="s">
        <v>470</v>
      </c>
      <c r="C31" s="727">
        <v>0</v>
      </c>
      <c r="D31" s="722">
        <v>0</v>
      </c>
      <c r="E31" s="727">
        <v>0</v>
      </c>
      <c r="F31" s="722">
        <v>0</v>
      </c>
      <c r="G31" s="723">
        <v>1</v>
      </c>
      <c r="H31" s="68">
        <f t="shared" si="5"/>
        <v>1</v>
      </c>
      <c r="I31" s="114"/>
      <c r="J31" s="120"/>
      <c r="K31" s="727"/>
      <c r="L31" s="722"/>
      <c r="M31" s="727"/>
      <c r="N31" s="722"/>
      <c r="O31" s="68"/>
      <c r="P31" s="762"/>
      <c r="Q31" s="762"/>
      <c r="R31" s="114" t="s">
        <v>1355</v>
      </c>
      <c r="S31" s="120" t="s">
        <v>470</v>
      </c>
      <c r="T31" s="727">
        <v>0</v>
      </c>
      <c r="U31" s="722">
        <v>0</v>
      </c>
      <c r="V31" s="723">
        <v>1</v>
      </c>
      <c r="W31" s="727">
        <v>0</v>
      </c>
      <c r="X31" s="722">
        <v>0</v>
      </c>
      <c r="Y31" s="800">
        <v>0</v>
      </c>
      <c r="Z31" s="800">
        <v>0</v>
      </c>
      <c r="AA31" s="81">
        <f t="shared" si="1"/>
        <v>1</v>
      </c>
      <c r="AD31" s="739">
        <v>2590</v>
      </c>
      <c r="AF31" s="738">
        <v>105</v>
      </c>
      <c r="AI31" s="1749"/>
      <c r="AK31" s="1741"/>
      <c r="AN31" s="739">
        <v>2590</v>
      </c>
      <c r="AP31" s="738">
        <v>105</v>
      </c>
    </row>
    <row r="32" spans="1:42" ht="24">
      <c r="A32" s="114">
        <v>7</v>
      </c>
      <c r="B32" s="119" t="s">
        <v>1356</v>
      </c>
      <c r="C32" s="726">
        <f>C10</f>
        <v>0</v>
      </c>
      <c r="D32" s="720">
        <f>D10</f>
        <v>0</v>
      </c>
      <c r="E32" s="720">
        <f>E10</f>
        <v>0</v>
      </c>
      <c r="F32" s="720">
        <f>F10</f>
        <v>0</v>
      </c>
      <c r="G32" s="724">
        <f>G10</f>
        <v>1</v>
      </c>
      <c r="H32" s="68">
        <f t="shared" si="5"/>
        <v>1</v>
      </c>
      <c r="I32" s="114"/>
      <c r="J32" s="119"/>
      <c r="K32" s="726"/>
      <c r="L32" s="720"/>
      <c r="M32" s="726"/>
      <c r="N32" s="720"/>
      <c r="O32" s="68"/>
      <c r="P32" s="762"/>
      <c r="Q32" s="762"/>
      <c r="R32" s="114">
        <v>7</v>
      </c>
      <c r="S32" s="119" t="s">
        <v>1534</v>
      </c>
      <c r="T32" s="726">
        <f>T10</f>
        <v>0</v>
      </c>
      <c r="U32" s="720">
        <f>U10</f>
        <v>0</v>
      </c>
      <c r="V32" s="724">
        <f>V10</f>
        <v>1</v>
      </c>
      <c r="W32" s="720">
        <f>W10</f>
        <v>0</v>
      </c>
      <c r="X32" s="720">
        <f>X10</f>
        <v>0</v>
      </c>
      <c r="Y32" s="800">
        <v>0</v>
      </c>
      <c r="Z32" s="800">
        <v>0</v>
      </c>
      <c r="AA32" s="81">
        <f t="shared" si="1"/>
        <v>1</v>
      </c>
      <c r="AD32" s="735">
        <v>390</v>
      </c>
      <c r="AF32" s="738">
        <v>120</v>
      </c>
      <c r="AI32" s="1749"/>
      <c r="AK32" s="1741"/>
      <c r="AN32" s="735">
        <v>390</v>
      </c>
      <c r="AP32" s="738">
        <v>120</v>
      </c>
    </row>
    <row r="33" spans="1:42" ht="24">
      <c r="A33" s="114">
        <v>8</v>
      </c>
      <c r="B33" s="120" t="s">
        <v>443</v>
      </c>
      <c r="C33" s="727">
        <v>1</v>
      </c>
      <c r="D33" s="722">
        <v>1</v>
      </c>
      <c r="E33" s="727">
        <v>1</v>
      </c>
      <c r="F33" s="722">
        <v>1</v>
      </c>
      <c r="G33" s="723">
        <v>1</v>
      </c>
      <c r="H33" s="68">
        <f t="shared" si="5"/>
        <v>5</v>
      </c>
      <c r="I33" s="114"/>
      <c r="J33" s="120"/>
      <c r="K33" s="727"/>
      <c r="L33" s="722"/>
      <c r="M33" s="727"/>
      <c r="N33" s="722"/>
      <c r="O33" s="68"/>
      <c r="P33" s="762"/>
      <c r="Q33" s="762"/>
      <c r="R33" s="114">
        <v>8</v>
      </c>
      <c r="S33" s="120" t="s">
        <v>443</v>
      </c>
      <c r="T33" s="727">
        <v>1</v>
      </c>
      <c r="U33" s="722">
        <v>1</v>
      </c>
      <c r="V33" s="723">
        <v>1</v>
      </c>
      <c r="W33" s="727">
        <v>1</v>
      </c>
      <c r="X33" s="722">
        <v>1</v>
      </c>
      <c r="Y33" s="800">
        <v>0</v>
      </c>
      <c r="Z33" s="800">
        <v>0</v>
      </c>
      <c r="AA33" s="81">
        <f t="shared" si="1"/>
        <v>5</v>
      </c>
      <c r="AD33" s="464">
        <v>125</v>
      </c>
      <c r="AF33" s="465">
        <v>25</v>
      </c>
      <c r="AI33" s="464">
        <v>125</v>
      </c>
      <c r="AK33" s="465">
        <v>25</v>
      </c>
      <c r="AN33" s="464">
        <v>125</v>
      </c>
      <c r="AP33" s="465">
        <v>25</v>
      </c>
    </row>
    <row r="34" spans="1:42" ht="24">
      <c r="A34" s="114"/>
      <c r="B34" s="120" t="s">
        <v>444</v>
      </c>
      <c r="C34" s="727">
        <v>2</v>
      </c>
      <c r="D34" s="722">
        <v>2</v>
      </c>
      <c r="E34" s="727">
        <v>2</v>
      </c>
      <c r="F34" s="722">
        <v>2</v>
      </c>
      <c r="G34" s="723">
        <v>1</v>
      </c>
      <c r="H34" s="68">
        <f t="shared" si="5"/>
        <v>9</v>
      </c>
      <c r="I34" s="114"/>
      <c r="J34" s="120"/>
      <c r="K34" s="727"/>
      <c r="L34" s="722"/>
      <c r="M34" s="727"/>
      <c r="N34" s="722"/>
      <c r="O34" s="68"/>
      <c r="P34" s="762"/>
      <c r="Q34" s="762"/>
      <c r="R34" s="114">
        <v>9</v>
      </c>
      <c r="S34" s="120" t="s">
        <v>1525</v>
      </c>
      <c r="T34" s="727">
        <v>0</v>
      </c>
      <c r="U34" s="722">
        <v>0</v>
      </c>
      <c r="V34" s="723">
        <v>0</v>
      </c>
      <c r="W34" s="727">
        <v>0</v>
      </c>
      <c r="X34" s="722">
        <v>0</v>
      </c>
      <c r="Y34" s="800">
        <v>2</v>
      </c>
      <c r="Z34" s="800">
        <v>2</v>
      </c>
      <c r="AA34" s="81">
        <f t="shared" si="1"/>
        <v>4</v>
      </c>
      <c r="AD34" s="464">
        <v>350</v>
      </c>
      <c r="AF34" s="465">
        <v>75</v>
      </c>
      <c r="AI34" s="464">
        <v>350</v>
      </c>
      <c r="AK34" s="465">
        <v>75</v>
      </c>
      <c r="AN34" s="464">
        <v>400</v>
      </c>
      <c r="AP34" s="465">
        <v>170</v>
      </c>
    </row>
    <row r="35" spans="1:42" ht="24">
      <c r="A35" s="114" t="s">
        <v>1357</v>
      </c>
      <c r="B35" s="120" t="s">
        <v>45</v>
      </c>
      <c r="C35" s="727">
        <f>C7</f>
        <v>4</v>
      </c>
      <c r="D35" s="722">
        <f>D7</f>
        <v>7</v>
      </c>
      <c r="E35" s="722">
        <f>E7</f>
        <v>3</v>
      </c>
      <c r="F35" s="722">
        <f>F7</f>
        <v>9</v>
      </c>
      <c r="G35" s="723">
        <v>0</v>
      </c>
      <c r="H35" s="68">
        <f t="shared" si="5"/>
        <v>23</v>
      </c>
      <c r="I35" s="114"/>
      <c r="J35" s="120"/>
      <c r="K35" s="727"/>
      <c r="L35" s="722"/>
      <c r="M35" s="727"/>
      <c r="N35" s="722"/>
      <c r="O35" s="68"/>
      <c r="P35" s="762"/>
      <c r="Q35" s="762"/>
      <c r="R35" s="114">
        <v>10</v>
      </c>
      <c r="S35" s="120" t="s">
        <v>1526</v>
      </c>
      <c r="T35" s="727">
        <v>0</v>
      </c>
      <c r="U35" s="722">
        <v>0</v>
      </c>
      <c r="V35" s="723">
        <v>0</v>
      </c>
      <c r="W35" s="722">
        <v>0</v>
      </c>
      <c r="X35" s="722">
        <v>0</v>
      </c>
      <c r="Y35" s="800">
        <v>7</v>
      </c>
      <c r="Z35" s="800">
        <v>7</v>
      </c>
      <c r="AA35" s="81">
        <f t="shared" si="1"/>
        <v>14</v>
      </c>
      <c r="AD35" s="464">
        <v>12600</v>
      </c>
      <c r="AF35" s="465">
        <v>1250</v>
      </c>
      <c r="AI35" s="464">
        <v>13400</v>
      </c>
      <c r="AK35" s="465">
        <v>850</v>
      </c>
      <c r="AN35" s="464">
        <v>900</v>
      </c>
      <c r="AP35" s="465">
        <v>150</v>
      </c>
    </row>
    <row r="36" spans="1:42" ht="24">
      <c r="A36" s="114"/>
      <c r="B36" s="119" t="s">
        <v>1358</v>
      </c>
      <c r="C36" s="726">
        <f>C23</f>
        <v>0</v>
      </c>
      <c r="D36" s="720">
        <f>D23</f>
        <v>0</v>
      </c>
      <c r="E36" s="720">
        <f>E23</f>
        <v>0</v>
      </c>
      <c r="F36" s="720">
        <f>F23</f>
        <v>0</v>
      </c>
      <c r="G36" s="724">
        <v>0</v>
      </c>
      <c r="H36" s="68">
        <f t="shared" si="5"/>
        <v>0</v>
      </c>
      <c r="I36" s="114"/>
      <c r="J36" s="119"/>
      <c r="K36" s="726"/>
      <c r="L36" s="720"/>
      <c r="M36" s="726"/>
      <c r="N36" s="720"/>
      <c r="O36" s="68"/>
      <c r="P36" s="762"/>
      <c r="Q36" s="762"/>
      <c r="R36" s="114"/>
      <c r="S36" s="120" t="s">
        <v>444</v>
      </c>
      <c r="T36" s="727">
        <v>3</v>
      </c>
      <c r="U36" s="722">
        <v>2</v>
      </c>
      <c r="V36" s="723">
        <v>1</v>
      </c>
      <c r="W36" s="727">
        <v>2</v>
      </c>
      <c r="X36" s="722">
        <v>2</v>
      </c>
      <c r="Y36" s="800">
        <v>1</v>
      </c>
      <c r="Z36" s="800">
        <v>1</v>
      </c>
      <c r="AA36" s="81">
        <f t="shared" si="1"/>
        <v>12</v>
      </c>
      <c r="AD36" s="464"/>
      <c r="AF36" s="717"/>
      <c r="AI36" s="464"/>
      <c r="AK36" s="717"/>
      <c r="AN36" s="464">
        <v>350</v>
      </c>
      <c r="AP36" s="465">
        <v>75</v>
      </c>
    </row>
    <row r="37" spans="1:42" ht="24">
      <c r="A37" s="114"/>
      <c r="B37" s="120" t="s">
        <v>46</v>
      </c>
      <c r="C37" s="727">
        <f>ROUNDUP((0.6*4.1)+(0.6*0.25)+(0.25*4.1)+(0.15*3.3)+(0.2*4.2),0)</f>
        <v>5</v>
      </c>
      <c r="D37" s="727">
        <f>ROUNDUP((0.6*2.9)+(0.6*0.25)+(0.25*2.9)+(0.15*2.9)+(0.15*3.9)+(0.15*2.9),0)</f>
        <v>5</v>
      </c>
      <c r="E37" s="727">
        <f>ROUNDUP((0.6*3.5)+(0.6*0.25)+(0.25*3.5)+(0.15*3.5)+(0.15*3),0)</f>
        <v>5</v>
      </c>
      <c r="F37" s="727">
        <f>ROUNDUP((0.6*8.7)+(0.6*0.25)+(0.25*8.7)+(0.15*8.7)+(0.15*10.1),0)</f>
        <v>11</v>
      </c>
      <c r="G37" s="727">
        <v>0</v>
      </c>
      <c r="H37" s="68">
        <f t="shared" si="5"/>
        <v>26</v>
      </c>
      <c r="I37" s="114"/>
      <c r="J37" s="120"/>
      <c r="K37" s="727"/>
      <c r="L37" s="727"/>
      <c r="M37" s="727"/>
      <c r="N37" s="727"/>
      <c r="O37" s="68"/>
      <c r="P37" s="762"/>
      <c r="Q37" s="762"/>
      <c r="R37" s="114" t="s">
        <v>1357</v>
      </c>
      <c r="S37" s="120" t="s">
        <v>45</v>
      </c>
      <c r="T37" s="727">
        <v>5</v>
      </c>
      <c r="U37" s="722">
        <v>5</v>
      </c>
      <c r="V37" s="723">
        <v>0</v>
      </c>
      <c r="W37" s="722">
        <v>5</v>
      </c>
      <c r="X37" s="722">
        <v>5</v>
      </c>
      <c r="Y37" s="800">
        <v>0</v>
      </c>
      <c r="Z37" s="800">
        <v>0</v>
      </c>
      <c r="AA37" s="81">
        <f t="shared" si="1"/>
        <v>20</v>
      </c>
      <c r="AD37" s="464">
        <v>2500</v>
      </c>
      <c r="AF37" s="465">
        <v>250</v>
      </c>
      <c r="AI37" s="464">
        <v>2500</v>
      </c>
      <c r="AK37" s="465">
        <v>250</v>
      </c>
      <c r="AN37" s="464">
        <v>12600</v>
      </c>
      <c r="AP37" s="465">
        <v>1250</v>
      </c>
    </row>
    <row r="38" spans="1:42" ht="24">
      <c r="A38" s="114"/>
      <c r="B38" s="121" t="s">
        <v>41</v>
      </c>
      <c r="C38" s="727">
        <f>ROUNDUP(4.1,0)</f>
        <v>5</v>
      </c>
      <c r="D38" s="727">
        <v>4</v>
      </c>
      <c r="E38" s="727">
        <v>4</v>
      </c>
      <c r="F38" s="727">
        <v>9</v>
      </c>
      <c r="G38" s="728">
        <v>0</v>
      </c>
      <c r="H38" s="70">
        <f t="shared" si="5"/>
        <v>22</v>
      </c>
      <c r="I38" s="114"/>
      <c r="J38" s="121"/>
      <c r="K38" s="727"/>
      <c r="L38" s="727"/>
      <c r="M38" s="727"/>
      <c r="N38" s="727"/>
      <c r="O38" s="68"/>
      <c r="P38" s="762"/>
      <c r="Q38" s="762"/>
      <c r="R38" s="114"/>
      <c r="S38" s="119" t="s">
        <v>1358</v>
      </c>
      <c r="T38" s="726">
        <v>0</v>
      </c>
      <c r="U38" s="720">
        <v>0</v>
      </c>
      <c r="V38" s="724">
        <v>0</v>
      </c>
      <c r="W38" s="720">
        <v>0</v>
      </c>
      <c r="X38" s="720">
        <v>0</v>
      </c>
      <c r="Y38" s="799">
        <v>0</v>
      </c>
      <c r="Z38" s="799">
        <v>0</v>
      </c>
      <c r="AA38" s="81">
        <f t="shared" si="1"/>
        <v>0</v>
      </c>
      <c r="AF38" s="743">
        <v>800</v>
      </c>
      <c r="AN38" s="464"/>
      <c r="AP38" s="717"/>
    </row>
    <row r="39" spans="1:42" ht="24">
      <c r="A39" s="114"/>
      <c r="B39" s="119"/>
      <c r="C39" s="82"/>
      <c r="D39" s="69"/>
      <c r="E39" s="71"/>
      <c r="F39" s="71"/>
      <c r="G39" s="442"/>
      <c r="H39" s="68"/>
      <c r="I39" s="114"/>
      <c r="J39" s="119"/>
      <c r="K39" s="82"/>
      <c r="L39" s="69"/>
      <c r="M39" s="71"/>
      <c r="N39" s="71"/>
      <c r="O39" s="68"/>
      <c r="P39" s="762"/>
      <c r="Q39" s="762"/>
      <c r="R39" s="114"/>
      <c r="S39" s="120" t="s">
        <v>1538</v>
      </c>
      <c r="T39" s="727">
        <f>ROUNDUP((0.6*3.7)+(0.6*0.25)+(0.25*3.7)+(0.15*4.85),0)</f>
        <v>5</v>
      </c>
      <c r="U39" s="727">
        <f>ROUNDUP((0.6*3)+(0.8*0.25)+(0.25*3)+(0.15*3),0)</f>
        <v>4</v>
      </c>
      <c r="V39" s="727">
        <v>0</v>
      </c>
      <c r="W39" s="727">
        <f>ROUNDUP((0.6*2.8)+(0.6*0.25)+(0.25*2.8)+(0.15*2.8)+(0.15*4.7),0)</f>
        <v>4</v>
      </c>
      <c r="X39" s="727">
        <f>ROUNDUP((0.6*5.6)+(0.25*5.6)+(0.15*4.7),0)</f>
        <v>6</v>
      </c>
      <c r="Y39" s="802">
        <v>0</v>
      </c>
      <c r="Z39" s="802">
        <v>0</v>
      </c>
      <c r="AA39" s="81">
        <f t="shared" si="1"/>
        <v>19</v>
      </c>
      <c r="AN39" s="464">
        <v>2500</v>
      </c>
      <c r="AP39" s="465">
        <v>250</v>
      </c>
    </row>
    <row r="40" spans="1:42" ht="24">
      <c r="A40" s="114"/>
      <c r="B40" s="119"/>
      <c r="C40" s="82"/>
      <c r="D40" s="69"/>
      <c r="E40" s="71"/>
      <c r="F40" s="71"/>
      <c r="G40" s="442"/>
      <c r="H40" s="68"/>
      <c r="I40" s="114"/>
      <c r="J40" s="119"/>
      <c r="K40" s="82"/>
      <c r="L40" s="69"/>
      <c r="M40" s="71"/>
      <c r="N40" s="71"/>
      <c r="O40" s="68"/>
      <c r="P40" s="762"/>
      <c r="Q40" s="762"/>
      <c r="R40" s="114"/>
      <c r="S40" s="121" t="s">
        <v>41</v>
      </c>
      <c r="T40" s="727">
        <v>4</v>
      </c>
      <c r="U40" s="727">
        <v>3</v>
      </c>
      <c r="V40" s="728">
        <v>0</v>
      </c>
      <c r="W40" s="727">
        <v>3</v>
      </c>
      <c r="X40" s="727">
        <v>6</v>
      </c>
      <c r="Y40" s="802">
        <v>6</v>
      </c>
      <c r="Z40" s="802">
        <v>6</v>
      </c>
      <c r="AA40" s="81">
        <f t="shared" si="1"/>
        <v>28</v>
      </c>
      <c r="AP40" s="743">
        <v>800</v>
      </c>
    </row>
    <row r="41" spans="1:42" ht="20.25">
      <c r="A41" s="115"/>
      <c r="B41" s="122"/>
      <c r="C41" s="117"/>
      <c r="D41" s="80"/>
      <c r="E41" s="80"/>
      <c r="F41" s="80"/>
      <c r="G41" s="443"/>
      <c r="H41" s="79"/>
      <c r="I41" s="115"/>
      <c r="J41" s="122"/>
      <c r="K41" s="117"/>
      <c r="L41" s="80"/>
      <c r="M41" s="80"/>
      <c r="N41" s="80"/>
      <c r="O41" s="79"/>
      <c r="P41" s="761"/>
      <c r="Q41" s="761"/>
      <c r="R41" s="115"/>
      <c r="S41" s="122"/>
      <c r="T41" s="117"/>
      <c r="U41" s="80"/>
      <c r="V41" s="443"/>
      <c r="W41" s="80"/>
      <c r="X41" s="80"/>
      <c r="Y41" s="443"/>
      <c r="Z41" s="443"/>
      <c r="AA41" s="79"/>
    </row>
    <row r="42" spans="1:42" ht="20.25">
      <c r="A42" s="78"/>
      <c r="B42" s="77" t="s">
        <v>245</v>
      </c>
      <c r="C42" s="76"/>
      <c r="D42" s="75"/>
      <c r="E42" s="75"/>
      <c r="F42" s="75"/>
      <c r="G42" s="444"/>
      <c r="H42" s="74"/>
      <c r="I42" s="78"/>
      <c r="J42" s="77"/>
      <c r="K42" s="76"/>
      <c r="L42" s="75"/>
      <c r="M42" s="75"/>
      <c r="N42" s="75"/>
      <c r="O42" s="74"/>
      <c r="P42" s="763"/>
      <c r="Q42" s="763"/>
      <c r="R42" s="78"/>
      <c r="S42" s="77" t="s">
        <v>245</v>
      </c>
      <c r="T42" s="76"/>
      <c r="U42" s="75"/>
      <c r="V42" s="444"/>
      <c r="W42" s="75"/>
      <c r="X42" s="75"/>
      <c r="Y42" s="444"/>
      <c r="Z42" s="444"/>
      <c r="AA42" s="74"/>
    </row>
    <row r="43" spans="1:42" ht="20.25">
      <c r="A43" s="113">
        <v>1</v>
      </c>
      <c r="B43" s="118" t="s">
        <v>472</v>
      </c>
      <c r="C43" s="116">
        <v>4</v>
      </c>
      <c r="D43" s="73">
        <v>7</v>
      </c>
      <c r="E43" s="73">
        <v>3</v>
      </c>
      <c r="F43" s="73">
        <v>9</v>
      </c>
      <c r="G43" s="725">
        <v>0</v>
      </c>
      <c r="H43" s="72">
        <f>SUM(C43:G43)</f>
        <v>23</v>
      </c>
      <c r="I43" s="113">
        <v>1</v>
      </c>
      <c r="J43" s="118" t="s">
        <v>472</v>
      </c>
      <c r="K43" s="84">
        <v>1</v>
      </c>
      <c r="L43" s="73">
        <v>1</v>
      </c>
      <c r="M43" s="84">
        <v>1</v>
      </c>
      <c r="N43" s="73">
        <v>0</v>
      </c>
      <c r="O43" s="72">
        <f>SUM(K43:N43)</f>
        <v>3</v>
      </c>
      <c r="P43" s="764"/>
      <c r="Q43" s="764"/>
      <c r="R43" s="113">
        <v>1</v>
      </c>
      <c r="S43" s="118" t="s">
        <v>1535</v>
      </c>
      <c r="T43" s="729">
        <v>5</v>
      </c>
      <c r="U43" s="730">
        <v>5</v>
      </c>
      <c r="V43" s="725">
        <v>0</v>
      </c>
      <c r="W43" s="730">
        <v>5</v>
      </c>
      <c r="X43" s="730">
        <v>5</v>
      </c>
      <c r="Y43" s="803"/>
      <c r="Z43" s="803"/>
      <c r="AA43" s="72">
        <f>SUM(T43:Z43)</f>
        <v>20</v>
      </c>
    </row>
    <row r="44" spans="1:42" ht="20.25">
      <c r="A44" s="714">
        <v>1</v>
      </c>
      <c r="B44" s="715" t="s">
        <v>434</v>
      </c>
      <c r="C44" s="84">
        <f>C43</f>
        <v>4</v>
      </c>
      <c r="D44" s="69">
        <f>D43</f>
        <v>7</v>
      </c>
      <c r="E44" s="69">
        <f>E43</f>
        <v>3</v>
      </c>
      <c r="F44" s="69">
        <f>F43</f>
        <v>9</v>
      </c>
      <c r="G44" s="724">
        <v>0</v>
      </c>
      <c r="H44" s="68">
        <f t="shared" ref="H44:H74" si="6">SUM(C44:G44)</f>
        <v>23</v>
      </c>
      <c r="I44" s="714">
        <v>1</v>
      </c>
      <c r="J44" s="715" t="s">
        <v>434</v>
      </c>
      <c r="K44" s="84">
        <v>1</v>
      </c>
      <c r="L44" s="69">
        <v>1</v>
      </c>
      <c r="M44" s="84">
        <v>1</v>
      </c>
      <c r="N44" s="69">
        <v>0</v>
      </c>
      <c r="O44" s="68">
        <f>SUM(K44:N44)</f>
        <v>3</v>
      </c>
      <c r="P44" s="762"/>
      <c r="Q44" s="762"/>
      <c r="R44" s="714">
        <v>1</v>
      </c>
      <c r="S44" s="715" t="s">
        <v>434</v>
      </c>
      <c r="T44" s="726">
        <f>T43</f>
        <v>5</v>
      </c>
      <c r="U44" s="720">
        <f>U43</f>
        <v>5</v>
      </c>
      <c r="V44" s="724">
        <v>0</v>
      </c>
      <c r="W44" s="720">
        <f>W43</f>
        <v>5</v>
      </c>
      <c r="X44" s="720">
        <f>X43</f>
        <v>5</v>
      </c>
      <c r="Y44" s="804"/>
      <c r="Z44" s="804"/>
      <c r="AA44" s="72">
        <f t="shared" ref="AA44:AA76" si="7">SUM(T44:Z44)</f>
        <v>20</v>
      </c>
    </row>
    <row r="45" spans="1:42" ht="24">
      <c r="A45" s="710" t="s">
        <v>1346</v>
      </c>
      <c r="B45" s="716" t="s">
        <v>1349</v>
      </c>
      <c r="C45" s="719">
        <v>0</v>
      </c>
      <c r="D45" s="720">
        <v>0</v>
      </c>
      <c r="E45" s="720">
        <v>0</v>
      </c>
      <c r="F45" s="720">
        <v>0</v>
      </c>
      <c r="G45" s="441">
        <v>1</v>
      </c>
      <c r="H45" s="68">
        <f t="shared" si="6"/>
        <v>1</v>
      </c>
      <c r="I45" s="710" t="s">
        <v>1346</v>
      </c>
      <c r="J45" s="716" t="s">
        <v>1349</v>
      </c>
      <c r="K45" s="719">
        <v>0</v>
      </c>
      <c r="L45" s="720">
        <v>0</v>
      </c>
      <c r="M45" s="732">
        <v>0</v>
      </c>
      <c r="N45" s="720">
        <v>1</v>
      </c>
      <c r="O45" s="68">
        <f>SUM(K45:N45)</f>
        <v>1</v>
      </c>
      <c r="P45" s="762"/>
      <c r="Q45" s="762"/>
      <c r="R45" s="710" t="s">
        <v>1346</v>
      </c>
      <c r="S45" s="716" t="s">
        <v>1536</v>
      </c>
      <c r="T45" s="719">
        <v>0</v>
      </c>
      <c r="U45" s="720">
        <v>0</v>
      </c>
      <c r="V45" s="724">
        <v>1</v>
      </c>
      <c r="W45" s="720">
        <v>0</v>
      </c>
      <c r="X45" s="720">
        <v>0</v>
      </c>
      <c r="Y45" s="799"/>
      <c r="Z45" s="804"/>
      <c r="AA45" s="72">
        <f t="shared" si="7"/>
        <v>1</v>
      </c>
      <c r="AD45" s="466">
        <v>8400</v>
      </c>
      <c r="AF45" s="467">
        <v>450</v>
      </c>
      <c r="AI45" s="468"/>
      <c r="AK45" s="711"/>
    </row>
    <row r="46" spans="1:42" ht="24">
      <c r="A46" s="114" t="s">
        <v>1346</v>
      </c>
      <c r="B46" s="119" t="s">
        <v>434</v>
      </c>
      <c r="C46" s="721">
        <v>0</v>
      </c>
      <c r="D46" s="720">
        <v>0</v>
      </c>
      <c r="E46" s="720">
        <v>0</v>
      </c>
      <c r="F46" s="720">
        <v>0</v>
      </c>
      <c r="G46" s="441">
        <f>G45</f>
        <v>1</v>
      </c>
      <c r="H46" s="68">
        <f t="shared" si="6"/>
        <v>1</v>
      </c>
      <c r="I46" s="114" t="s">
        <v>1346</v>
      </c>
      <c r="J46" s="119" t="s">
        <v>434</v>
      </c>
      <c r="K46" s="721">
        <v>0</v>
      </c>
      <c r="L46" s="720">
        <v>0</v>
      </c>
      <c r="M46" s="733">
        <v>0</v>
      </c>
      <c r="N46" s="720">
        <v>1</v>
      </c>
      <c r="O46" s="68">
        <f>SUM(K46:N46)</f>
        <v>1</v>
      </c>
      <c r="P46" s="762"/>
      <c r="Q46" s="762"/>
      <c r="R46" s="114" t="s">
        <v>1346</v>
      </c>
      <c r="S46" s="119" t="s">
        <v>434</v>
      </c>
      <c r="T46" s="721">
        <v>0</v>
      </c>
      <c r="U46" s="720">
        <v>0</v>
      </c>
      <c r="V46" s="724">
        <v>1</v>
      </c>
      <c r="W46" s="720">
        <v>0</v>
      </c>
      <c r="X46" s="720">
        <v>0</v>
      </c>
      <c r="Y46" s="799"/>
      <c r="Z46" s="804"/>
      <c r="AA46" s="72">
        <f t="shared" si="7"/>
        <v>1</v>
      </c>
      <c r="AD46" s="468">
        <v>305</v>
      </c>
      <c r="AF46" s="467">
        <v>35</v>
      </c>
      <c r="AI46" s="468"/>
      <c r="AK46" s="711"/>
    </row>
    <row r="47" spans="1:42" ht="20.25">
      <c r="A47" s="114">
        <v>2</v>
      </c>
      <c r="B47" s="119" t="s">
        <v>435</v>
      </c>
      <c r="C47" s="84">
        <f>C43</f>
        <v>4</v>
      </c>
      <c r="D47" s="69">
        <f>D43</f>
        <v>7</v>
      </c>
      <c r="E47" s="69">
        <f>E43</f>
        <v>3</v>
      </c>
      <c r="F47" s="69">
        <f>F43</f>
        <v>9</v>
      </c>
      <c r="G47" s="724">
        <f>G43</f>
        <v>0</v>
      </c>
      <c r="H47" s="68">
        <f t="shared" si="6"/>
        <v>23</v>
      </c>
      <c r="I47" s="114">
        <v>2</v>
      </c>
      <c r="J47" s="119" t="s">
        <v>435</v>
      </c>
      <c r="K47" s="84">
        <v>1</v>
      </c>
      <c r="L47" s="69">
        <v>1</v>
      </c>
      <c r="M47" s="84">
        <v>1</v>
      </c>
      <c r="N47" s="69">
        <v>1</v>
      </c>
      <c r="O47" s="68">
        <f>SUM(K47:N47)</f>
        <v>4</v>
      </c>
      <c r="P47" s="762"/>
      <c r="Q47" s="762"/>
      <c r="R47" s="114">
        <v>2</v>
      </c>
      <c r="S47" s="119" t="s">
        <v>435</v>
      </c>
      <c r="T47" s="726">
        <f>T43</f>
        <v>5</v>
      </c>
      <c r="U47" s="720">
        <f>U43</f>
        <v>5</v>
      </c>
      <c r="V47" s="724">
        <f>V43</f>
        <v>0</v>
      </c>
      <c r="W47" s="720">
        <f>W43</f>
        <v>5</v>
      </c>
      <c r="X47" s="720">
        <f>X43</f>
        <v>5</v>
      </c>
      <c r="Y47" s="804"/>
      <c r="Z47" s="804"/>
      <c r="AA47" s="72">
        <f t="shared" si="7"/>
        <v>20</v>
      </c>
    </row>
    <row r="48" spans="1:42" ht="20.25">
      <c r="A48" s="114">
        <v>3</v>
      </c>
      <c r="B48" s="119" t="s">
        <v>473</v>
      </c>
      <c r="C48" s="84">
        <v>4</v>
      </c>
      <c r="D48" s="722">
        <v>0</v>
      </c>
      <c r="E48" s="83">
        <v>6</v>
      </c>
      <c r="F48" s="722">
        <v>0</v>
      </c>
      <c r="G48" s="723">
        <v>0</v>
      </c>
      <c r="H48" s="68">
        <f t="shared" si="6"/>
        <v>10</v>
      </c>
      <c r="I48" s="114">
        <v>3</v>
      </c>
      <c r="J48" s="119" t="s">
        <v>473</v>
      </c>
      <c r="K48" s="85">
        <v>1</v>
      </c>
      <c r="L48" s="83"/>
      <c r="M48" s="85">
        <v>1</v>
      </c>
      <c r="N48" s="83"/>
      <c r="O48" s="68">
        <f t="shared" ref="O48:O54" si="8">SUM(K48:N48)</f>
        <v>2</v>
      </c>
      <c r="P48" s="762"/>
      <c r="Q48" s="762"/>
      <c r="R48" s="114">
        <v>3</v>
      </c>
      <c r="S48" s="119" t="s">
        <v>473</v>
      </c>
      <c r="T48" s="726">
        <v>5</v>
      </c>
      <c r="U48" s="722">
        <v>0</v>
      </c>
      <c r="V48" s="723">
        <v>0</v>
      </c>
      <c r="W48" s="722">
        <v>3</v>
      </c>
      <c r="X48" s="722">
        <v>0</v>
      </c>
      <c r="Y48" s="805"/>
      <c r="Z48" s="805"/>
      <c r="AA48" s="72">
        <f t="shared" si="7"/>
        <v>8</v>
      </c>
    </row>
    <row r="49" spans="1:37" ht="20.25">
      <c r="A49" s="114">
        <v>4</v>
      </c>
      <c r="B49" s="119" t="s">
        <v>436</v>
      </c>
      <c r="C49" s="84">
        <v>4</v>
      </c>
      <c r="D49" s="69">
        <v>4</v>
      </c>
      <c r="E49" s="69">
        <v>4</v>
      </c>
      <c r="F49" s="69">
        <v>3</v>
      </c>
      <c r="G49" s="724">
        <v>0</v>
      </c>
      <c r="H49" s="68">
        <f t="shared" si="6"/>
        <v>15</v>
      </c>
      <c r="I49" s="114">
        <v>4</v>
      </c>
      <c r="J49" s="119" t="s">
        <v>436</v>
      </c>
      <c r="K49" s="84">
        <v>1</v>
      </c>
      <c r="L49" s="69">
        <v>1</v>
      </c>
      <c r="M49" s="84">
        <v>1</v>
      </c>
      <c r="N49" s="69">
        <v>1</v>
      </c>
      <c r="O49" s="68">
        <f t="shared" si="8"/>
        <v>4</v>
      </c>
      <c r="P49" s="762"/>
      <c r="Q49" s="762"/>
      <c r="R49" s="114">
        <v>4</v>
      </c>
      <c r="S49" s="119" t="s">
        <v>436</v>
      </c>
      <c r="T49" s="726">
        <v>4</v>
      </c>
      <c r="U49" s="720">
        <v>4</v>
      </c>
      <c r="V49" s="724">
        <v>0</v>
      </c>
      <c r="W49" s="720">
        <v>3</v>
      </c>
      <c r="X49" s="720">
        <v>6</v>
      </c>
      <c r="Y49" s="804"/>
      <c r="Z49" s="804"/>
      <c r="AA49" s="72">
        <f t="shared" si="7"/>
        <v>17</v>
      </c>
    </row>
    <row r="50" spans="1:37" ht="20.25">
      <c r="A50" s="114">
        <v>4</v>
      </c>
      <c r="B50" s="119" t="s">
        <v>437</v>
      </c>
      <c r="C50" s="84">
        <f>C49</f>
        <v>4</v>
      </c>
      <c r="D50" s="69">
        <f>D49</f>
        <v>4</v>
      </c>
      <c r="E50" s="69">
        <f>E49</f>
        <v>4</v>
      </c>
      <c r="F50" s="69">
        <f>F49</f>
        <v>3</v>
      </c>
      <c r="G50" s="724">
        <f>G49</f>
        <v>0</v>
      </c>
      <c r="H50" s="68">
        <f t="shared" si="6"/>
        <v>15</v>
      </c>
      <c r="I50" s="114">
        <v>4</v>
      </c>
      <c r="J50" s="119" t="s">
        <v>437</v>
      </c>
      <c r="K50" s="84">
        <v>1</v>
      </c>
      <c r="L50" s="69">
        <v>1</v>
      </c>
      <c r="M50" s="84">
        <v>1</v>
      </c>
      <c r="N50" s="69">
        <v>1</v>
      </c>
      <c r="O50" s="68">
        <f t="shared" si="8"/>
        <v>4</v>
      </c>
      <c r="P50" s="762"/>
      <c r="Q50" s="762"/>
      <c r="R50" s="114">
        <v>4</v>
      </c>
      <c r="S50" s="119" t="s">
        <v>437</v>
      </c>
      <c r="T50" s="726">
        <f>T49</f>
        <v>4</v>
      </c>
      <c r="U50" s="720">
        <f>U49</f>
        <v>4</v>
      </c>
      <c r="V50" s="724">
        <f>V49</f>
        <v>0</v>
      </c>
      <c r="W50" s="720">
        <f>W49</f>
        <v>3</v>
      </c>
      <c r="X50" s="720">
        <f>X49</f>
        <v>6</v>
      </c>
      <c r="Y50" s="804"/>
      <c r="Z50" s="804"/>
      <c r="AA50" s="72">
        <f t="shared" si="7"/>
        <v>17</v>
      </c>
    </row>
    <row r="51" spans="1:37" ht="20.25">
      <c r="A51" s="114">
        <v>4</v>
      </c>
      <c r="B51" s="119" t="s">
        <v>438</v>
      </c>
      <c r="C51" s="84">
        <f>C49</f>
        <v>4</v>
      </c>
      <c r="D51" s="69">
        <f>D49</f>
        <v>4</v>
      </c>
      <c r="E51" s="69">
        <f>E49</f>
        <v>4</v>
      </c>
      <c r="F51" s="69">
        <f>F49</f>
        <v>3</v>
      </c>
      <c r="G51" s="724">
        <f>G49</f>
        <v>0</v>
      </c>
      <c r="H51" s="68">
        <f t="shared" si="6"/>
        <v>15</v>
      </c>
      <c r="I51" s="114">
        <v>4</v>
      </c>
      <c r="J51" s="119" t="s">
        <v>438</v>
      </c>
      <c r="K51" s="84">
        <v>1</v>
      </c>
      <c r="L51" s="69">
        <v>1</v>
      </c>
      <c r="M51" s="84">
        <v>1</v>
      </c>
      <c r="N51" s="69">
        <v>1</v>
      </c>
      <c r="O51" s="68">
        <f t="shared" si="8"/>
        <v>4</v>
      </c>
      <c r="P51" s="762"/>
      <c r="Q51" s="762"/>
      <c r="R51" s="114">
        <v>4</v>
      </c>
      <c r="S51" s="119" t="s">
        <v>438</v>
      </c>
      <c r="T51" s="726">
        <f>T49</f>
        <v>4</v>
      </c>
      <c r="U51" s="720">
        <f>U49</f>
        <v>4</v>
      </c>
      <c r="V51" s="724">
        <f>V49</f>
        <v>0</v>
      </c>
      <c r="W51" s="720">
        <f>W49</f>
        <v>3</v>
      </c>
      <c r="X51" s="720">
        <f>X49</f>
        <v>6</v>
      </c>
      <c r="Y51" s="804"/>
      <c r="Z51" s="804"/>
      <c r="AA51" s="72">
        <f t="shared" si="7"/>
        <v>17</v>
      </c>
    </row>
    <row r="52" spans="1:37" ht="20.25">
      <c r="A52" s="114">
        <v>4</v>
      </c>
      <c r="B52" s="119" t="s">
        <v>439</v>
      </c>
      <c r="C52" s="84">
        <f>C49</f>
        <v>4</v>
      </c>
      <c r="D52" s="69">
        <f>D49</f>
        <v>4</v>
      </c>
      <c r="E52" s="69">
        <f>E49</f>
        <v>4</v>
      </c>
      <c r="F52" s="69">
        <f>F49</f>
        <v>3</v>
      </c>
      <c r="G52" s="724">
        <f>G49</f>
        <v>0</v>
      </c>
      <c r="H52" s="68">
        <f t="shared" si="6"/>
        <v>15</v>
      </c>
      <c r="I52" s="114">
        <v>4</v>
      </c>
      <c r="J52" s="119" t="s">
        <v>439</v>
      </c>
      <c r="K52" s="84">
        <v>1</v>
      </c>
      <c r="L52" s="69">
        <v>1</v>
      </c>
      <c r="M52" s="84">
        <v>1</v>
      </c>
      <c r="N52" s="69">
        <v>1</v>
      </c>
      <c r="O52" s="68">
        <f t="shared" si="8"/>
        <v>4</v>
      </c>
      <c r="P52" s="762"/>
      <c r="Q52" s="762"/>
      <c r="R52" s="114">
        <v>4</v>
      </c>
      <c r="S52" s="119" t="s">
        <v>439</v>
      </c>
      <c r="T52" s="726">
        <f>T49</f>
        <v>4</v>
      </c>
      <c r="U52" s="720">
        <f>U49</f>
        <v>4</v>
      </c>
      <c r="V52" s="724">
        <f>V49</f>
        <v>0</v>
      </c>
      <c r="W52" s="720">
        <f>W49</f>
        <v>3</v>
      </c>
      <c r="X52" s="720">
        <f>X49</f>
        <v>6</v>
      </c>
      <c r="Y52" s="804"/>
      <c r="Z52" s="804"/>
      <c r="AA52" s="72">
        <f t="shared" si="7"/>
        <v>17</v>
      </c>
    </row>
    <row r="53" spans="1:37" ht="20.25">
      <c r="A53" s="114">
        <v>4</v>
      </c>
      <c r="B53" s="119" t="s">
        <v>440</v>
      </c>
      <c r="C53" s="84">
        <f>C49</f>
        <v>4</v>
      </c>
      <c r="D53" s="69">
        <f>D49</f>
        <v>4</v>
      </c>
      <c r="E53" s="69">
        <f>E49</f>
        <v>4</v>
      </c>
      <c r="F53" s="69">
        <f>F49</f>
        <v>3</v>
      </c>
      <c r="G53" s="724">
        <f>G49</f>
        <v>0</v>
      </c>
      <c r="H53" s="68">
        <f t="shared" si="6"/>
        <v>15</v>
      </c>
      <c r="I53" s="114">
        <v>4</v>
      </c>
      <c r="J53" s="119" t="s">
        <v>440</v>
      </c>
      <c r="K53" s="84">
        <v>1</v>
      </c>
      <c r="L53" s="69">
        <v>1</v>
      </c>
      <c r="M53" s="84">
        <v>1</v>
      </c>
      <c r="N53" s="69">
        <v>1</v>
      </c>
      <c r="O53" s="68">
        <f t="shared" si="8"/>
        <v>4</v>
      </c>
      <c r="P53" s="762"/>
      <c r="Q53" s="762"/>
      <c r="R53" s="114">
        <v>4</v>
      </c>
      <c r="S53" s="119" t="s">
        <v>440</v>
      </c>
      <c r="T53" s="726">
        <f>T49</f>
        <v>4</v>
      </c>
      <c r="U53" s="720">
        <f>U49</f>
        <v>4</v>
      </c>
      <c r="V53" s="724">
        <f>V49</f>
        <v>0</v>
      </c>
      <c r="W53" s="720">
        <f>W49</f>
        <v>3</v>
      </c>
      <c r="X53" s="720">
        <f>X49</f>
        <v>6</v>
      </c>
      <c r="Y53" s="804"/>
      <c r="Z53" s="804"/>
      <c r="AA53" s="72">
        <f t="shared" si="7"/>
        <v>17</v>
      </c>
    </row>
    <row r="54" spans="1:37" ht="20.25">
      <c r="A54" s="710">
        <v>4</v>
      </c>
      <c r="B54" s="119" t="s">
        <v>434</v>
      </c>
      <c r="C54" s="712">
        <f>C49</f>
        <v>4</v>
      </c>
      <c r="D54" s="712">
        <f>D49</f>
        <v>4</v>
      </c>
      <c r="E54" s="712">
        <f>E49</f>
        <v>4</v>
      </c>
      <c r="F54" s="712">
        <f>F49</f>
        <v>3</v>
      </c>
      <c r="G54" s="721">
        <f>G49</f>
        <v>0</v>
      </c>
      <c r="H54" s="68">
        <f t="shared" si="6"/>
        <v>15</v>
      </c>
      <c r="I54" s="710">
        <v>4</v>
      </c>
      <c r="J54" s="119" t="s">
        <v>434</v>
      </c>
      <c r="K54" s="713">
        <f>K49</f>
        <v>1</v>
      </c>
      <c r="L54" s="713">
        <f>L49</f>
        <v>1</v>
      </c>
      <c r="M54" s="713">
        <f>M49</f>
        <v>1</v>
      </c>
      <c r="N54" s="713">
        <f>N49</f>
        <v>1</v>
      </c>
      <c r="O54" s="68">
        <f t="shared" si="8"/>
        <v>4</v>
      </c>
      <c r="P54" s="762"/>
      <c r="Q54" s="762"/>
      <c r="R54" s="710">
        <v>4</v>
      </c>
      <c r="S54" s="119" t="s">
        <v>434</v>
      </c>
      <c r="T54" s="721">
        <f>T49</f>
        <v>4</v>
      </c>
      <c r="U54" s="721">
        <f>U49</f>
        <v>4</v>
      </c>
      <c r="V54" s="721">
        <f>V49</f>
        <v>0</v>
      </c>
      <c r="W54" s="721">
        <f>W49</f>
        <v>3</v>
      </c>
      <c r="X54" s="721">
        <f>X49</f>
        <v>6</v>
      </c>
      <c r="Y54" s="806"/>
      <c r="Z54" s="806"/>
      <c r="AA54" s="72">
        <f t="shared" si="7"/>
        <v>17</v>
      </c>
    </row>
    <row r="55" spans="1:37" ht="20.25">
      <c r="A55" s="114" t="s">
        <v>1347</v>
      </c>
      <c r="B55" s="119" t="s">
        <v>1348</v>
      </c>
      <c r="C55" s="726">
        <v>0</v>
      </c>
      <c r="D55" s="720">
        <v>0</v>
      </c>
      <c r="E55" s="720">
        <v>0</v>
      </c>
      <c r="F55" s="720">
        <v>0</v>
      </c>
      <c r="G55" s="441">
        <v>1</v>
      </c>
      <c r="H55" s="68">
        <f t="shared" si="6"/>
        <v>1</v>
      </c>
      <c r="I55" s="114" t="s">
        <v>1347</v>
      </c>
      <c r="J55" s="119" t="s">
        <v>1348</v>
      </c>
      <c r="K55" s="726">
        <v>2</v>
      </c>
      <c r="L55" s="720">
        <v>4</v>
      </c>
      <c r="M55" s="726"/>
      <c r="N55" s="720"/>
      <c r="O55" s="68">
        <f t="shared" ref="O55:O60" si="9">SUM(K55:N55)</f>
        <v>6</v>
      </c>
      <c r="P55" s="762"/>
      <c r="Q55" s="762"/>
      <c r="R55" s="114" t="s">
        <v>1347</v>
      </c>
      <c r="S55" s="119" t="s">
        <v>1348</v>
      </c>
      <c r="T55" s="726">
        <v>0</v>
      </c>
      <c r="U55" s="720">
        <v>0</v>
      </c>
      <c r="V55" s="724">
        <v>1</v>
      </c>
      <c r="W55" s="720">
        <v>0</v>
      </c>
      <c r="X55" s="720">
        <v>0</v>
      </c>
      <c r="Y55" s="799"/>
      <c r="Z55" s="804"/>
      <c r="AA55" s="72">
        <f t="shared" si="7"/>
        <v>1</v>
      </c>
      <c r="AD55" s="1748">
        <v>4773</v>
      </c>
      <c r="AF55" s="1740">
        <v>450</v>
      </c>
      <c r="AI55" s="1748">
        <v>3500</v>
      </c>
      <c r="AK55" s="1740">
        <v>450</v>
      </c>
    </row>
    <row r="56" spans="1:37" ht="20.25">
      <c r="A56" s="114" t="s">
        <v>1347</v>
      </c>
      <c r="B56" s="119" t="s">
        <v>437</v>
      </c>
      <c r="C56" s="726">
        <f>C55</f>
        <v>0</v>
      </c>
      <c r="D56" s="720">
        <f>D55</f>
        <v>0</v>
      </c>
      <c r="E56" s="720">
        <f>E55</f>
        <v>0</v>
      </c>
      <c r="F56" s="720">
        <f>F55</f>
        <v>0</v>
      </c>
      <c r="G56" s="441">
        <f>G55</f>
        <v>1</v>
      </c>
      <c r="H56" s="68">
        <f t="shared" si="6"/>
        <v>1</v>
      </c>
      <c r="I56" s="114" t="s">
        <v>1347</v>
      </c>
      <c r="J56" s="119" t="s">
        <v>437</v>
      </c>
      <c r="K56" s="726">
        <f>K55</f>
        <v>2</v>
      </c>
      <c r="L56" s="720">
        <f>L55</f>
        <v>4</v>
      </c>
      <c r="M56" s="726"/>
      <c r="N56" s="720"/>
      <c r="O56" s="68">
        <f t="shared" si="9"/>
        <v>6</v>
      </c>
      <c r="P56" s="762"/>
      <c r="Q56" s="762"/>
      <c r="R56" s="114" t="s">
        <v>1347</v>
      </c>
      <c r="S56" s="119" t="s">
        <v>437</v>
      </c>
      <c r="T56" s="726">
        <f>T55</f>
        <v>0</v>
      </c>
      <c r="U56" s="720">
        <f>U55</f>
        <v>0</v>
      </c>
      <c r="V56" s="724">
        <f>V55</f>
        <v>1</v>
      </c>
      <c r="W56" s="720">
        <f>W55</f>
        <v>0</v>
      </c>
      <c r="X56" s="720">
        <f>X55</f>
        <v>0</v>
      </c>
      <c r="Y56" s="799"/>
      <c r="Z56" s="804"/>
      <c r="AA56" s="72">
        <f t="shared" si="7"/>
        <v>1</v>
      </c>
      <c r="AD56" s="1749"/>
      <c r="AF56" s="1741"/>
      <c r="AI56" s="1749"/>
      <c r="AK56" s="1741"/>
    </row>
    <row r="57" spans="1:37" ht="20.25">
      <c r="A57" s="114" t="s">
        <v>1347</v>
      </c>
      <c r="B57" s="119" t="s">
        <v>438</v>
      </c>
      <c r="C57" s="726">
        <f>C55</f>
        <v>0</v>
      </c>
      <c r="D57" s="720">
        <f>D55</f>
        <v>0</v>
      </c>
      <c r="E57" s="720">
        <f>E55</f>
        <v>0</v>
      </c>
      <c r="F57" s="720">
        <f>F55</f>
        <v>0</v>
      </c>
      <c r="G57" s="441">
        <f>G55</f>
        <v>1</v>
      </c>
      <c r="H57" s="68">
        <f t="shared" si="6"/>
        <v>1</v>
      </c>
      <c r="I57" s="114" t="s">
        <v>1347</v>
      </c>
      <c r="J57" s="119" t="s">
        <v>438</v>
      </c>
      <c r="K57" s="726">
        <f>K55</f>
        <v>2</v>
      </c>
      <c r="L57" s="720">
        <f>L55</f>
        <v>4</v>
      </c>
      <c r="M57" s="726"/>
      <c r="N57" s="720"/>
      <c r="O57" s="68">
        <f t="shared" si="9"/>
        <v>6</v>
      </c>
      <c r="P57" s="762"/>
      <c r="Q57" s="762"/>
      <c r="R57" s="114" t="s">
        <v>1347</v>
      </c>
      <c r="S57" s="119" t="s">
        <v>438</v>
      </c>
      <c r="T57" s="726">
        <f>T55</f>
        <v>0</v>
      </c>
      <c r="U57" s="720">
        <f>U55</f>
        <v>0</v>
      </c>
      <c r="V57" s="724">
        <f>V55</f>
        <v>1</v>
      </c>
      <c r="W57" s="720">
        <f>W55</f>
        <v>0</v>
      </c>
      <c r="X57" s="720">
        <f>X55</f>
        <v>0</v>
      </c>
      <c r="Y57" s="799"/>
      <c r="Z57" s="804"/>
      <c r="AA57" s="72">
        <f t="shared" si="7"/>
        <v>1</v>
      </c>
      <c r="AD57" s="1749"/>
      <c r="AF57" s="1741"/>
      <c r="AI57" s="1749"/>
      <c r="AK57" s="1741"/>
    </row>
    <row r="58" spans="1:37" ht="20.25">
      <c r="A58" s="114" t="s">
        <v>1347</v>
      </c>
      <c r="B58" s="119" t="s">
        <v>439</v>
      </c>
      <c r="C58" s="726">
        <f>C55</f>
        <v>0</v>
      </c>
      <c r="D58" s="720">
        <f>D55</f>
        <v>0</v>
      </c>
      <c r="E58" s="720">
        <f>E55</f>
        <v>0</v>
      </c>
      <c r="F58" s="720">
        <f>F55</f>
        <v>0</v>
      </c>
      <c r="G58" s="441">
        <f>G55</f>
        <v>1</v>
      </c>
      <c r="H58" s="68">
        <f t="shared" si="6"/>
        <v>1</v>
      </c>
      <c r="I58" s="114" t="s">
        <v>1347</v>
      </c>
      <c r="J58" s="119" t="s">
        <v>439</v>
      </c>
      <c r="K58" s="726">
        <f>K55</f>
        <v>2</v>
      </c>
      <c r="L58" s="720">
        <f>L55</f>
        <v>4</v>
      </c>
      <c r="M58" s="726"/>
      <c r="N58" s="720"/>
      <c r="O58" s="68">
        <f t="shared" si="9"/>
        <v>6</v>
      </c>
      <c r="P58" s="762"/>
      <c r="Q58" s="762"/>
      <c r="R58" s="114" t="s">
        <v>1347</v>
      </c>
      <c r="S58" s="119" t="s">
        <v>439</v>
      </c>
      <c r="T58" s="726">
        <f>T55</f>
        <v>0</v>
      </c>
      <c r="U58" s="720">
        <f>U55</f>
        <v>0</v>
      </c>
      <c r="V58" s="724">
        <f>V55</f>
        <v>1</v>
      </c>
      <c r="W58" s="720">
        <f>W55</f>
        <v>0</v>
      </c>
      <c r="X58" s="720">
        <f>X55</f>
        <v>0</v>
      </c>
      <c r="Y58" s="799"/>
      <c r="Z58" s="804"/>
      <c r="AA58" s="72">
        <f t="shared" si="7"/>
        <v>1</v>
      </c>
      <c r="AD58" s="1749"/>
      <c r="AF58" s="1741"/>
      <c r="AI58" s="1749"/>
      <c r="AK58" s="1741"/>
    </row>
    <row r="59" spans="1:37" ht="20.25">
      <c r="A59" s="114" t="s">
        <v>1347</v>
      </c>
      <c r="B59" s="119" t="s">
        <v>440</v>
      </c>
      <c r="C59" s="726">
        <f>C55</f>
        <v>0</v>
      </c>
      <c r="D59" s="720">
        <f>D55</f>
        <v>0</v>
      </c>
      <c r="E59" s="720">
        <f>E55</f>
        <v>0</v>
      </c>
      <c r="F59" s="720">
        <f>F55</f>
        <v>0</v>
      </c>
      <c r="G59" s="441">
        <f>G55</f>
        <v>1</v>
      </c>
      <c r="H59" s="68">
        <f t="shared" si="6"/>
        <v>1</v>
      </c>
      <c r="I59" s="114" t="s">
        <v>1347</v>
      </c>
      <c r="J59" s="119" t="s">
        <v>440</v>
      </c>
      <c r="K59" s="726">
        <f>K55</f>
        <v>2</v>
      </c>
      <c r="L59" s="720">
        <f>L55</f>
        <v>4</v>
      </c>
      <c r="M59" s="726"/>
      <c r="N59" s="720"/>
      <c r="O59" s="68">
        <f t="shared" si="9"/>
        <v>6</v>
      </c>
      <c r="P59" s="762"/>
      <c r="Q59" s="762"/>
      <c r="R59" s="114" t="s">
        <v>1347</v>
      </c>
      <c r="S59" s="119" t="s">
        <v>440</v>
      </c>
      <c r="T59" s="726">
        <f>T55</f>
        <v>0</v>
      </c>
      <c r="U59" s="720">
        <f>U55</f>
        <v>0</v>
      </c>
      <c r="V59" s="724">
        <f>V55</f>
        <v>1</v>
      </c>
      <c r="W59" s="720">
        <f>W55</f>
        <v>0</v>
      </c>
      <c r="X59" s="720">
        <f>X55</f>
        <v>0</v>
      </c>
      <c r="Y59" s="799"/>
      <c r="Z59" s="804"/>
      <c r="AA59" s="72">
        <f t="shared" si="7"/>
        <v>1</v>
      </c>
      <c r="AD59" s="1750"/>
      <c r="AF59" s="1742"/>
      <c r="AI59" s="1750"/>
      <c r="AK59" s="1742"/>
    </row>
    <row r="60" spans="1:37" ht="24">
      <c r="A60" s="710" t="s">
        <v>1347</v>
      </c>
      <c r="B60" s="119" t="s">
        <v>434</v>
      </c>
      <c r="C60" s="721">
        <f>C55</f>
        <v>0</v>
      </c>
      <c r="D60" s="721">
        <f>D55</f>
        <v>0</v>
      </c>
      <c r="E60" s="721">
        <f>E55</f>
        <v>0</v>
      </c>
      <c r="F60" s="721">
        <f>F55</f>
        <v>0</v>
      </c>
      <c r="G60" s="712">
        <f>G55</f>
        <v>1</v>
      </c>
      <c r="H60" s="68">
        <f t="shared" si="6"/>
        <v>1</v>
      </c>
      <c r="I60" s="710" t="s">
        <v>1347</v>
      </c>
      <c r="J60" s="119" t="s">
        <v>434</v>
      </c>
      <c r="K60" s="721">
        <f>K55</f>
        <v>2</v>
      </c>
      <c r="L60" s="721">
        <f>L55</f>
        <v>4</v>
      </c>
      <c r="M60" s="721">
        <f>M55</f>
        <v>0</v>
      </c>
      <c r="N60" s="721">
        <f>N55</f>
        <v>0</v>
      </c>
      <c r="O60" s="68">
        <f t="shared" si="9"/>
        <v>6</v>
      </c>
      <c r="P60" s="762"/>
      <c r="Q60" s="762"/>
      <c r="R60" s="710" t="s">
        <v>1347</v>
      </c>
      <c r="S60" s="119" t="s">
        <v>434</v>
      </c>
      <c r="T60" s="721">
        <f>T55</f>
        <v>0</v>
      </c>
      <c r="U60" s="721">
        <f>U55</f>
        <v>0</v>
      </c>
      <c r="V60" s="721">
        <f>V55</f>
        <v>1</v>
      </c>
      <c r="W60" s="721">
        <f>W55</f>
        <v>0</v>
      </c>
      <c r="X60" s="721">
        <f>X55</f>
        <v>0</v>
      </c>
      <c r="Y60" s="801"/>
      <c r="Z60" s="806"/>
      <c r="AA60" s="72">
        <f t="shared" si="7"/>
        <v>1</v>
      </c>
      <c r="AD60" s="469"/>
      <c r="AF60" s="718"/>
      <c r="AI60" s="469"/>
      <c r="AK60" s="718"/>
    </row>
    <row r="61" spans="1:37" ht="24">
      <c r="A61" s="114">
        <v>5</v>
      </c>
      <c r="B61" s="119" t="s">
        <v>1351</v>
      </c>
      <c r="C61" s="726">
        <v>1</v>
      </c>
      <c r="D61" s="720">
        <v>0</v>
      </c>
      <c r="E61" s="720">
        <v>0</v>
      </c>
      <c r="F61" s="720">
        <v>0</v>
      </c>
      <c r="G61" s="724">
        <v>0</v>
      </c>
      <c r="H61" s="68">
        <f t="shared" si="6"/>
        <v>1</v>
      </c>
      <c r="I61" s="114">
        <v>5</v>
      </c>
      <c r="J61" s="119" t="s">
        <v>1351</v>
      </c>
      <c r="K61" s="726">
        <v>1</v>
      </c>
      <c r="L61" s="720">
        <v>1</v>
      </c>
      <c r="M61" s="726"/>
      <c r="N61" s="720"/>
      <c r="O61" s="68">
        <f t="shared" ref="O61:O67" si="10">SUM(K61:N61)</f>
        <v>2</v>
      </c>
      <c r="P61" s="762"/>
      <c r="Q61" s="762"/>
      <c r="R61" s="114">
        <v>5</v>
      </c>
      <c r="S61" s="119" t="s">
        <v>1531</v>
      </c>
      <c r="T61" s="726">
        <v>0</v>
      </c>
      <c r="U61" s="720">
        <v>0</v>
      </c>
      <c r="V61" s="724">
        <f>V56</f>
        <v>1</v>
      </c>
      <c r="W61" s="720">
        <v>0</v>
      </c>
      <c r="X61" s="720">
        <v>0</v>
      </c>
      <c r="Y61" s="799"/>
      <c r="Z61" s="804"/>
      <c r="AA61" s="72">
        <f t="shared" si="7"/>
        <v>1</v>
      </c>
      <c r="AD61" s="464">
        <v>3500</v>
      </c>
      <c r="AF61" s="465">
        <v>120</v>
      </c>
      <c r="AI61" s="464">
        <v>3500</v>
      </c>
      <c r="AK61" s="465">
        <v>120</v>
      </c>
    </row>
    <row r="62" spans="1:37" ht="24">
      <c r="A62" s="114">
        <v>5</v>
      </c>
      <c r="B62" s="119" t="s">
        <v>1350</v>
      </c>
      <c r="C62" s="721">
        <v>0</v>
      </c>
      <c r="D62" s="722">
        <v>1</v>
      </c>
      <c r="E62" s="722">
        <v>0</v>
      </c>
      <c r="F62" s="722">
        <v>0</v>
      </c>
      <c r="G62" s="723">
        <v>0</v>
      </c>
      <c r="H62" s="68">
        <f t="shared" si="6"/>
        <v>1</v>
      </c>
      <c r="I62" s="114">
        <v>5</v>
      </c>
      <c r="J62" s="119" t="s">
        <v>1350</v>
      </c>
      <c r="K62" s="721"/>
      <c r="L62" s="722"/>
      <c r="M62" s="721"/>
      <c r="N62" s="722"/>
      <c r="O62" s="68">
        <f t="shared" si="10"/>
        <v>0</v>
      </c>
      <c r="P62" s="762"/>
      <c r="Q62" s="762"/>
      <c r="R62" s="114">
        <v>5</v>
      </c>
      <c r="S62" s="119" t="s">
        <v>1529</v>
      </c>
      <c r="T62" s="721">
        <v>0</v>
      </c>
      <c r="U62" s="722">
        <v>0</v>
      </c>
      <c r="V62" s="723">
        <v>0</v>
      </c>
      <c r="W62" s="722">
        <v>1</v>
      </c>
      <c r="X62" s="722">
        <v>0</v>
      </c>
      <c r="Y62" s="800"/>
      <c r="Z62" s="805"/>
      <c r="AA62" s="72">
        <f t="shared" si="7"/>
        <v>1</v>
      </c>
      <c r="AD62" s="469"/>
      <c r="AF62" s="718"/>
      <c r="AI62" s="469"/>
      <c r="AK62" s="718"/>
    </row>
    <row r="63" spans="1:37" ht="24">
      <c r="A63" s="114">
        <v>5</v>
      </c>
      <c r="B63" s="119" t="s">
        <v>1352</v>
      </c>
      <c r="C63" s="721">
        <v>0</v>
      </c>
      <c r="D63" s="722">
        <v>0</v>
      </c>
      <c r="E63" s="722">
        <v>1</v>
      </c>
      <c r="F63" s="722">
        <v>0</v>
      </c>
      <c r="G63" s="723">
        <v>0</v>
      </c>
      <c r="H63" s="68">
        <f t="shared" si="6"/>
        <v>1</v>
      </c>
      <c r="I63" s="114">
        <v>5</v>
      </c>
      <c r="J63" s="119" t="s">
        <v>1352</v>
      </c>
      <c r="K63" s="721"/>
      <c r="L63" s="722"/>
      <c r="M63" s="721"/>
      <c r="N63" s="722"/>
      <c r="O63" s="68">
        <f t="shared" si="10"/>
        <v>0</v>
      </c>
      <c r="P63" s="762"/>
      <c r="Q63" s="762"/>
      <c r="R63" s="114">
        <v>5</v>
      </c>
      <c r="S63" s="119" t="s">
        <v>1530</v>
      </c>
      <c r="T63" s="721">
        <v>0</v>
      </c>
      <c r="U63" s="722">
        <v>1</v>
      </c>
      <c r="V63" s="723">
        <v>0</v>
      </c>
      <c r="W63" s="722">
        <v>0</v>
      </c>
      <c r="X63" s="722">
        <v>0</v>
      </c>
      <c r="Y63" s="800"/>
      <c r="Z63" s="805"/>
      <c r="AA63" s="72">
        <f t="shared" si="7"/>
        <v>1</v>
      </c>
      <c r="AD63" s="469"/>
      <c r="AF63" s="718"/>
      <c r="AI63" s="469"/>
      <c r="AK63" s="718"/>
    </row>
    <row r="64" spans="1:37" ht="24">
      <c r="A64" s="114">
        <v>5</v>
      </c>
      <c r="B64" s="119" t="s">
        <v>1353</v>
      </c>
      <c r="C64" s="721">
        <v>0</v>
      </c>
      <c r="D64" s="722">
        <v>0</v>
      </c>
      <c r="E64" s="722">
        <v>0</v>
      </c>
      <c r="F64" s="722">
        <v>1</v>
      </c>
      <c r="G64" s="723">
        <v>0</v>
      </c>
      <c r="H64" s="68">
        <f t="shared" si="6"/>
        <v>1</v>
      </c>
      <c r="I64" s="114">
        <v>5</v>
      </c>
      <c r="J64" s="119" t="s">
        <v>1353</v>
      </c>
      <c r="K64" s="721"/>
      <c r="L64" s="722"/>
      <c r="M64" s="721"/>
      <c r="N64" s="722"/>
      <c r="O64" s="68">
        <f t="shared" si="10"/>
        <v>0</v>
      </c>
      <c r="P64" s="762"/>
      <c r="Q64" s="762"/>
      <c r="R64" s="114">
        <v>5</v>
      </c>
      <c r="S64" s="119" t="s">
        <v>1533</v>
      </c>
      <c r="T64" s="721">
        <v>1</v>
      </c>
      <c r="U64" s="722">
        <v>0</v>
      </c>
      <c r="V64" s="723">
        <v>0</v>
      </c>
      <c r="W64" s="722">
        <v>0</v>
      </c>
      <c r="X64" s="722">
        <v>0</v>
      </c>
      <c r="Y64" s="800"/>
      <c r="Z64" s="805"/>
      <c r="AA64" s="72">
        <f t="shared" si="7"/>
        <v>1</v>
      </c>
      <c r="AD64" s="469"/>
      <c r="AF64" s="718"/>
      <c r="AI64" s="469"/>
      <c r="AK64" s="718"/>
    </row>
    <row r="65" spans="1:37" ht="24">
      <c r="A65" s="114">
        <v>5</v>
      </c>
      <c r="B65" s="119" t="s">
        <v>1354</v>
      </c>
      <c r="C65" s="721">
        <v>0</v>
      </c>
      <c r="D65" s="722">
        <v>0</v>
      </c>
      <c r="E65" s="722">
        <v>0</v>
      </c>
      <c r="F65" s="722">
        <v>0</v>
      </c>
      <c r="G65" s="723">
        <v>1</v>
      </c>
      <c r="H65" s="68">
        <f t="shared" si="6"/>
        <v>1</v>
      </c>
      <c r="I65" s="114">
        <v>5</v>
      </c>
      <c r="J65" s="119" t="s">
        <v>1354</v>
      </c>
      <c r="K65" s="721"/>
      <c r="L65" s="722"/>
      <c r="M65" s="721"/>
      <c r="N65" s="722"/>
      <c r="O65" s="68">
        <f t="shared" si="10"/>
        <v>0</v>
      </c>
      <c r="P65" s="762"/>
      <c r="Q65" s="762"/>
      <c r="R65" s="114">
        <v>5</v>
      </c>
      <c r="S65" s="119" t="s">
        <v>1532</v>
      </c>
      <c r="T65" s="721">
        <v>0</v>
      </c>
      <c r="U65" s="722">
        <v>0</v>
      </c>
      <c r="V65" s="723">
        <v>0</v>
      </c>
      <c r="W65" s="722">
        <v>0</v>
      </c>
      <c r="X65" s="722">
        <v>1</v>
      </c>
      <c r="Y65" s="800"/>
      <c r="Z65" s="805"/>
      <c r="AA65" s="72">
        <f t="shared" si="7"/>
        <v>1</v>
      </c>
      <c r="AD65" s="469"/>
      <c r="AF65" s="718"/>
      <c r="AI65" s="469"/>
      <c r="AK65" s="718"/>
    </row>
    <row r="66" spans="1:37" ht="20.25">
      <c r="A66" s="114">
        <v>6</v>
      </c>
      <c r="B66" s="120" t="s">
        <v>469</v>
      </c>
      <c r="C66" s="727">
        <v>0</v>
      </c>
      <c r="D66" s="722">
        <v>0</v>
      </c>
      <c r="E66" s="727">
        <v>0</v>
      </c>
      <c r="F66" s="722">
        <v>0</v>
      </c>
      <c r="G66" s="723">
        <v>2</v>
      </c>
      <c r="H66" s="68">
        <f t="shared" si="6"/>
        <v>2</v>
      </c>
      <c r="I66" s="114">
        <v>6</v>
      </c>
      <c r="J66" s="120" t="s">
        <v>469</v>
      </c>
      <c r="K66" s="85"/>
      <c r="L66" s="83"/>
      <c r="M66" s="85"/>
      <c r="N66" s="83"/>
      <c r="O66" s="68">
        <f t="shared" si="10"/>
        <v>0</v>
      </c>
      <c r="P66" s="762"/>
      <c r="Q66" s="762"/>
      <c r="R66" s="114">
        <v>6</v>
      </c>
      <c r="S66" s="120" t="s">
        <v>469</v>
      </c>
      <c r="T66" s="727">
        <v>0</v>
      </c>
      <c r="U66" s="722">
        <v>0</v>
      </c>
      <c r="V66" s="723">
        <v>2</v>
      </c>
      <c r="W66" s="727">
        <v>0</v>
      </c>
      <c r="X66" s="722">
        <v>0</v>
      </c>
      <c r="Y66" s="805"/>
      <c r="Z66" s="805"/>
      <c r="AA66" s="72">
        <f t="shared" si="7"/>
        <v>2</v>
      </c>
    </row>
    <row r="67" spans="1:37" ht="20.25">
      <c r="A67" s="114" t="s">
        <v>1355</v>
      </c>
      <c r="B67" s="120" t="s">
        <v>470</v>
      </c>
      <c r="C67" s="727">
        <v>0</v>
      </c>
      <c r="D67" s="722">
        <v>0</v>
      </c>
      <c r="E67" s="727">
        <v>0</v>
      </c>
      <c r="F67" s="722">
        <v>0</v>
      </c>
      <c r="G67" s="723">
        <v>1</v>
      </c>
      <c r="H67" s="68">
        <f t="shared" si="6"/>
        <v>1</v>
      </c>
      <c r="I67" s="114" t="s">
        <v>1355</v>
      </c>
      <c r="J67" s="120" t="s">
        <v>470</v>
      </c>
      <c r="K67" s="85"/>
      <c r="L67" s="83"/>
      <c r="M67" s="85"/>
      <c r="N67" s="83"/>
      <c r="O67" s="68">
        <f t="shared" si="10"/>
        <v>0</v>
      </c>
      <c r="P67" s="762"/>
      <c r="Q67" s="762"/>
      <c r="R67" s="114" t="s">
        <v>1355</v>
      </c>
      <c r="S67" s="120" t="s">
        <v>470</v>
      </c>
      <c r="T67" s="727">
        <v>0</v>
      </c>
      <c r="U67" s="722">
        <v>0</v>
      </c>
      <c r="V67" s="723">
        <v>1</v>
      </c>
      <c r="W67" s="727">
        <v>0</v>
      </c>
      <c r="X67" s="722">
        <v>0</v>
      </c>
      <c r="Y67" s="805"/>
      <c r="Z67" s="805"/>
      <c r="AA67" s="72">
        <f t="shared" si="7"/>
        <v>1</v>
      </c>
    </row>
    <row r="68" spans="1:37" ht="20.25">
      <c r="A68" s="114">
        <v>7</v>
      </c>
      <c r="B68" s="119" t="s">
        <v>1356</v>
      </c>
      <c r="C68" s="726">
        <f>C46</f>
        <v>0</v>
      </c>
      <c r="D68" s="720">
        <f>D46</f>
        <v>0</v>
      </c>
      <c r="E68" s="720">
        <f>E46</f>
        <v>0</v>
      </c>
      <c r="F68" s="720">
        <f>F46</f>
        <v>0</v>
      </c>
      <c r="G68" s="724">
        <f>G46</f>
        <v>1</v>
      </c>
      <c r="H68" s="68">
        <f t="shared" si="6"/>
        <v>1</v>
      </c>
      <c r="I68" s="114">
        <v>7</v>
      </c>
      <c r="J68" s="119" t="s">
        <v>1356</v>
      </c>
      <c r="K68" s="84">
        <v>1</v>
      </c>
      <c r="L68" s="69">
        <v>1</v>
      </c>
      <c r="M68" s="84">
        <v>1</v>
      </c>
      <c r="N68" s="69">
        <v>1</v>
      </c>
      <c r="O68" s="68">
        <f t="shared" ref="O68:O74" si="11">SUM(K68:N68)</f>
        <v>4</v>
      </c>
      <c r="P68" s="762"/>
      <c r="Q68" s="762"/>
      <c r="R68" s="114">
        <v>7</v>
      </c>
      <c r="S68" s="119" t="s">
        <v>1356</v>
      </c>
      <c r="T68" s="726">
        <f>T46</f>
        <v>0</v>
      </c>
      <c r="U68" s="720">
        <f>U46</f>
        <v>0</v>
      </c>
      <c r="V68" s="724">
        <f>V46</f>
        <v>1</v>
      </c>
      <c r="W68" s="720">
        <f>W46</f>
        <v>0</v>
      </c>
      <c r="X68" s="720">
        <f>X46</f>
        <v>0</v>
      </c>
      <c r="Y68" s="804"/>
      <c r="Z68" s="804"/>
      <c r="AA68" s="72">
        <f t="shared" si="7"/>
        <v>1</v>
      </c>
    </row>
    <row r="69" spans="1:37" ht="20.25">
      <c r="A69" s="114">
        <v>8</v>
      </c>
      <c r="B69" s="120" t="s">
        <v>443</v>
      </c>
      <c r="C69" s="727">
        <v>1</v>
      </c>
      <c r="D69" s="722">
        <v>1</v>
      </c>
      <c r="E69" s="727">
        <v>1</v>
      </c>
      <c r="F69" s="722">
        <v>1</v>
      </c>
      <c r="G69" s="723">
        <v>1</v>
      </c>
      <c r="H69" s="68">
        <f t="shared" si="6"/>
        <v>5</v>
      </c>
      <c r="I69" s="114">
        <v>8</v>
      </c>
      <c r="J69" s="120" t="s">
        <v>443</v>
      </c>
      <c r="K69" s="85">
        <v>1</v>
      </c>
      <c r="L69" s="83">
        <v>1</v>
      </c>
      <c r="M69" s="85">
        <v>1</v>
      </c>
      <c r="N69" s="83">
        <v>1</v>
      </c>
      <c r="O69" s="68">
        <f t="shared" si="11"/>
        <v>4</v>
      </c>
      <c r="P69" s="762"/>
      <c r="Q69" s="762"/>
      <c r="R69" s="114">
        <v>8</v>
      </c>
      <c r="S69" s="120" t="s">
        <v>443</v>
      </c>
      <c r="T69" s="727">
        <v>1</v>
      </c>
      <c r="U69" s="722">
        <v>1</v>
      </c>
      <c r="V69" s="723">
        <v>1</v>
      </c>
      <c r="W69" s="727">
        <v>1</v>
      </c>
      <c r="X69" s="722">
        <v>1</v>
      </c>
      <c r="Y69" s="805"/>
      <c r="Z69" s="805"/>
      <c r="AA69" s="72">
        <f t="shared" si="7"/>
        <v>5</v>
      </c>
    </row>
    <row r="70" spans="1:37" ht="20.25">
      <c r="A70" s="114"/>
      <c r="B70" s="120" t="s">
        <v>444</v>
      </c>
      <c r="C70" s="727">
        <v>2</v>
      </c>
      <c r="D70" s="722">
        <v>2</v>
      </c>
      <c r="E70" s="727">
        <v>2</v>
      </c>
      <c r="F70" s="722">
        <v>2</v>
      </c>
      <c r="G70" s="723">
        <v>1</v>
      </c>
      <c r="H70" s="68">
        <f t="shared" si="6"/>
        <v>9</v>
      </c>
      <c r="I70" s="114"/>
      <c r="J70" s="120" t="s">
        <v>444</v>
      </c>
      <c r="K70" s="85">
        <v>1</v>
      </c>
      <c r="L70" s="83">
        <v>1</v>
      </c>
      <c r="M70" s="85">
        <v>1</v>
      </c>
      <c r="N70" s="83">
        <v>1</v>
      </c>
      <c r="O70" s="68">
        <f t="shared" si="11"/>
        <v>4</v>
      </c>
      <c r="P70" s="762"/>
      <c r="Q70" s="762"/>
      <c r="R70" s="114">
        <v>9</v>
      </c>
      <c r="S70" s="120" t="s">
        <v>1525</v>
      </c>
      <c r="T70" s="727">
        <v>0</v>
      </c>
      <c r="U70" s="722">
        <v>0</v>
      </c>
      <c r="V70" s="723">
        <v>0</v>
      </c>
      <c r="W70" s="727">
        <v>0</v>
      </c>
      <c r="X70" s="722">
        <v>0</v>
      </c>
      <c r="Y70" s="800"/>
      <c r="Z70" s="805"/>
      <c r="AA70" s="72">
        <f t="shared" si="7"/>
        <v>0</v>
      </c>
    </row>
    <row r="71" spans="1:37" ht="20.25">
      <c r="A71" s="114" t="s">
        <v>1357</v>
      </c>
      <c r="B71" s="120" t="s">
        <v>45</v>
      </c>
      <c r="C71" s="727">
        <f>C43</f>
        <v>4</v>
      </c>
      <c r="D71" s="722">
        <f>D43</f>
        <v>7</v>
      </c>
      <c r="E71" s="722">
        <f>E43</f>
        <v>3</v>
      </c>
      <c r="F71" s="722">
        <f>F43</f>
        <v>9</v>
      </c>
      <c r="G71" s="723">
        <v>0</v>
      </c>
      <c r="H71" s="68">
        <f t="shared" si="6"/>
        <v>23</v>
      </c>
      <c r="I71" s="114" t="s">
        <v>1357</v>
      </c>
      <c r="J71" s="120" t="s">
        <v>45</v>
      </c>
      <c r="K71" s="85">
        <v>1</v>
      </c>
      <c r="L71" s="83">
        <v>1</v>
      </c>
      <c r="M71" s="84">
        <v>1</v>
      </c>
      <c r="N71" s="83">
        <v>1</v>
      </c>
      <c r="O71" s="68">
        <f t="shared" si="11"/>
        <v>4</v>
      </c>
      <c r="P71" s="762"/>
      <c r="Q71" s="762"/>
      <c r="R71" s="114">
        <v>10</v>
      </c>
      <c r="S71" s="120" t="s">
        <v>1526</v>
      </c>
      <c r="T71" s="727">
        <v>0</v>
      </c>
      <c r="U71" s="722">
        <v>0</v>
      </c>
      <c r="V71" s="723">
        <v>0</v>
      </c>
      <c r="W71" s="722">
        <v>0</v>
      </c>
      <c r="X71" s="722">
        <v>0</v>
      </c>
      <c r="Y71" s="800"/>
      <c r="Z71" s="805"/>
      <c r="AA71" s="72">
        <f t="shared" si="7"/>
        <v>0</v>
      </c>
    </row>
    <row r="72" spans="1:37" ht="24">
      <c r="A72" s="114"/>
      <c r="B72" s="119" t="s">
        <v>1358</v>
      </c>
      <c r="C72" s="726">
        <f>C59</f>
        <v>0</v>
      </c>
      <c r="D72" s="720">
        <f>D59</f>
        <v>0</v>
      </c>
      <c r="E72" s="720">
        <f>E59</f>
        <v>0</v>
      </c>
      <c r="F72" s="720">
        <f>F59</f>
        <v>0</v>
      </c>
      <c r="G72" s="724">
        <v>0</v>
      </c>
      <c r="H72" s="68">
        <f t="shared" si="6"/>
        <v>0</v>
      </c>
      <c r="I72" s="114"/>
      <c r="J72" s="119" t="s">
        <v>1358</v>
      </c>
      <c r="K72" s="726"/>
      <c r="L72" s="720"/>
      <c r="M72" s="726"/>
      <c r="N72" s="720"/>
      <c r="O72" s="68">
        <f t="shared" si="11"/>
        <v>0</v>
      </c>
      <c r="P72" s="762"/>
      <c r="Q72" s="762"/>
      <c r="R72" s="114"/>
      <c r="S72" s="120" t="s">
        <v>444</v>
      </c>
      <c r="T72" s="727">
        <v>3</v>
      </c>
      <c r="U72" s="722">
        <v>2</v>
      </c>
      <c r="V72" s="723">
        <v>1</v>
      </c>
      <c r="W72" s="727">
        <v>2</v>
      </c>
      <c r="X72" s="722">
        <v>2</v>
      </c>
      <c r="Y72" s="800"/>
      <c r="Z72" s="805"/>
      <c r="AA72" s="72">
        <f t="shared" si="7"/>
        <v>10</v>
      </c>
      <c r="AD72" s="464"/>
      <c r="AF72" s="717"/>
      <c r="AI72" s="464"/>
      <c r="AK72" s="717"/>
    </row>
    <row r="73" spans="1:37" ht="20.25">
      <c r="A73" s="114"/>
      <c r="B73" s="120" t="s">
        <v>46</v>
      </c>
      <c r="C73" s="727">
        <f>ROUNDUP((0.6*4.1)+(0.6*0.25)+(0.25*4.1)+(0.15*3.3)+(0.2*4.2),0)</f>
        <v>5</v>
      </c>
      <c r="D73" s="727">
        <f>ROUNDUP((0.6*2.9)+(0.6*0.25)+(0.25*2.9)+(0.15*2.9)+(0.15*3.9)+(0.15*2.9),0)</f>
        <v>5</v>
      </c>
      <c r="E73" s="727">
        <f>ROUNDUP((0.6*3.5)+(0.6*0.25)+(0.25*3.5)+(0.15*3.5)+(0.15*3),0)</f>
        <v>5</v>
      </c>
      <c r="F73" s="727">
        <f>ROUNDUP((0.6*8.7)+(0.6*0.25)+(0.25*8.7)+(0.15*8.7)+(0.15*10.1),0)</f>
        <v>11</v>
      </c>
      <c r="G73" s="727">
        <v>0</v>
      </c>
      <c r="H73" s="68">
        <f t="shared" si="6"/>
        <v>26</v>
      </c>
      <c r="I73" s="114"/>
      <c r="J73" s="120" t="s">
        <v>46</v>
      </c>
      <c r="K73" s="85">
        <f>0.6*4.5</f>
        <v>2.6999999999999997</v>
      </c>
      <c r="L73" s="85">
        <f>0.6*4.5</f>
        <v>2.6999999999999997</v>
      </c>
      <c r="M73" s="85">
        <f>0.6*4.5</f>
        <v>2.6999999999999997</v>
      </c>
      <c r="N73" s="85">
        <f>0.6*4.5</f>
        <v>2.6999999999999997</v>
      </c>
      <c r="O73" s="68">
        <f t="shared" si="11"/>
        <v>10.799999999999999</v>
      </c>
      <c r="P73" s="762"/>
      <c r="Q73" s="762"/>
      <c r="R73" s="114" t="s">
        <v>1357</v>
      </c>
      <c r="S73" s="120" t="s">
        <v>45</v>
      </c>
      <c r="T73" s="727">
        <v>5</v>
      </c>
      <c r="U73" s="722">
        <v>5</v>
      </c>
      <c r="V73" s="723">
        <v>0</v>
      </c>
      <c r="W73" s="722">
        <v>5</v>
      </c>
      <c r="X73" s="722">
        <v>5</v>
      </c>
      <c r="Y73" s="800"/>
      <c r="Z73" s="805"/>
      <c r="AA73" s="72">
        <f t="shared" si="7"/>
        <v>20</v>
      </c>
    </row>
    <row r="74" spans="1:37" ht="20.25">
      <c r="A74" s="114"/>
      <c r="B74" s="121" t="s">
        <v>41</v>
      </c>
      <c r="C74" s="727">
        <f>ROUNDUP(4.1,0)</f>
        <v>5</v>
      </c>
      <c r="D74" s="727">
        <v>4</v>
      </c>
      <c r="E74" s="727">
        <v>4</v>
      </c>
      <c r="F74" s="727">
        <v>9</v>
      </c>
      <c r="G74" s="728">
        <v>0</v>
      </c>
      <c r="H74" s="70">
        <f t="shared" si="6"/>
        <v>22</v>
      </c>
      <c r="I74" s="114"/>
      <c r="J74" s="121" t="s">
        <v>41</v>
      </c>
      <c r="K74" s="85">
        <v>4.5</v>
      </c>
      <c r="L74" s="85">
        <v>4.5</v>
      </c>
      <c r="M74" s="85">
        <v>4.5</v>
      </c>
      <c r="N74" s="85">
        <v>4.5</v>
      </c>
      <c r="O74" s="68">
        <f t="shared" si="11"/>
        <v>18</v>
      </c>
      <c r="P74" s="762"/>
      <c r="Q74" s="762"/>
      <c r="R74" s="114"/>
      <c r="S74" s="119" t="s">
        <v>1358</v>
      </c>
      <c r="T74" s="726"/>
      <c r="U74" s="720"/>
      <c r="V74" s="724">
        <v>0</v>
      </c>
      <c r="W74" s="720"/>
      <c r="X74" s="720"/>
      <c r="Y74" s="799"/>
      <c r="Z74" s="804"/>
      <c r="AA74" s="72">
        <f t="shared" si="7"/>
        <v>0</v>
      </c>
    </row>
    <row r="75" spans="1:37" ht="20.25">
      <c r="A75" s="810"/>
      <c r="B75" s="811"/>
      <c r="C75" s="733"/>
      <c r="D75" s="733"/>
      <c r="E75" s="733"/>
      <c r="F75" s="733"/>
      <c r="G75" s="802"/>
      <c r="H75" s="70"/>
      <c r="I75" s="810"/>
      <c r="J75" s="811"/>
      <c r="K75" s="713"/>
      <c r="L75" s="713"/>
      <c r="M75" s="713"/>
      <c r="N75" s="713"/>
      <c r="O75" s="70"/>
      <c r="P75" s="765"/>
      <c r="Q75" s="765"/>
      <c r="R75" s="114"/>
      <c r="S75" s="120" t="s">
        <v>1538</v>
      </c>
      <c r="T75" s="727">
        <f>ROUNDUP((0.6*3.7)+(0.6*0.25)+(0.25*3.7)+(0.15*4.85),0)</f>
        <v>5</v>
      </c>
      <c r="U75" s="727">
        <f>ROUNDUP((0.6*3)+(0.8*0.25)+(0.25*3)+(0.15*3),0)</f>
        <v>4</v>
      </c>
      <c r="V75" s="727">
        <v>0</v>
      </c>
      <c r="W75" s="727">
        <f>ROUNDUP((0.6*2.8)+(0.6*0.25)+(0.25*2.8)+(0.15*2.8)+(0.15*4.7),0)</f>
        <v>4</v>
      </c>
      <c r="X75" s="727">
        <f>ROUNDUP((0.6*5.6)+(0.25*5.6)+(0.15*4.7),0)</f>
        <v>6</v>
      </c>
      <c r="Y75" s="802"/>
      <c r="Z75" s="807"/>
      <c r="AA75" s="72">
        <f t="shared" si="7"/>
        <v>19</v>
      </c>
    </row>
    <row r="76" spans="1:37" ht="20.25">
      <c r="A76" s="810"/>
      <c r="B76" s="811"/>
      <c r="C76" s="733"/>
      <c r="D76" s="733"/>
      <c r="E76" s="733"/>
      <c r="F76" s="733"/>
      <c r="G76" s="802"/>
      <c r="H76" s="70"/>
      <c r="I76" s="810"/>
      <c r="J76" s="811"/>
      <c r="K76" s="713"/>
      <c r="L76" s="713"/>
      <c r="M76" s="713"/>
      <c r="N76" s="713"/>
      <c r="O76" s="70"/>
      <c r="P76" s="765"/>
      <c r="Q76" s="765"/>
      <c r="R76" s="114"/>
      <c r="S76" s="121" t="s">
        <v>41</v>
      </c>
      <c r="T76" s="727">
        <v>4</v>
      </c>
      <c r="U76" s="727">
        <v>3</v>
      </c>
      <c r="V76" s="728">
        <v>0</v>
      </c>
      <c r="W76" s="727">
        <v>3</v>
      </c>
      <c r="X76" s="727">
        <v>6</v>
      </c>
      <c r="Y76" s="802"/>
      <c r="Z76" s="807"/>
      <c r="AA76" s="72">
        <f t="shared" si="7"/>
        <v>16</v>
      </c>
    </row>
    <row r="77" spans="1:37" ht="20.25">
      <c r="A77" s="810"/>
      <c r="B77" s="811"/>
      <c r="C77" s="733"/>
      <c r="D77" s="733"/>
      <c r="E77" s="733"/>
      <c r="F77" s="733"/>
      <c r="G77" s="802"/>
      <c r="H77" s="70"/>
      <c r="I77" s="810"/>
      <c r="J77" s="811"/>
      <c r="K77" s="713"/>
      <c r="L77" s="713"/>
      <c r="M77" s="713"/>
      <c r="N77" s="713"/>
      <c r="O77" s="70"/>
      <c r="P77" s="765"/>
      <c r="Q77" s="765"/>
      <c r="R77" s="810"/>
      <c r="S77" s="811"/>
      <c r="T77" s="733"/>
      <c r="U77" s="733"/>
      <c r="V77" s="802"/>
      <c r="W77" s="733"/>
      <c r="X77" s="733"/>
      <c r="Y77" s="807"/>
      <c r="Z77" s="807"/>
      <c r="AA77" s="742"/>
    </row>
    <row r="78" spans="1:37" ht="20.25">
      <c r="A78" s="114"/>
      <c r="B78" s="121"/>
      <c r="C78" s="82"/>
      <c r="D78" s="71"/>
      <c r="E78" s="69"/>
      <c r="F78" s="71"/>
      <c r="G78" s="445"/>
      <c r="H78" s="70"/>
      <c r="I78" s="114"/>
      <c r="J78" s="121"/>
      <c r="K78" s="82"/>
      <c r="L78" s="71"/>
      <c r="M78" s="69"/>
      <c r="N78" s="71"/>
      <c r="O78" s="70"/>
      <c r="P78" s="765"/>
      <c r="Q78" s="765"/>
      <c r="R78" s="114"/>
      <c r="S78" s="121"/>
      <c r="T78" s="82"/>
      <c r="U78" s="71"/>
      <c r="V78" s="445"/>
      <c r="W78" s="69"/>
      <c r="X78" s="71"/>
      <c r="Y78" s="445"/>
      <c r="Z78" s="445"/>
      <c r="AA78" s="70"/>
    </row>
    <row r="79" spans="1:37" ht="20.25">
      <c r="A79" s="114"/>
      <c r="B79" s="122"/>
      <c r="C79" s="82"/>
      <c r="D79" s="71"/>
      <c r="E79" s="71"/>
      <c r="F79" s="71"/>
      <c r="G79" s="445"/>
      <c r="H79" s="70"/>
      <c r="I79" s="114"/>
      <c r="J79" s="122"/>
      <c r="K79" s="82"/>
      <c r="L79" s="71"/>
      <c r="M79" s="71"/>
      <c r="N79" s="71"/>
      <c r="O79" s="70"/>
      <c r="P79" s="765"/>
      <c r="Q79" s="765"/>
      <c r="R79" s="114"/>
      <c r="S79" s="122"/>
      <c r="T79" s="82"/>
      <c r="U79" s="71"/>
      <c r="V79" s="445"/>
      <c r="W79" s="71"/>
      <c r="X79" s="71"/>
      <c r="Y79" s="445"/>
      <c r="Z79" s="445"/>
      <c r="AA79" s="70"/>
    </row>
    <row r="80" spans="1:37" ht="20.25">
      <c r="A80" s="78"/>
      <c r="B80" s="77" t="s">
        <v>261</v>
      </c>
      <c r="C80" s="76"/>
      <c r="D80" s="75"/>
      <c r="E80" s="75"/>
      <c r="F80" s="75"/>
      <c r="G80" s="444"/>
      <c r="H80" s="74"/>
      <c r="I80" s="78"/>
      <c r="J80" s="77"/>
      <c r="K80" s="76"/>
      <c r="L80" s="75"/>
      <c r="M80" s="75"/>
      <c r="N80" s="75"/>
      <c r="O80" s="74"/>
      <c r="P80" s="763"/>
      <c r="Q80" s="763"/>
      <c r="R80" s="78"/>
      <c r="S80" s="77" t="s">
        <v>261</v>
      </c>
      <c r="T80" s="76"/>
      <c r="U80" s="75"/>
      <c r="V80" s="444"/>
      <c r="W80" s="75"/>
      <c r="X80" s="75"/>
      <c r="Y80" s="444"/>
      <c r="Z80" s="444"/>
      <c r="AA80" s="74"/>
    </row>
    <row r="81" spans="1:27" ht="20.25">
      <c r="A81" s="113">
        <v>1</v>
      </c>
      <c r="B81" s="118" t="s">
        <v>472</v>
      </c>
      <c r="C81" s="116">
        <v>4</v>
      </c>
      <c r="D81" s="73">
        <v>7</v>
      </c>
      <c r="E81" s="73">
        <v>3</v>
      </c>
      <c r="F81" s="73">
        <v>9</v>
      </c>
      <c r="G81" s="725">
        <v>0</v>
      </c>
      <c r="H81" s="72">
        <f>SUM(C81:G81)</f>
        <v>23</v>
      </c>
      <c r="I81" s="113"/>
      <c r="J81" s="118"/>
      <c r="K81" s="84">
        <v>1</v>
      </c>
      <c r="L81" s="73">
        <v>1</v>
      </c>
      <c r="M81" s="84">
        <v>1</v>
      </c>
      <c r="N81" s="73">
        <v>1</v>
      </c>
      <c r="O81" s="72">
        <f t="shared" ref="O81:O102" si="12">SUM(K81:N81)</f>
        <v>4</v>
      </c>
      <c r="P81" s="764"/>
      <c r="Q81" s="764"/>
      <c r="R81" s="113">
        <v>1</v>
      </c>
      <c r="S81" s="118" t="s">
        <v>1535</v>
      </c>
      <c r="T81" s="729">
        <v>5</v>
      </c>
      <c r="U81" s="730">
        <v>5</v>
      </c>
      <c r="V81" s="725">
        <v>0</v>
      </c>
      <c r="W81" s="730">
        <v>5</v>
      </c>
      <c r="X81" s="730">
        <v>5</v>
      </c>
      <c r="Y81" s="803"/>
      <c r="Z81" s="803"/>
      <c r="AA81" s="72">
        <f>SUM(T81:Z81)</f>
        <v>20</v>
      </c>
    </row>
    <row r="82" spans="1:27" ht="20.25">
      <c r="A82" s="714">
        <v>1</v>
      </c>
      <c r="B82" s="715" t="s">
        <v>434</v>
      </c>
      <c r="C82" s="84">
        <f>C81</f>
        <v>4</v>
      </c>
      <c r="D82" s="69">
        <f>D81</f>
        <v>7</v>
      </c>
      <c r="E82" s="69">
        <f>E81</f>
        <v>3</v>
      </c>
      <c r="F82" s="69">
        <f>F81</f>
        <v>9</v>
      </c>
      <c r="G82" s="724">
        <v>0</v>
      </c>
      <c r="H82" s="68">
        <f t="shared" ref="H82:H112" si="13">SUM(C82:G82)</f>
        <v>23</v>
      </c>
      <c r="I82" s="114"/>
      <c r="J82" s="119"/>
      <c r="K82" s="84">
        <v>1</v>
      </c>
      <c r="L82" s="69">
        <v>1</v>
      </c>
      <c r="M82" s="84">
        <v>1</v>
      </c>
      <c r="N82" s="69">
        <v>1</v>
      </c>
      <c r="O82" s="68">
        <f t="shared" si="12"/>
        <v>4</v>
      </c>
      <c r="P82" s="762"/>
      <c r="Q82" s="762"/>
      <c r="R82" s="714">
        <v>1</v>
      </c>
      <c r="S82" s="715" t="s">
        <v>434</v>
      </c>
      <c r="T82" s="726">
        <f>T81</f>
        <v>5</v>
      </c>
      <c r="U82" s="720">
        <f>U81</f>
        <v>5</v>
      </c>
      <c r="V82" s="724">
        <v>0</v>
      </c>
      <c r="W82" s="720">
        <f>W81</f>
        <v>5</v>
      </c>
      <c r="X82" s="720">
        <f>X81</f>
        <v>5</v>
      </c>
      <c r="Y82" s="804"/>
      <c r="Z82" s="804"/>
      <c r="AA82" s="72">
        <f t="shared" ref="AA82:AA114" si="14">SUM(T82:Z82)</f>
        <v>20</v>
      </c>
    </row>
    <row r="83" spans="1:27" ht="20.25">
      <c r="A83" s="710" t="s">
        <v>1346</v>
      </c>
      <c r="B83" s="716" t="s">
        <v>1349</v>
      </c>
      <c r="C83" s="719">
        <v>0</v>
      </c>
      <c r="D83" s="720">
        <v>0</v>
      </c>
      <c r="E83" s="720">
        <v>0</v>
      </c>
      <c r="F83" s="720">
        <v>0</v>
      </c>
      <c r="G83" s="441">
        <v>1</v>
      </c>
      <c r="H83" s="68">
        <f t="shared" si="13"/>
        <v>1</v>
      </c>
      <c r="I83" s="114"/>
      <c r="J83" s="119"/>
      <c r="K83" s="84">
        <v>1</v>
      </c>
      <c r="L83" s="69">
        <v>1</v>
      </c>
      <c r="M83" s="84">
        <v>1</v>
      </c>
      <c r="N83" s="69">
        <v>1</v>
      </c>
      <c r="O83" s="68">
        <f t="shared" si="12"/>
        <v>4</v>
      </c>
      <c r="P83" s="762"/>
      <c r="Q83" s="762"/>
      <c r="R83" s="710" t="s">
        <v>1346</v>
      </c>
      <c r="S83" s="716" t="s">
        <v>1536</v>
      </c>
      <c r="T83" s="719">
        <v>0</v>
      </c>
      <c r="U83" s="720">
        <v>0</v>
      </c>
      <c r="V83" s="724">
        <v>1</v>
      </c>
      <c r="W83" s="720">
        <v>0</v>
      </c>
      <c r="X83" s="720">
        <v>0</v>
      </c>
      <c r="Y83" s="804"/>
      <c r="Z83" s="804"/>
      <c r="AA83" s="72">
        <f t="shared" si="14"/>
        <v>1</v>
      </c>
    </row>
    <row r="84" spans="1:27" ht="20.25">
      <c r="A84" s="114" t="s">
        <v>1346</v>
      </c>
      <c r="B84" s="119" t="s">
        <v>434</v>
      </c>
      <c r="C84" s="721">
        <v>0</v>
      </c>
      <c r="D84" s="720">
        <v>0</v>
      </c>
      <c r="E84" s="720">
        <v>0</v>
      </c>
      <c r="F84" s="720">
        <v>0</v>
      </c>
      <c r="G84" s="441">
        <f>G83</f>
        <v>1</v>
      </c>
      <c r="H84" s="68">
        <f t="shared" si="13"/>
        <v>1</v>
      </c>
      <c r="I84" s="114"/>
      <c r="J84" s="119"/>
      <c r="K84" s="84">
        <v>1</v>
      </c>
      <c r="L84" s="69">
        <v>1</v>
      </c>
      <c r="M84" s="84">
        <v>1</v>
      </c>
      <c r="N84" s="69">
        <v>1</v>
      </c>
      <c r="O84" s="68">
        <f t="shared" si="12"/>
        <v>4</v>
      </c>
      <c r="P84" s="762"/>
      <c r="Q84" s="762"/>
      <c r="R84" s="114" t="s">
        <v>1346</v>
      </c>
      <c r="S84" s="119" t="s">
        <v>434</v>
      </c>
      <c r="T84" s="721">
        <v>0</v>
      </c>
      <c r="U84" s="720">
        <v>0</v>
      </c>
      <c r="V84" s="724">
        <v>1</v>
      </c>
      <c r="W84" s="720">
        <v>0</v>
      </c>
      <c r="X84" s="720">
        <v>0</v>
      </c>
      <c r="Y84" s="804"/>
      <c r="Z84" s="804"/>
      <c r="AA84" s="72">
        <f t="shared" si="14"/>
        <v>1</v>
      </c>
    </row>
    <row r="85" spans="1:27" ht="20.25">
      <c r="A85" s="114">
        <v>2</v>
      </c>
      <c r="B85" s="119" t="s">
        <v>435</v>
      </c>
      <c r="C85" s="84">
        <f>C81</f>
        <v>4</v>
      </c>
      <c r="D85" s="69">
        <f>D81</f>
        <v>7</v>
      </c>
      <c r="E85" s="69">
        <f>E81</f>
        <v>3</v>
      </c>
      <c r="F85" s="69">
        <f>F81</f>
        <v>9</v>
      </c>
      <c r="G85" s="724">
        <f>G81</f>
        <v>0</v>
      </c>
      <c r="H85" s="68">
        <f t="shared" si="13"/>
        <v>23</v>
      </c>
      <c r="I85" s="114"/>
      <c r="J85" s="119"/>
      <c r="K85" s="84">
        <v>1</v>
      </c>
      <c r="L85" s="69">
        <v>1</v>
      </c>
      <c r="M85" s="84">
        <v>1</v>
      </c>
      <c r="N85" s="69">
        <v>1</v>
      </c>
      <c r="O85" s="68">
        <f t="shared" si="12"/>
        <v>4</v>
      </c>
      <c r="P85" s="762"/>
      <c r="Q85" s="762"/>
      <c r="R85" s="114">
        <v>2</v>
      </c>
      <c r="S85" s="119" t="s">
        <v>435</v>
      </c>
      <c r="T85" s="726">
        <f>T81</f>
        <v>5</v>
      </c>
      <c r="U85" s="720">
        <f>U81</f>
        <v>5</v>
      </c>
      <c r="V85" s="724">
        <f>V81</f>
        <v>0</v>
      </c>
      <c r="W85" s="720">
        <f>W81</f>
        <v>5</v>
      </c>
      <c r="X85" s="720">
        <f>X81</f>
        <v>5</v>
      </c>
      <c r="Y85" s="804"/>
      <c r="Z85" s="804"/>
      <c r="AA85" s="72">
        <f t="shared" si="14"/>
        <v>20</v>
      </c>
    </row>
    <row r="86" spans="1:27" ht="20.25">
      <c r="A86" s="114">
        <v>3</v>
      </c>
      <c r="B86" s="119" t="s">
        <v>473</v>
      </c>
      <c r="C86" s="84">
        <v>4</v>
      </c>
      <c r="D86" s="722">
        <v>0</v>
      </c>
      <c r="E86" s="83">
        <v>6</v>
      </c>
      <c r="F86" s="722">
        <v>0</v>
      </c>
      <c r="G86" s="723">
        <v>0</v>
      </c>
      <c r="H86" s="68">
        <f t="shared" si="13"/>
        <v>10</v>
      </c>
      <c r="I86" s="114"/>
      <c r="J86" s="119"/>
      <c r="K86" s="84">
        <v>1</v>
      </c>
      <c r="L86" s="69">
        <v>1</v>
      </c>
      <c r="M86" s="84">
        <v>1</v>
      </c>
      <c r="N86" s="69">
        <v>1</v>
      </c>
      <c r="O86" s="68">
        <f t="shared" si="12"/>
        <v>4</v>
      </c>
      <c r="P86" s="762"/>
      <c r="Q86" s="762"/>
      <c r="R86" s="114">
        <v>3</v>
      </c>
      <c r="S86" s="119" t="s">
        <v>473</v>
      </c>
      <c r="T86" s="726">
        <v>5</v>
      </c>
      <c r="U86" s="722">
        <v>0</v>
      </c>
      <c r="V86" s="723">
        <v>0</v>
      </c>
      <c r="W86" s="722">
        <v>3</v>
      </c>
      <c r="X86" s="722">
        <v>0</v>
      </c>
      <c r="Y86" s="805"/>
      <c r="Z86" s="805"/>
      <c r="AA86" s="72">
        <f t="shared" si="14"/>
        <v>8</v>
      </c>
    </row>
    <row r="87" spans="1:27" ht="20.25">
      <c r="A87" s="114">
        <v>4</v>
      </c>
      <c r="B87" s="119" t="s">
        <v>436</v>
      </c>
      <c r="C87" s="84">
        <v>4</v>
      </c>
      <c r="D87" s="69">
        <v>4</v>
      </c>
      <c r="E87" s="69">
        <v>4</v>
      </c>
      <c r="F87" s="69">
        <v>3</v>
      </c>
      <c r="G87" s="724">
        <v>0</v>
      </c>
      <c r="H87" s="68">
        <f t="shared" si="13"/>
        <v>15</v>
      </c>
      <c r="I87" s="114"/>
      <c r="J87" s="119"/>
      <c r="K87" s="84">
        <v>1</v>
      </c>
      <c r="L87" s="69">
        <v>1</v>
      </c>
      <c r="M87" s="84">
        <v>1</v>
      </c>
      <c r="N87" s="69">
        <v>1</v>
      </c>
      <c r="O87" s="68">
        <f t="shared" si="12"/>
        <v>4</v>
      </c>
      <c r="P87" s="762"/>
      <c r="Q87" s="762"/>
      <c r="R87" s="114">
        <v>4</v>
      </c>
      <c r="S87" s="119" t="s">
        <v>436</v>
      </c>
      <c r="T87" s="726">
        <v>4</v>
      </c>
      <c r="U87" s="720">
        <v>4</v>
      </c>
      <c r="V87" s="724">
        <v>0</v>
      </c>
      <c r="W87" s="720">
        <v>3</v>
      </c>
      <c r="X87" s="720">
        <v>6</v>
      </c>
      <c r="Y87" s="804"/>
      <c r="Z87" s="804"/>
      <c r="AA87" s="72">
        <f t="shared" si="14"/>
        <v>17</v>
      </c>
    </row>
    <row r="88" spans="1:27" ht="20.25">
      <c r="A88" s="114">
        <v>4</v>
      </c>
      <c r="B88" s="119" t="s">
        <v>437</v>
      </c>
      <c r="C88" s="84">
        <f>C87</f>
        <v>4</v>
      </c>
      <c r="D88" s="69">
        <f>D87</f>
        <v>4</v>
      </c>
      <c r="E88" s="69">
        <f>E87</f>
        <v>4</v>
      </c>
      <c r="F88" s="69">
        <f>F87</f>
        <v>3</v>
      </c>
      <c r="G88" s="724">
        <f>G87</f>
        <v>0</v>
      </c>
      <c r="H88" s="68">
        <f t="shared" si="13"/>
        <v>15</v>
      </c>
      <c r="I88" s="114"/>
      <c r="J88" s="119"/>
      <c r="K88" s="84">
        <v>1</v>
      </c>
      <c r="L88" s="69">
        <v>1</v>
      </c>
      <c r="M88" s="84">
        <v>1</v>
      </c>
      <c r="N88" s="69">
        <v>1</v>
      </c>
      <c r="O88" s="68">
        <f t="shared" si="12"/>
        <v>4</v>
      </c>
      <c r="P88" s="762"/>
      <c r="Q88" s="762"/>
      <c r="R88" s="114">
        <v>4</v>
      </c>
      <c r="S88" s="119" t="s">
        <v>437</v>
      </c>
      <c r="T88" s="726">
        <f>T87</f>
        <v>4</v>
      </c>
      <c r="U88" s="720">
        <f>U87</f>
        <v>4</v>
      </c>
      <c r="V88" s="724">
        <f>V87</f>
        <v>0</v>
      </c>
      <c r="W88" s="720">
        <f>W87</f>
        <v>3</v>
      </c>
      <c r="X88" s="720">
        <f>X87</f>
        <v>6</v>
      </c>
      <c r="Y88" s="804"/>
      <c r="Z88" s="804"/>
      <c r="AA88" s="72">
        <f t="shared" si="14"/>
        <v>17</v>
      </c>
    </row>
    <row r="89" spans="1:27" ht="20.25">
      <c r="A89" s="114">
        <v>4</v>
      </c>
      <c r="B89" s="119" t="s">
        <v>438</v>
      </c>
      <c r="C89" s="84">
        <f>C87</f>
        <v>4</v>
      </c>
      <c r="D89" s="69">
        <f>D87</f>
        <v>4</v>
      </c>
      <c r="E89" s="69">
        <f>E87</f>
        <v>4</v>
      </c>
      <c r="F89" s="69">
        <f>F87</f>
        <v>3</v>
      </c>
      <c r="G89" s="724">
        <f>G87</f>
        <v>0</v>
      </c>
      <c r="H89" s="68">
        <f t="shared" si="13"/>
        <v>15</v>
      </c>
      <c r="I89" s="114"/>
      <c r="J89" s="119"/>
      <c r="K89" s="84">
        <v>1</v>
      </c>
      <c r="L89" s="69">
        <v>1</v>
      </c>
      <c r="M89" s="84">
        <v>1</v>
      </c>
      <c r="N89" s="69">
        <v>1</v>
      </c>
      <c r="O89" s="68">
        <f t="shared" si="12"/>
        <v>4</v>
      </c>
      <c r="P89" s="762"/>
      <c r="Q89" s="762"/>
      <c r="R89" s="114">
        <v>4</v>
      </c>
      <c r="S89" s="119" t="s">
        <v>438</v>
      </c>
      <c r="T89" s="726">
        <f>T87</f>
        <v>4</v>
      </c>
      <c r="U89" s="720">
        <f>U87</f>
        <v>4</v>
      </c>
      <c r="V89" s="724">
        <f>V87</f>
        <v>0</v>
      </c>
      <c r="W89" s="720">
        <f>W87</f>
        <v>3</v>
      </c>
      <c r="X89" s="720">
        <f>X87</f>
        <v>6</v>
      </c>
      <c r="Y89" s="804"/>
      <c r="Z89" s="804"/>
      <c r="AA89" s="72">
        <f t="shared" si="14"/>
        <v>17</v>
      </c>
    </row>
    <row r="90" spans="1:27" ht="20.25">
      <c r="A90" s="114">
        <v>4</v>
      </c>
      <c r="B90" s="119" t="s">
        <v>439</v>
      </c>
      <c r="C90" s="84">
        <f>C87</f>
        <v>4</v>
      </c>
      <c r="D90" s="69">
        <f>D87</f>
        <v>4</v>
      </c>
      <c r="E90" s="69">
        <f>E87</f>
        <v>4</v>
      </c>
      <c r="F90" s="69">
        <f>F87</f>
        <v>3</v>
      </c>
      <c r="G90" s="724">
        <f>G87</f>
        <v>0</v>
      </c>
      <c r="H90" s="68">
        <f t="shared" si="13"/>
        <v>15</v>
      </c>
      <c r="I90" s="114"/>
      <c r="J90" s="119"/>
      <c r="K90" s="85">
        <v>1</v>
      </c>
      <c r="L90" s="69">
        <v>1</v>
      </c>
      <c r="M90" s="85">
        <v>1</v>
      </c>
      <c r="N90" s="69">
        <v>1</v>
      </c>
      <c r="O90" s="68">
        <f t="shared" si="12"/>
        <v>4</v>
      </c>
      <c r="P90" s="762"/>
      <c r="Q90" s="762"/>
      <c r="R90" s="114">
        <v>4</v>
      </c>
      <c r="S90" s="119" t="s">
        <v>439</v>
      </c>
      <c r="T90" s="726">
        <f>T87</f>
        <v>4</v>
      </c>
      <c r="U90" s="720">
        <f>U87</f>
        <v>4</v>
      </c>
      <c r="V90" s="724">
        <f>V87</f>
        <v>0</v>
      </c>
      <c r="W90" s="720">
        <f>W87</f>
        <v>3</v>
      </c>
      <c r="X90" s="720">
        <f>X87</f>
        <v>6</v>
      </c>
      <c r="Y90" s="804"/>
      <c r="Z90" s="804"/>
      <c r="AA90" s="72">
        <f t="shared" si="14"/>
        <v>17</v>
      </c>
    </row>
    <row r="91" spans="1:27" ht="20.25">
      <c r="A91" s="114">
        <v>4</v>
      </c>
      <c r="B91" s="119" t="s">
        <v>440</v>
      </c>
      <c r="C91" s="84">
        <f>C87</f>
        <v>4</v>
      </c>
      <c r="D91" s="69">
        <f>D87</f>
        <v>4</v>
      </c>
      <c r="E91" s="69">
        <f>E87</f>
        <v>4</v>
      </c>
      <c r="F91" s="69">
        <f>F87</f>
        <v>3</v>
      </c>
      <c r="G91" s="724">
        <f>G87</f>
        <v>0</v>
      </c>
      <c r="H91" s="68">
        <f t="shared" si="13"/>
        <v>15</v>
      </c>
      <c r="I91" s="114"/>
      <c r="J91" s="119"/>
      <c r="K91" s="85">
        <v>1</v>
      </c>
      <c r="L91" s="83"/>
      <c r="M91" s="85">
        <v>1</v>
      </c>
      <c r="N91" s="83"/>
      <c r="O91" s="68">
        <f t="shared" si="12"/>
        <v>2</v>
      </c>
      <c r="P91" s="762"/>
      <c r="Q91" s="762"/>
      <c r="R91" s="114">
        <v>4</v>
      </c>
      <c r="S91" s="119" t="s">
        <v>440</v>
      </c>
      <c r="T91" s="726">
        <f>T87</f>
        <v>4</v>
      </c>
      <c r="U91" s="720">
        <f>U87</f>
        <v>4</v>
      </c>
      <c r="V91" s="724">
        <f>V87</f>
        <v>0</v>
      </c>
      <c r="W91" s="720">
        <f>W87</f>
        <v>3</v>
      </c>
      <c r="X91" s="720">
        <f>X87</f>
        <v>6</v>
      </c>
      <c r="Y91" s="804"/>
      <c r="Z91" s="804"/>
      <c r="AA91" s="72">
        <f t="shared" si="14"/>
        <v>17</v>
      </c>
    </row>
    <row r="92" spans="1:27" ht="20.25">
      <c r="A92" s="710">
        <v>4</v>
      </c>
      <c r="B92" s="119" t="s">
        <v>434</v>
      </c>
      <c r="C92" s="712">
        <f>C87</f>
        <v>4</v>
      </c>
      <c r="D92" s="712">
        <f>D87</f>
        <v>4</v>
      </c>
      <c r="E92" s="712">
        <f>E87</f>
        <v>4</v>
      </c>
      <c r="F92" s="712">
        <f>F87</f>
        <v>3</v>
      </c>
      <c r="G92" s="721">
        <f>G87</f>
        <v>0</v>
      </c>
      <c r="H92" s="68">
        <f t="shared" si="13"/>
        <v>15</v>
      </c>
      <c r="I92" s="114"/>
      <c r="J92" s="120"/>
      <c r="K92" s="85">
        <v>1</v>
      </c>
      <c r="L92" s="83">
        <v>1</v>
      </c>
      <c r="M92" s="85">
        <v>1</v>
      </c>
      <c r="N92" s="83">
        <v>1</v>
      </c>
      <c r="O92" s="68">
        <f t="shared" si="12"/>
        <v>4</v>
      </c>
      <c r="P92" s="762"/>
      <c r="Q92" s="762"/>
      <c r="R92" s="710">
        <v>4</v>
      </c>
      <c r="S92" s="119" t="s">
        <v>434</v>
      </c>
      <c r="T92" s="721">
        <f>T87</f>
        <v>4</v>
      </c>
      <c r="U92" s="721">
        <f>U87</f>
        <v>4</v>
      </c>
      <c r="V92" s="721">
        <f>V87</f>
        <v>0</v>
      </c>
      <c r="W92" s="721">
        <f>W87</f>
        <v>3</v>
      </c>
      <c r="X92" s="721">
        <f>X87</f>
        <v>6</v>
      </c>
      <c r="Y92" s="806"/>
      <c r="Z92" s="806"/>
      <c r="AA92" s="72">
        <f t="shared" si="14"/>
        <v>17</v>
      </c>
    </row>
    <row r="93" spans="1:27" ht="20.25">
      <c r="A93" s="114" t="s">
        <v>1347</v>
      </c>
      <c r="B93" s="119" t="s">
        <v>1348</v>
      </c>
      <c r="C93" s="726">
        <v>0</v>
      </c>
      <c r="D93" s="720">
        <v>0</v>
      </c>
      <c r="E93" s="720">
        <v>0</v>
      </c>
      <c r="F93" s="720">
        <v>0</v>
      </c>
      <c r="G93" s="441">
        <v>1</v>
      </c>
      <c r="H93" s="68">
        <f t="shared" si="13"/>
        <v>1</v>
      </c>
      <c r="I93" s="114"/>
      <c r="J93" s="120"/>
      <c r="K93" s="85">
        <v>1</v>
      </c>
      <c r="L93" s="83">
        <v>1</v>
      </c>
      <c r="M93" s="85">
        <v>1</v>
      </c>
      <c r="N93" s="83">
        <v>1</v>
      </c>
      <c r="O93" s="68">
        <f t="shared" si="12"/>
        <v>4</v>
      </c>
      <c r="P93" s="762"/>
      <c r="Q93" s="762"/>
      <c r="R93" s="114" t="s">
        <v>1347</v>
      </c>
      <c r="S93" s="119" t="s">
        <v>1348</v>
      </c>
      <c r="T93" s="726">
        <v>0</v>
      </c>
      <c r="U93" s="720">
        <v>0</v>
      </c>
      <c r="V93" s="724">
        <v>1</v>
      </c>
      <c r="W93" s="720">
        <v>0</v>
      </c>
      <c r="X93" s="720">
        <v>0</v>
      </c>
      <c r="Y93" s="804"/>
      <c r="Z93" s="804"/>
      <c r="AA93" s="72">
        <f t="shared" si="14"/>
        <v>1</v>
      </c>
    </row>
    <row r="94" spans="1:27" ht="20.25">
      <c r="A94" s="114" t="s">
        <v>1347</v>
      </c>
      <c r="B94" s="119" t="s">
        <v>437</v>
      </c>
      <c r="C94" s="726">
        <f>C93</f>
        <v>0</v>
      </c>
      <c r="D94" s="720">
        <f>D93</f>
        <v>0</v>
      </c>
      <c r="E94" s="720">
        <f>E93</f>
        <v>0</v>
      </c>
      <c r="F94" s="720">
        <f>F93</f>
        <v>0</v>
      </c>
      <c r="G94" s="441">
        <f>G93</f>
        <v>1</v>
      </c>
      <c r="H94" s="68">
        <f t="shared" si="13"/>
        <v>1</v>
      </c>
      <c r="I94" s="114"/>
      <c r="J94" s="120"/>
      <c r="K94" s="85">
        <v>1</v>
      </c>
      <c r="L94" s="83">
        <v>1</v>
      </c>
      <c r="M94" s="85">
        <v>1</v>
      </c>
      <c r="N94" s="83">
        <v>1</v>
      </c>
      <c r="O94" s="68">
        <f t="shared" si="12"/>
        <v>4</v>
      </c>
      <c r="P94" s="762"/>
      <c r="Q94" s="762"/>
      <c r="R94" s="114" t="s">
        <v>1347</v>
      </c>
      <c r="S94" s="119" t="s">
        <v>437</v>
      </c>
      <c r="T94" s="726">
        <f>T93</f>
        <v>0</v>
      </c>
      <c r="U94" s="720">
        <f>U93</f>
        <v>0</v>
      </c>
      <c r="V94" s="724">
        <f>V93</f>
        <v>1</v>
      </c>
      <c r="W94" s="720">
        <f>W93</f>
        <v>0</v>
      </c>
      <c r="X94" s="720">
        <f>X93</f>
        <v>0</v>
      </c>
      <c r="Y94" s="804"/>
      <c r="Z94" s="804"/>
      <c r="AA94" s="72">
        <f t="shared" si="14"/>
        <v>1</v>
      </c>
    </row>
    <row r="95" spans="1:27" ht="20.25">
      <c r="A95" s="114" t="s">
        <v>1347</v>
      </c>
      <c r="B95" s="119" t="s">
        <v>438</v>
      </c>
      <c r="C95" s="726">
        <f>C93</f>
        <v>0</v>
      </c>
      <c r="D95" s="720">
        <f>D93</f>
        <v>0</v>
      </c>
      <c r="E95" s="720">
        <f>E93</f>
        <v>0</v>
      </c>
      <c r="F95" s="720">
        <f>F93</f>
        <v>0</v>
      </c>
      <c r="G95" s="441">
        <f>G93</f>
        <v>1</v>
      </c>
      <c r="H95" s="68">
        <f t="shared" si="13"/>
        <v>1</v>
      </c>
      <c r="I95" s="114"/>
      <c r="J95" s="447"/>
      <c r="K95" s="85"/>
      <c r="L95" s="83"/>
      <c r="M95" s="85"/>
      <c r="N95" s="83"/>
      <c r="O95" s="68"/>
      <c r="P95" s="762"/>
      <c r="Q95" s="762"/>
      <c r="R95" s="114" t="s">
        <v>1347</v>
      </c>
      <c r="S95" s="119" t="s">
        <v>438</v>
      </c>
      <c r="T95" s="726">
        <f>T93</f>
        <v>0</v>
      </c>
      <c r="U95" s="720">
        <f>U93</f>
        <v>0</v>
      </c>
      <c r="V95" s="724">
        <f>V93</f>
        <v>1</v>
      </c>
      <c r="W95" s="720">
        <f>W93</f>
        <v>0</v>
      </c>
      <c r="X95" s="720">
        <f>X93</f>
        <v>0</v>
      </c>
      <c r="Y95" s="804"/>
      <c r="Z95" s="804"/>
      <c r="AA95" s="72">
        <f t="shared" si="14"/>
        <v>1</v>
      </c>
    </row>
    <row r="96" spans="1:27" ht="20.25">
      <c r="A96" s="114" t="s">
        <v>1347</v>
      </c>
      <c r="B96" s="119" t="s">
        <v>439</v>
      </c>
      <c r="C96" s="726">
        <f>C93</f>
        <v>0</v>
      </c>
      <c r="D96" s="720">
        <f>D93</f>
        <v>0</v>
      </c>
      <c r="E96" s="720">
        <f>E93</f>
        <v>0</v>
      </c>
      <c r="F96" s="720">
        <f>F93</f>
        <v>0</v>
      </c>
      <c r="G96" s="441">
        <f>G93</f>
        <v>1</v>
      </c>
      <c r="H96" s="68">
        <f t="shared" si="13"/>
        <v>1</v>
      </c>
      <c r="I96" s="114"/>
      <c r="J96" s="447"/>
      <c r="K96" s="85"/>
      <c r="L96" s="83"/>
      <c r="M96" s="85"/>
      <c r="N96" s="83"/>
      <c r="O96" s="68"/>
      <c r="P96" s="762"/>
      <c r="Q96" s="762"/>
      <c r="R96" s="114" t="s">
        <v>1347</v>
      </c>
      <c r="S96" s="119" t="s">
        <v>439</v>
      </c>
      <c r="T96" s="726">
        <f>T93</f>
        <v>0</v>
      </c>
      <c r="U96" s="720">
        <f>U93</f>
        <v>0</v>
      </c>
      <c r="V96" s="724">
        <f>V93</f>
        <v>1</v>
      </c>
      <c r="W96" s="720">
        <f>W93</f>
        <v>0</v>
      </c>
      <c r="X96" s="720">
        <f>X93</f>
        <v>0</v>
      </c>
      <c r="Y96" s="804"/>
      <c r="Z96" s="804"/>
      <c r="AA96" s="72">
        <f t="shared" si="14"/>
        <v>1</v>
      </c>
    </row>
    <row r="97" spans="1:27" ht="20.25">
      <c r="A97" s="114" t="s">
        <v>1347</v>
      </c>
      <c r="B97" s="119" t="s">
        <v>440</v>
      </c>
      <c r="C97" s="726">
        <f>C93</f>
        <v>0</v>
      </c>
      <c r="D97" s="720">
        <f>D93</f>
        <v>0</v>
      </c>
      <c r="E97" s="720">
        <f>E93</f>
        <v>0</v>
      </c>
      <c r="F97" s="720">
        <f>F93</f>
        <v>0</v>
      </c>
      <c r="G97" s="441">
        <f>G93</f>
        <v>1</v>
      </c>
      <c r="H97" s="68">
        <f t="shared" si="13"/>
        <v>1</v>
      </c>
      <c r="I97" s="114"/>
      <c r="J97" s="120"/>
      <c r="K97" s="85">
        <v>1</v>
      </c>
      <c r="L97" s="83">
        <v>1</v>
      </c>
      <c r="M97" s="85">
        <v>1</v>
      </c>
      <c r="N97" s="83">
        <v>1</v>
      </c>
      <c r="O97" s="68">
        <f t="shared" si="12"/>
        <v>4</v>
      </c>
      <c r="P97" s="762"/>
      <c r="Q97" s="762"/>
      <c r="R97" s="114" t="s">
        <v>1347</v>
      </c>
      <c r="S97" s="119" t="s">
        <v>440</v>
      </c>
      <c r="T97" s="726">
        <f>T93</f>
        <v>0</v>
      </c>
      <c r="U97" s="720">
        <f>U93</f>
        <v>0</v>
      </c>
      <c r="V97" s="724">
        <f>V93</f>
        <v>1</v>
      </c>
      <c r="W97" s="720">
        <f>W93</f>
        <v>0</v>
      </c>
      <c r="X97" s="720">
        <f>X93</f>
        <v>0</v>
      </c>
      <c r="Y97" s="804"/>
      <c r="Z97" s="804"/>
      <c r="AA97" s="72">
        <f t="shared" si="14"/>
        <v>1</v>
      </c>
    </row>
    <row r="98" spans="1:27" ht="20.25">
      <c r="A98" s="710" t="s">
        <v>1347</v>
      </c>
      <c r="B98" s="119" t="s">
        <v>434</v>
      </c>
      <c r="C98" s="721">
        <f>C93</f>
        <v>0</v>
      </c>
      <c r="D98" s="721">
        <f>D93</f>
        <v>0</v>
      </c>
      <c r="E98" s="721">
        <f>E93</f>
        <v>0</v>
      </c>
      <c r="F98" s="721">
        <f>F93</f>
        <v>0</v>
      </c>
      <c r="G98" s="712">
        <f>G93</f>
        <v>1</v>
      </c>
      <c r="H98" s="68">
        <f t="shared" si="13"/>
        <v>1</v>
      </c>
      <c r="I98" s="114"/>
      <c r="J98" s="120"/>
      <c r="K98" s="85">
        <v>1</v>
      </c>
      <c r="L98" s="83">
        <v>1</v>
      </c>
      <c r="M98" s="85">
        <v>1</v>
      </c>
      <c r="N98" s="83">
        <v>1</v>
      </c>
      <c r="O98" s="68">
        <f t="shared" si="12"/>
        <v>4</v>
      </c>
      <c r="P98" s="762"/>
      <c r="Q98" s="762"/>
      <c r="R98" s="710" t="s">
        <v>1347</v>
      </c>
      <c r="S98" s="119" t="s">
        <v>434</v>
      </c>
      <c r="T98" s="721">
        <f>T93</f>
        <v>0</v>
      </c>
      <c r="U98" s="721">
        <f>U93</f>
        <v>0</v>
      </c>
      <c r="V98" s="721">
        <f>V93</f>
        <v>1</v>
      </c>
      <c r="W98" s="721">
        <f>W93</f>
        <v>0</v>
      </c>
      <c r="X98" s="721">
        <f>X93</f>
        <v>0</v>
      </c>
      <c r="Y98" s="806"/>
      <c r="Z98" s="806"/>
      <c r="AA98" s="72">
        <f t="shared" si="14"/>
        <v>1</v>
      </c>
    </row>
    <row r="99" spans="1:27" ht="20.25">
      <c r="A99" s="114">
        <v>5</v>
      </c>
      <c r="B99" s="119" t="s">
        <v>1351</v>
      </c>
      <c r="C99" s="726">
        <v>1</v>
      </c>
      <c r="D99" s="720">
        <v>0</v>
      </c>
      <c r="E99" s="720">
        <v>0</v>
      </c>
      <c r="F99" s="720">
        <v>0</v>
      </c>
      <c r="G99" s="724">
        <v>0</v>
      </c>
      <c r="H99" s="68">
        <f t="shared" si="13"/>
        <v>1</v>
      </c>
      <c r="I99" s="114"/>
      <c r="J99" s="120"/>
      <c r="K99" s="85">
        <v>1</v>
      </c>
      <c r="L99" s="83">
        <v>1</v>
      </c>
      <c r="M99" s="84">
        <v>1</v>
      </c>
      <c r="N99" s="83">
        <v>1</v>
      </c>
      <c r="O99" s="68">
        <f t="shared" si="12"/>
        <v>4</v>
      </c>
      <c r="P99" s="762"/>
      <c r="Q99" s="762"/>
      <c r="R99" s="114">
        <v>5</v>
      </c>
      <c r="S99" s="119" t="s">
        <v>1531</v>
      </c>
      <c r="T99" s="726">
        <v>0</v>
      </c>
      <c r="U99" s="720">
        <v>0</v>
      </c>
      <c r="V99" s="724">
        <f>V94</f>
        <v>1</v>
      </c>
      <c r="W99" s="720">
        <v>0</v>
      </c>
      <c r="X99" s="720">
        <v>0</v>
      </c>
      <c r="Y99" s="804"/>
      <c r="Z99" s="804"/>
      <c r="AA99" s="72">
        <f t="shared" si="14"/>
        <v>1</v>
      </c>
    </row>
    <row r="100" spans="1:27" ht="20.25">
      <c r="A100" s="114">
        <v>5</v>
      </c>
      <c r="B100" s="119" t="s">
        <v>1350</v>
      </c>
      <c r="C100" s="721">
        <v>0</v>
      </c>
      <c r="D100" s="722">
        <v>1</v>
      </c>
      <c r="E100" s="722">
        <v>0</v>
      </c>
      <c r="F100" s="722">
        <v>0</v>
      </c>
      <c r="G100" s="723">
        <v>0</v>
      </c>
      <c r="H100" s="68">
        <f t="shared" si="13"/>
        <v>1</v>
      </c>
      <c r="I100" s="114"/>
      <c r="J100" s="120"/>
      <c r="K100" s="85">
        <v>1</v>
      </c>
      <c r="L100" s="71"/>
      <c r="M100" s="69">
        <v>1</v>
      </c>
      <c r="N100" s="71"/>
      <c r="O100" s="68">
        <f t="shared" si="12"/>
        <v>2</v>
      </c>
      <c r="P100" s="762"/>
      <c r="Q100" s="762"/>
      <c r="R100" s="114">
        <v>5</v>
      </c>
      <c r="S100" s="119" t="s">
        <v>1529</v>
      </c>
      <c r="T100" s="721">
        <v>0</v>
      </c>
      <c r="U100" s="722">
        <v>0</v>
      </c>
      <c r="V100" s="723">
        <v>0</v>
      </c>
      <c r="W100" s="722">
        <v>1</v>
      </c>
      <c r="X100" s="722">
        <v>0</v>
      </c>
      <c r="Y100" s="805"/>
      <c r="Z100" s="805"/>
      <c r="AA100" s="72">
        <f t="shared" si="14"/>
        <v>1</v>
      </c>
    </row>
    <row r="101" spans="1:27" ht="20.25">
      <c r="A101" s="114">
        <v>5</v>
      </c>
      <c r="B101" s="119" t="s">
        <v>1352</v>
      </c>
      <c r="C101" s="721">
        <v>0</v>
      </c>
      <c r="D101" s="722">
        <v>0</v>
      </c>
      <c r="E101" s="722">
        <v>1</v>
      </c>
      <c r="F101" s="722">
        <v>0</v>
      </c>
      <c r="G101" s="723">
        <v>0</v>
      </c>
      <c r="H101" s="68">
        <f t="shared" si="13"/>
        <v>1</v>
      </c>
      <c r="I101" s="114"/>
      <c r="J101" s="120"/>
      <c r="K101" s="85">
        <f>0.6*4.5</f>
        <v>2.6999999999999997</v>
      </c>
      <c r="L101" s="85">
        <f>0.6*4.5</f>
        <v>2.6999999999999997</v>
      </c>
      <c r="M101" s="85">
        <f>0.6*4.5</f>
        <v>2.6999999999999997</v>
      </c>
      <c r="N101" s="85">
        <f>0.6*4.5</f>
        <v>2.6999999999999997</v>
      </c>
      <c r="O101" s="68">
        <f t="shared" si="12"/>
        <v>10.799999999999999</v>
      </c>
      <c r="P101" s="762"/>
      <c r="Q101" s="762"/>
      <c r="R101" s="114">
        <v>5</v>
      </c>
      <c r="S101" s="119" t="s">
        <v>1530</v>
      </c>
      <c r="T101" s="721">
        <v>0</v>
      </c>
      <c r="U101" s="722">
        <v>1</v>
      </c>
      <c r="V101" s="723">
        <v>0</v>
      </c>
      <c r="W101" s="722">
        <v>0</v>
      </c>
      <c r="X101" s="722">
        <v>0</v>
      </c>
      <c r="Y101" s="805"/>
      <c r="Z101" s="805"/>
      <c r="AA101" s="72">
        <f t="shared" si="14"/>
        <v>1</v>
      </c>
    </row>
    <row r="102" spans="1:27" ht="20.25">
      <c r="A102" s="114">
        <v>5</v>
      </c>
      <c r="B102" s="119" t="s">
        <v>1353</v>
      </c>
      <c r="C102" s="721">
        <v>0</v>
      </c>
      <c r="D102" s="722">
        <v>0</v>
      </c>
      <c r="E102" s="722">
        <v>0</v>
      </c>
      <c r="F102" s="722">
        <v>1</v>
      </c>
      <c r="G102" s="723">
        <v>0</v>
      </c>
      <c r="H102" s="68">
        <f t="shared" si="13"/>
        <v>1</v>
      </c>
      <c r="I102" s="114"/>
      <c r="J102" s="121"/>
      <c r="K102" s="85">
        <v>4.5</v>
      </c>
      <c r="L102" s="85">
        <v>4.5</v>
      </c>
      <c r="M102" s="85">
        <v>4.5</v>
      </c>
      <c r="N102" s="85">
        <v>4.5</v>
      </c>
      <c r="O102" s="68">
        <f t="shared" si="12"/>
        <v>18</v>
      </c>
      <c r="P102" s="762"/>
      <c r="Q102" s="762"/>
      <c r="R102" s="114">
        <v>5</v>
      </c>
      <c r="S102" s="119" t="s">
        <v>1533</v>
      </c>
      <c r="T102" s="721">
        <v>1</v>
      </c>
      <c r="U102" s="722">
        <v>0</v>
      </c>
      <c r="V102" s="723">
        <v>0</v>
      </c>
      <c r="W102" s="722">
        <v>0</v>
      </c>
      <c r="X102" s="722">
        <v>0</v>
      </c>
      <c r="Y102" s="805"/>
      <c r="Z102" s="805"/>
      <c r="AA102" s="72">
        <f t="shared" si="14"/>
        <v>1</v>
      </c>
    </row>
    <row r="103" spans="1:27" ht="20.25">
      <c r="A103" s="114">
        <v>5</v>
      </c>
      <c r="B103" s="119" t="s">
        <v>1354</v>
      </c>
      <c r="C103" s="721">
        <v>0</v>
      </c>
      <c r="D103" s="722">
        <v>0</v>
      </c>
      <c r="E103" s="722">
        <v>0</v>
      </c>
      <c r="F103" s="722">
        <v>0</v>
      </c>
      <c r="G103" s="723">
        <v>1</v>
      </c>
      <c r="H103" s="68">
        <f t="shared" si="13"/>
        <v>1</v>
      </c>
      <c r="I103" s="710"/>
      <c r="J103" s="740"/>
      <c r="K103" s="713"/>
      <c r="L103" s="713"/>
      <c r="M103" s="713"/>
      <c r="N103" s="713"/>
      <c r="O103" s="70"/>
      <c r="P103" s="765"/>
      <c r="Q103" s="765"/>
      <c r="R103" s="114">
        <v>5</v>
      </c>
      <c r="S103" s="119" t="s">
        <v>1532</v>
      </c>
      <c r="T103" s="721">
        <v>0</v>
      </c>
      <c r="U103" s="722">
        <v>0</v>
      </c>
      <c r="V103" s="723">
        <v>0</v>
      </c>
      <c r="W103" s="722">
        <v>0</v>
      </c>
      <c r="X103" s="722">
        <v>1</v>
      </c>
      <c r="Y103" s="805"/>
      <c r="Z103" s="805"/>
      <c r="AA103" s="72">
        <f t="shared" si="14"/>
        <v>1</v>
      </c>
    </row>
    <row r="104" spans="1:27" ht="20.25">
      <c r="A104" s="114">
        <v>6</v>
      </c>
      <c r="B104" s="120" t="s">
        <v>469</v>
      </c>
      <c r="C104" s="727">
        <v>0</v>
      </c>
      <c r="D104" s="722">
        <v>0</v>
      </c>
      <c r="E104" s="727">
        <v>0</v>
      </c>
      <c r="F104" s="722">
        <v>0</v>
      </c>
      <c r="G104" s="723">
        <v>2</v>
      </c>
      <c r="H104" s="68">
        <f t="shared" si="13"/>
        <v>2</v>
      </c>
      <c r="I104" s="710"/>
      <c r="J104" s="740"/>
      <c r="K104" s="713"/>
      <c r="L104" s="713"/>
      <c r="M104" s="713"/>
      <c r="N104" s="713"/>
      <c r="O104" s="70"/>
      <c r="P104" s="765"/>
      <c r="Q104" s="765"/>
      <c r="R104" s="114">
        <v>6</v>
      </c>
      <c r="S104" s="120" t="s">
        <v>469</v>
      </c>
      <c r="T104" s="727">
        <v>0</v>
      </c>
      <c r="U104" s="722">
        <v>0</v>
      </c>
      <c r="V104" s="723">
        <v>2</v>
      </c>
      <c r="W104" s="727">
        <v>0</v>
      </c>
      <c r="X104" s="722">
        <v>0</v>
      </c>
      <c r="Y104" s="805"/>
      <c r="Z104" s="805"/>
      <c r="AA104" s="72">
        <f t="shared" si="14"/>
        <v>2</v>
      </c>
    </row>
    <row r="105" spans="1:27" ht="20.25">
      <c r="A105" s="114" t="s">
        <v>1355</v>
      </c>
      <c r="B105" s="120" t="s">
        <v>470</v>
      </c>
      <c r="C105" s="727">
        <v>0</v>
      </c>
      <c r="D105" s="722">
        <v>0</v>
      </c>
      <c r="E105" s="727">
        <v>0</v>
      </c>
      <c r="F105" s="722">
        <v>0</v>
      </c>
      <c r="G105" s="723">
        <v>1</v>
      </c>
      <c r="H105" s="68">
        <f t="shared" si="13"/>
        <v>1</v>
      </c>
      <c r="I105" s="710"/>
      <c r="J105" s="740"/>
      <c r="K105" s="713"/>
      <c r="L105" s="713"/>
      <c r="M105" s="713"/>
      <c r="N105" s="713"/>
      <c r="O105" s="70"/>
      <c r="P105" s="765"/>
      <c r="Q105" s="765"/>
      <c r="R105" s="114" t="s">
        <v>1355</v>
      </c>
      <c r="S105" s="120" t="s">
        <v>470</v>
      </c>
      <c r="T105" s="727">
        <v>0</v>
      </c>
      <c r="U105" s="722">
        <v>0</v>
      </c>
      <c r="V105" s="723">
        <v>1</v>
      </c>
      <c r="W105" s="727">
        <v>0</v>
      </c>
      <c r="X105" s="722">
        <v>0</v>
      </c>
      <c r="Y105" s="805"/>
      <c r="Z105" s="805"/>
      <c r="AA105" s="72">
        <f t="shared" si="14"/>
        <v>1</v>
      </c>
    </row>
    <row r="106" spans="1:27" ht="20.25">
      <c r="A106" s="114">
        <v>7</v>
      </c>
      <c r="B106" s="119" t="s">
        <v>1356</v>
      </c>
      <c r="C106" s="726">
        <f>C84</f>
        <v>0</v>
      </c>
      <c r="D106" s="720">
        <f>D84</f>
        <v>0</v>
      </c>
      <c r="E106" s="720">
        <f>E84</f>
        <v>0</v>
      </c>
      <c r="F106" s="720">
        <f>F84</f>
        <v>0</v>
      </c>
      <c r="G106" s="724">
        <f>G84</f>
        <v>1</v>
      </c>
      <c r="H106" s="68">
        <f t="shared" si="13"/>
        <v>1</v>
      </c>
      <c r="I106" s="710"/>
      <c r="J106" s="740"/>
      <c r="K106" s="713"/>
      <c r="L106" s="713"/>
      <c r="M106" s="713"/>
      <c r="N106" s="713"/>
      <c r="O106" s="70"/>
      <c r="P106" s="765"/>
      <c r="Q106" s="765"/>
      <c r="R106" s="114">
        <v>7</v>
      </c>
      <c r="S106" s="119" t="s">
        <v>1356</v>
      </c>
      <c r="T106" s="726">
        <f>T84</f>
        <v>0</v>
      </c>
      <c r="U106" s="720">
        <f>U84</f>
        <v>0</v>
      </c>
      <c r="V106" s="724">
        <f>V84</f>
        <v>1</v>
      </c>
      <c r="W106" s="720">
        <f>W84</f>
        <v>0</v>
      </c>
      <c r="X106" s="720">
        <f>X84</f>
        <v>0</v>
      </c>
      <c r="Y106" s="804"/>
      <c r="Z106" s="804"/>
      <c r="AA106" s="72">
        <f t="shared" si="14"/>
        <v>1</v>
      </c>
    </row>
    <row r="107" spans="1:27" ht="20.25">
      <c r="A107" s="114">
        <v>8</v>
      </c>
      <c r="B107" s="120" t="s">
        <v>443</v>
      </c>
      <c r="C107" s="727">
        <v>1</v>
      </c>
      <c r="D107" s="722">
        <v>1</v>
      </c>
      <c r="E107" s="727">
        <v>1</v>
      </c>
      <c r="F107" s="722">
        <v>1</v>
      </c>
      <c r="G107" s="723">
        <v>1</v>
      </c>
      <c r="H107" s="68">
        <f t="shared" si="13"/>
        <v>5</v>
      </c>
      <c r="I107" s="710"/>
      <c r="J107" s="740"/>
      <c r="K107" s="713"/>
      <c r="L107" s="713"/>
      <c r="M107" s="713"/>
      <c r="N107" s="713"/>
      <c r="O107" s="70"/>
      <c r="P107" s="765"/>
      <c r="Q107" s="765"/>
      <c r="R107" s="114">
        <v>8</v>
      </c>
      <c r="S107" s="120" t="s">
        <v>443</v>
      </c>
      <c r="T107" s="727">
        <v>1</v>
      </c>
      <c r="U107" s="722">
        <v>1</v>
      </c>
      <c r="V107" s="723">
        <v>1</v>
      </c>
      <c r="W107" s="727">
        <v>1</v>
      </c>
      <c r="X107" s="722">
        <v>1</v>
      </c>
      <c r="Y107" s="805"/>
      <c r="Z107" s="805"/>
      <c r="AA107" s="72">
        <f t="shared" si="14"/>
        <v>5</v>
      </c>
    </row>
    <row r="108" spans="1:27" ht="20.25">
      <c r="A108" s="114"/>
      <c r="B108" s="120" t="s">
        <v>444</v>
      </c>
      <c r="C108" s="727">
        <v>2</v>
      </c>
      <c r="D108" s="722">
        <v>2</v>
      </c>
      <c r="E108" s="727">
        <v>2</v>
      </c>
      <c r="F108" s="722">
        <v>2</v>
      </c>
      <c r="G108" s="723">
        <v>1</v>
      </c>
      <c r="H108" s="68">
        <f t="shared" si="13"/>
        <v>9</v>
      </c>
      <c r="I108" s="710"/>
      <c r="J108" s="740"/>
      <c r="K108" s="713"/>
      <c r="L108" s="713"/>
      <c r="M108" s="713"/>
      <c r="N108" s="713"/>
      <c r="O108" s="70"/>
      <c r="P108" s="765"/>
      <c r="Q108" s="765"/>
      <c r="R108" s="114">
        <v>9</v>
      </c>
      <c r="S108" s="120" t="s">
        <v>1525</v>
      </c>
      <c r="T108" s="727">
        <v>0</v>
      </c>
      <c r="U108" s="722">
        <v>0</v>
      </c>
      <c r="V108" s="723">
        <v>0</v>
      </c>
      <c r="W108" s="727">
        <v>0</v>
      </c>
      <c r="X108" s="722">
        <v>0</v>
      </c>
      <c r="Y108" s="800"/>
      <c r="Z108" s="805"/>
      <c r="AA108" s="72">
        <f t="shared" si="14"/>
        <v>0</v>
      </c>
    </row>
    <row r="109" spans="1:27" ht="20.25">
      <c r="A109" s="114" t="s">
        <v>1357</v>
      </c>
      <c r="B109" s="120" t="s">
        <v>45</v>
      </c>
      <c r="C109" s="727">
        <f>C81</f>
        <v>4</v>
      </c>
      <c r="D109" s="722">
        <f>D81</f>
        <v>7</v>
      </c>
      <c r="E109" s="722">
        <f>E81</f>
        <v>3</v>
      </c>
      <c r="F109" s="722">
        <f>F81</f>
        <v>9</v>
      </c>
      <c r="G109" s="723">
        <v>0</v>
      </c>
      <c r="H109" s="68">
        <f t="shared" si="13"/>
        <v>23</v>
      </c>
      <c r="I109" s="710"/>
      <c r="J109" s="740"/>
      <c r="K109" s="713"/>
      <c r="L109" s="713"/>
      <c r="M109" s="713"/>
      <c r="N109" s="713"/>
      <c r="O109" s="70"/>
      <c r="P109" s="765"/>
      <c r="Q109" s="765"/>
      <c r="R109" s="114">
        <v>10</v>
      </c>
      <c r="S109" s="120" t="s">
        <v>1526</v>
      </c>
      <c r="T109" s="727">
        <v>0</v>
      </c>
      <c r="U109" s="722">
        <v>0</v>
      </c>
      <c r="V109" s="723">
        <v>0</v>
      </c>
      <c r="W109" s="722">
        <v>0</v>
      </c>
      <c r="X109" s="722">
        <v>0</v>
      </c>
      <c r="Y109" s="800"/>
      <c r="Z109" s="805"/>
      <c r="AA109" s="72">
        <f t="shared" si="14"/>
        <v>0</v>
      </c>
    </row>
    <row r="110" spans="1:27" ht="20.25">
      <c r="A110" s="114"/>
      <c r="B110" s="119" t="s">
        <v>1358</v>
      </c>
      <c r="C110" s="726">
        <f>C97</f>
        <v>0</v>
      </c>
      <c r="D110" s="720">
        <f>D97</f>
        <v>0</v>
      </c>
      <c r="E110" s="720">
        <f>E97</f>
        <v>0</v>
      </c>
      <c r="F110" s="720">
        <f>F97</f>
        <v>0</v>
      </c>
      <c r="G110" s="724">
        <v>0</v>
      </c>
      <c r="H110" s="68">
        <f t="shared" si="13"/>
        <v>0</v>
      </c>
      <c r="I110" s="710"/>
      <c r="J110" s="740"/>
      <c r="K110" s="713"/>
      <c r="L110" s="713"/>
      <c r="M110" s="713"/>
      <c r="N110" s="713"/>
      <c r="O110" s="70"/>
      <c r="P110" s="765"/>
      <c r="Q110" s="765"/>
      <c r="R110" s="114"/>
      <c r="S110" s="120" t="s">
        <v>444</v>
      </c>
      <c r="T110" s="727">
        <v>3</v>
      </c>
      <c r="U110" s="722">
        <v>2</v>
      </c>
      <c r="V110" s="723">
        <v>1</v>
      </c>
      <c r="W110" s="727">
        <v>2</v>
      </c>
      <c r="X110" s="722">
        <v>2</v>
      </c>
      <c r="Y110" s="800"/>
      <c r="Z110" s="805"/>
      <c r="AA110" s="72">
        <f t="shared" si="14"/>
        <v>10</v>
      </c>
    </row>
    <row r="111" spans="1:27" ht="20.25">
      <c r="A111" s="114"/>
      <c r="B111" s="120" t="s">
        <v>46</v>
      </c>
      <c r="C111" s="727">
        <f>ROUNDUP((0.6*4.1)+(0.6*0.25)+(0.25*4.1)+(0.15*3.3)+(0.2*4.2),0)</f>
        <v>5</v>
      </c>
      <c r="D111" s="727">
        <f>ROUNDUP((0.6*2.9)+(0.6*0.25)+(0.25*2.9)+(0.15*2.9)+(0.15*3.9)+(0.15*2.9),0)</f>
        <v>5</v>
      </c>
      <c r="E111" s="727">
        <f>ROUNDUP((0.6*3.5)+(0.6*0.25)+(0.25*3.5)+(0.15*3.5)+(0.15*3),0)</f>
        <v>5</v>
      </c>
      <c r="F111" s="727">
        <f>ROUNDUP((0.6*8.7)+(0.6*0.25)+(0.25*8.7)+(0.15*8.7)+(0.15*10.1),0)</f>
        <v>11</v>
      </c>
      <c r="G111" s="727">
        <v>0</v>
      </c>
      <c r="H111" s="68">
        <f t="shared" si="13"/>
        <v>26</v>
      </c>
      <c r="I111" s="710"/>
      <c r="J111" s="740"/>
      <c r="K111" s="713"/>
      <c r="L111" s="713"/>
      <c r="M111" s="713"/>
      <c r="N111" s="713"/>
      <c r="O111" s="70"/>
      <c r="P111" s="765"/>
      <c r="Q111" s="765"/>
      <c r="R111" s="114" t="s">
        <v>1357</v>
      </c>
      <c r="S111" s="120" t="s">
        <v>45</v>
      </c>
      <c r="T111" s="727">
        <v>5</v>
      </c>
      <c r="U111" s="722">
        <v>5</v>
      </c>
      <c r="V111" s="723">
        <v>0</v>
      </c>
      <c r="W111" s="722">
        <v>5</v>
      </c>
      <c r="X111" s="722">
        <v>5</v>
      </c>
      <c r="Y111" s="800"/>
      <c r="Z111" s="805"/>
      <c r="AA111" s="72">
        <f t="shared" si="14"/>
        <v>20</v>
      </c>
    </row>
    <row r="112" spans="1:27" ht="20.25">
      <c r="A112" s="114"/>
      <c r="B112" s="121" t="s">
        <v>41</v>
      </c>
      <c r="C112" s="727">
        <f>ROUNDUP(4.1,0)</f>
        <v>5</v>
      </c>
      <c r="D112" s="727">
        <v>4</v>
      </c>
      <c r="E112" s="727">
        <v>4</v>
      </c>
      <c r="F112" s="727">
        <v>9</v>
      </c>
      <c r="G112" s="728">
        <v>0</v>
      </c>
      <c r="H112" s="70">
        <f t="shared" si="13"/>
        <v>22</v>
      </c>
      <c r="I112" s="710"/>
      <c r="J112" s="740"/>
      <c r="K112" s="713"/>
      <c r="L112" s="713"/>
      <c r="M112" s="713"/>
      <c r="N112" s="713"/>
      <c r="O112" s="70"/>
      <c r="P112" s="765"/>
      <c r="Q112" s="765"/>
      <c r="R112" s="114"/>
      <c r="S112" s="119" t="s">
        <v>1358</v>
      </c>
      <c r="T112" s="726"/>
      <c r="U112" s="720"/>
      <c r="V112" s="724">
        <v>0</v>
      </c>
      <c r="W112" s="720"/>
      <c r="X112" s="720"/>
      <c r="Y112" s="799"/>
      <c r="Z112" s="804"/>
      <c r="AA112" s="72">
        <f t="shared" si="14"/>
        <v>0</v>
      </c>
    </row>
    <row r="113" spans="1:27" ht="20.25">
      <c r="A113" s="710"/>
      <c r="B113" s="740"/>
      <c r="C113" s="713"/>
      <c r="D113" s="713"/>
      <c r="E113" s="713"/>
      <c r="F113" s="713"/>
      <c r="G113" s="741"/>
      <c r="H113" s="70"/>
      <c r="I113" s="710"/>
      <c r="J113" s="740"/>
      <c r="K113" s="713"/>
      <c r="L113" s="713"/>
      <c r="M113" s="713"/>
      <c r="N113" s="713"/>
      <c r="O113" s="70"/>
      <c r="P113" s="765"/>
      <c r="Q113" s="765"/>
      <c r="R113" s="114"/>
      <c r="S113" s="120" t="s">
        <v>1538</v>
      </c>
      <c r="T113" s="727">
        <f>ROUNDUP((0.6*3.7)+(0.6*0.25)+(0.25*3.7)+(0.15*4.85),0)</f>
        <v>5</v>
      </c>
      <c r="U113" s="727">
        <f>ROUNDUP((0.6*3)+(0.8*0.25)+(0.25*3)+(0.15*3),0)</f>
        <v>4</v>
      </c>
      <c r="V113" s="727">
        <v>0</v>
      </c>
      <c r="W113" s="727">
        <f>ROUNDUP((0.6*2.8)+(0.6*0.25)+(0.25*2.8)+(0.15*2.8)+(0.15*4.7),0)</f>
        <v>4</v>
      </c>
      <c r="X113" s="727">
        <f>ROUNDUP((0.6*5.6)+(0.25*5.6)+(0.15*4.7),0)</f>
        <v>6</v>
      </c>
      <c r="Y113" s="802"/>
      <c r="Z113" s="807"/>
      <c r="AA113" s="72">
        <f t="shared" si="14"/>
        <v>19</v>
      </c>
    </row>
    <row r="114" spans="1:27" ht="20.25">
      <c r="A114" s="710"/>
      <c r="B114" s="740"/>
      <c r="C114" s="713"/>
      <c r="D114" s="713"/>
      <c r="E114" s="713"/>
      <c r="F114" s="713"/>
      <c r="G114" s="741"/>
      <c r="H114" s="70"/>
      <c r="I114" s="710"/>
      <c r="J114" s="740"/>
      <c r="K114" s="713"/>
      <c r="L114" s="713"/>
      <c r="M114" s="713"/>
      <c r="N114" s="713"/>
      <c r="O114" s="70"/>
      <c r="P114" s="765"/>
      <c r="Q114" s="765"/>
      <c r="R114" s="114"/>
      <c r="S114" s="121" t="s">
        <v>41</v>
      </c>
      <c r="T114" s="727">
        <v>4</v>
      </c>
      <c r="U114" s="727">
        <v>3</v>
      </c>
      <c r="V114" s="728">
        <v>0</v>
      </c>
      <c r="W114" s="727">
        <v>3</v>
      </c>
      <c r="X114" s="727">
        <v>6</v>
      </c>
      <c r="Y114" s="802"/>
      <c r="Z114" s="807"/>
      <c r="AA114" s="72">
        <f t="shared" si="14"/>
        <v>16</v>
      </c>
    </row>
    <row r="115" spans="1:27" ht="20.25">
      <c r="A115" s="710"/>
      <c r="B115" s="740"/>
      <c r="C115" s="713"/>
      <c r="D115" s="713"/>
      <c r="E115" s="713"/>
      <c r="F115" s="713"/>
      <c r="G115" s="741"/>
      <c r="H115" s="70"/>
      <c r="I115" s="710"/>
      <c r="J115" s="740"/>
      <c r="K115" s="713"/>
      <c r="L115" s="713"/>
      <c r="M115" s="713"/>
      <c r="N115" s="713"/>
      <c r="O115" s="70"/>
      <c r="P115" s="765"/>
      <c r="Q115" s="765"/>
      <c r="R115" s="710"/>
      <c r="S115" s="740"/>
      <c r="T115" s="713"/>
      <c r="U115" s="713"/>
      <c r="V115" s="741"/>
      <c r="W115" s="713"/>
      <c r="X115" s="713"/>
      <c r="Y115" s="808"/>
      <c r="Z115" s="808"/>
      <c r="AA115" s="742"/>
    </row>
    <row r="116" spans="1:27" ht="20.25">
      <c r="A116" s="710"/>
      <c r="B116" s="740"/>
      <c r="C116" s="713"/>
      <c r="D116" s="713"/>
      <c r="E116" s="713"/>
      <c r="F116" s="713"/>
      <c r="G116" s="741"/>
      <c r="H116" s="70"/>
      <c r="I116" s="710"/>
      <c r="J116" s="740"/>
      <c r="K116" s="713"/>
      <c r="L116" s="713"/>
      <c r="M116" s="713"/>
      <c r="N116" s="713"/>
      <c r="O116" s="70"/>
      <c r="P116" s="765"/>
      <c r="Q116" s="765"/>
      <c r="R116" s="710"/>
      <c r="S116" s="740"/>
      <c r="T116" s="713"/>
      <c r="U116" s="713"/>
      <c r="V116" s="741"/>
      <c r="W116" s="713"/>
      <c r="X116" s="713"/>
      <c r="Y116" s="808"/>
      <c r="Z116" s="808"/>
      <c r="AA116" s="742"/>
    </row>
    <row r="117" spans="1:27" ht="20.25">
      <c r="A117" s="710"/>
      <c r="B117" s="740"/>
      <c r="C117" s="713"/>
      <c r="D117" s="713"/>
      <c r="E117" s="713"/>
      <c r="F117" s="713"/>
      <c r="G117" s="741"/>
      <c r="H117" s="70"/>
      <c r="I117" s="710"/>
      <c r="J117" s="740"/>
      <c r="K117" s="713"/>
      <c r="L117" s="713"/>
      <c r="M117" s="713"/>
      <c r="N117" s="713"/>
      <c r="O117" s="70"/>
      <c r="P117" s="765"/>
      <c r="Q117" s="765"/>
      <c r="R117" s="710"/>
      <c r="S117" s="740"/>
      <c r="T117" s="713"/>
      <c r="U117" s="713"/>
      <c r="V117" s="741"/>
      <c r="W117" s="713"/>
      <c r="X117" s="713"/>
      <c r="Y117" s="808"/>
      <c r="Z117" s="808"/>
      <c r="AA117" s="742"/>
    </row>
    <row r="118" spans="1:27" ht="20.25">
      <c r="A118" s="710"/>
      <c r="B118" s="740"/>
      <c r="C118" s="713"/>
      <c r="D118" s="713"/>
      <c r="E118" s="713"/>
      <c r="F118" s="713"/>
      <c r="G118" s="741"/>
      <c r="H118" s="70"/>
      <c r="I118" s="710"/>
      <c r="J118" s="740"/>
      <c r="K118" s="713"/>
      <c r="L118" s="713"/>
      <c r="M118" s="713"/>
      <c r="N118" s="713"/>
      <c r="O118" s="70"/>
      <c r="P118" s="765"/>
      <c r="Q118" s="765"/>
      <c r="R118" s="710"/>
      <c r="S118" s="740"/>
      <c r="T118" s="713"/>
      <c r="U118" s="713"/>
      <c r="V118" s="741"/>
      <c r="W118" s="713"/>
      <c r="X118" s="713"/>
      <c r="Y118" s="808"/>
      <c r="Z118" s="808"/>
      <c r="AA118" s="742"/>
    </row>
    <row r="119" spans="1:27" ht="20.25">
      <c r="A119" s="710"/>
      <c r="B119" s="740"/>
      <c r="C119" s="713"/>
      <c r="D119" s="713"/>
      <c r="E119" s="713"/>
      <c r="F119" s="713"/>
      <c r="G119" s="741"/>
      <c r="H119" s="70"/>
      <c r="I119" s="710"/>
      <c r="J119" s="740"/>
      <c r="K119" s="713"/>
      <c r="L119" s="713"/>
      <c r="M119" s="713"/>
      <c r="N119" s="713"/>
      <c r="O119" s="70"/>
      <c r="P119" s="765"/>
      <c r="Q119" s="765"/>
      <c r="R119" s="710"/>
      <c r="S119" s="740"/>
      <c r="T119" s="713"/>
      <c r="U119" s="713"/>
      <c r="V119" s="741"/>
      <c r="W119" s="713"/>
      <c r="X119" s="713"/>
      <c r="Y119" s="808"/>
      <c r="Z119" s="808"/>
      <c r="AA119" s="742"/>
    </row>
    <row r="120" spans="1:27" ht="20.25">
      <c r="A120" s="710"/>
      <c r="B120" s="740"/>
      <c r="C120" s="713"/>
      <c r="D120" s="713"/>
      <c r="E120" s="713"/>
      <c r="F120" s="713"/>
      <c r="G120" s="741"/>
      <c r="H120" s="70"/>
      <c r="I120" s="710"/>
      <c r="J120" s="740"/>
      <c r="K120" s="713"/>
      <c r="L120" s="713"/>
      <c r="M120" s="713"/>
      <c r="N120" s="713"/>
      <c r="O120" s="70"/>
      <c r="P120" s="765"/>
      <c r="Q120" s="765"/>
      <c r="R120" s="710"/>
      <c r="S120" s="740"/>
      <c r="T120" s="713"/>
      <c r="U120" s="713"/>
      <c r="V120" s="741"/>
      <c r="W120" s="713"/>
      <c r="X120" s="713"/>
      <c r="Y120" s="808"/>
      <c r="Z120" s="808"/>
      <c r="AA120" s="742"/>
    </row>
    <row r="121" spans="1:27" ht="20.25">
      <c r="A121" s="710"/>
      <c r="B121" s="740"/>
      <c r="C121" s="713"/>
      <c r="D121" s="713"/>
      <c r="E121" s="713"/>
      <c r="F121" s="713"/>
      <c r="G121" s="741"/>
      <c r="H121" s="70"/>
      <c r="I121" s="710"/>
      <c r="J121" s="740"/>
      <c r="K121" s="713"/>
      <c r="L121" s="713"/>
      <c r="M121" s="713"/>
      <c r="N121" s="713"/>
      <c r="O121" s="70"/>
      <c r="P121" s="765"/>
      <c r="Q121" s="765"/>
      <c r="R121" s="710"/>
      <c r="S121" s="740"/>
      <c r="T121" s="713"/>
      <c r="U121" s="713"/>
      <c r="V121" s="741"/>
      <c r="W121" s="713"/>
      <c r="X121" s="713"/>
      <c r="Y121" s="808"/>
      <c r="Z121" s="808"/>
      <c r="AA121" s="742"/>
    </row>
    <row r="122" spans="1:27" ht="20.25">
      <c r="A122" s="710"/>
      <c r="B122" s="740"/>
      <c r="C122" s="713"/>
      <c r="D122" s="713"/>
      <c r="E122" s="713"/>
      <c r="F122" s="713"/>
      <c r="G122" s="741"/>
      <c r="H122" s="70"/>
      <c r="I122" s="710"/>
      <c r="J122" s="740"/>
      <c r="K122" s="713"/>
      <c r="L122" s="713"/>
      <c r="M122" s="713"/>
      <c r="N122" s="713"/>
      <c r="O122" s="70"/>
      <c r="P122" s="765"/>
      <c r="Q122" s="765"/>
      <c r="R122" s="710"/>
      <c r="S122" s="740"/>
      <c r="T122" s="713"/>
      <c r="U122" s="713"/>
      <c r="V122" s="741"/>
      <c r="W122" s="713"/>
      <c r="X122" s="713"/>
      <c r="Y122" s="808"/>
      <c r="Z122" s="808"/>
      <c r="AA122" s="742"/>
    </row>
    <row r="123" spans="1:27" ht="20.25">
      <c r="A123" s="710"/>
      <c r="B123" s="740"/>
      <c r="C123" s="713"/>
      <c r="D123" s="713"/>
      <c r="E123" s="713"/>
      <c r="F123" s="713"/>
      <c r="G123" s="741"/>
      <c r="H123" s="70"/>
      <c r="I123" s="710"/>
      <c r="J123" s="740"/>
      <c r="K123" s="713"/>
      <c r="L123" s="713"/>
      <c r="M123" s="713"/>
      <c r="N123" s="713"/>
      <c r="O123" s="70"/>
      <c r="P123" s="765"/>
      <c r="Q123" s="765"/>
      <c r="R123" s="710"/>
      <c r="S123" s="740"/>
      <c r="T123" s="713"/>
      <c r="U123" s="713"/>
      <c r="V123" s="741"/>
      <c r="W123" s="713"/>
      <c r="X123" s="713"/>
      <c r="Y123" s="808"/>
      <c r="Z123" s="808"/>
      <c r="AA123" s="742"/>
    </row>
    <row r="124" spans="1:27" ht="20.25">
      <c r="A124" s="710"/>
      <c r="B124" s="740"/>
      <c r="C124" s="713"/>
      <c r="D124" s="713"/>
      <c r="E124" s="713"/>
      <c r="F124" s="713"/>
      <c r="G124" s="741"/>
      <c r="H124" s="70"/>
      <c r="I124" s="710"/>
      <c r="J124" s="740"/>
      <c r="K124" s="713"/>
      <c r="L124" s="713"/>
      <c r="M124" s="713"/>
      <c r="N124" s="713"/>
      <c r="O124" s="70"/>
      <c r="P124" s="765"/>
      <c r="Q124" s="765"/>
      <c r="R124" s="710"/>
      <c r="S124" s="740"/>
      <c r="T124" s="713"/>
      <c r="U124" s="713"/>
      <c r="V124" s="741"/>
      <c r="W124" s="713"/>
      <c r="X124" s="713"/>
      <c r="Y124" s="808"/>
      <c r="Z124" s="808"/>
      <c r="AA124" s="742"/>
    </row>
    <row r="125" spans="1:27" ht="20.25">
      <c r="A125" s="710"/>
      <c r="B125" s="740"/>
      <c r="C125" s="713"/>
      <c r="D125" s="713"/>
      <c r="E125" s="713"/>
      <c r="F125" s="713"/>
      <c r="G125" s="741"/>
      <c r="H125" s="70"/>
      <c r="I125" s="710"/>
      <c r="J125" s="740"/>
      <c r="K125" s="713"/>
      <c r="L125" s="713"/>
      <c r="M125" s="713"/>
      <c r="N125" s="713"/>
      <c r="O125" s="70"/>
      <c r="P125" s="765"/>
      <c r="Q125" s="765"/>
      <c r="R125" s="710"/>
      <c r="S125" s="740"/>
      <c r="T125" s="713"/>
      <c r="U125" s="713"/>
      <c r="V125" s="741"/>
      <c r="W125" s="713"/>
      <c r="X125" s="713"/>
      <c r="Y125" s="808"/>
      <c r="Z125" s="808"/>
      <c r="AA125" s="742"/>
    </row>
    <row r="126" spans="1:27" ht="20.25">
      <c r="A126" s="114"/>
      <c r="B126" s="120"/>
      <c r="C126" s="82"/>
      <c r="D126" s="71"/>
      <c r="E126" s="71"/>
      <c r="F126" s="71"/>
      <c r="G126" s="445"/>
      <c r="H126" s="70"/>
      <c r="I126" s="114"/>
      <c r="J126" s="120"/>
      <c r="K126" s="82"/>
      <c r="L126" s="71"/>
      <c r="M126" s="71"/>
      <c r="N126" s="71"/>
      <c r="O126" s="70"/>
      <c r="P126" s="765"/>
      <c r="Q126" s="765"/>
      <c r="R126" s="114"/>
      <c r="S126" s="120"/>
      <c r="T126" s="82"/>
      <c r="U126" s="71"/>
      <c r="V126" s="445"/>
      <c r="W126" s="71"/>
      <c r="X126" s="71"/>
      <c r="Y126" s="445"/>
      <c r="Z126" s="445"/>
      <c r="AA126" s="70"/>
    </row>
    <row r="127" spans="1:27" ht="20.25">
      <c r="A127" s="123"/>
      <c r="B127" s="122"/>
      <c r="C127" s="86"/>
      <c r="D127" s="87"/>
      <c r="E127" s="87"/>
      <c r="F127" s="87"/>
      <c r="G127" s="446"/>
      <c r="H127" s="88"/>
      <c r="I127" s="123"/>
      <c r="J127" s="122"/>
      <c r="K127" s="86"/>
      <c r="L127" s="87"/>
      <c r="M127" s="87"/>
      <c r="N127" s="87"/>
      <c r="O127" s="88"/>
      <c r="P127" s="766"/>
      <c r="Q127" s="766"/>
      <c r="R127" s="123"/>
      <c r="S127" s="122"/>
      <c r="T127" s="86"/>
      <c r="U127" s="87"/>
      <c r="V127" s="446"/>
      <c r="W127" s="87"/>
      <c r="X127" s="87"/>
      <c r="Y127" s="446"/>
      <c r="Z127" s="446"/>
      <c r="AA127" s="88"/>
    </row>
    <row r="128" spans="1:27" ht="20.25">
      <c r="I128" s="4"/>
      <c r="J128" s="4"/>
      <c r="K128" s="67"/>
      <c r="L128" s="67"/>
      <c r="M128" s="67"/>
      <c r="N128" s="67"/>
    </row>
  </sheetData>
  <sheetProtection algorithmName="SHA-512" hashValue="NSoBGj1qoTm64VB0eW1tkVzmXfR18UhvCT+ZMPnt2Q2BW+FbxUuVIexxOcOUSsixDb+QNUdwzsjdX4ij0mIsew==" saltValue="4PsZoDVQ5XwmNNQ+GkhWxA==" spinCount="100000" sheet="1" formatCells="0" formatColumns="0" formatRows="0" insertColumns="0" insertRows="0" insertHyperlinks="0" deleteColumns="0" deleteRows="0" sort="0" autoFilter="0" pivotTables="0"/>
  <mergeCells count="30">
    <mergeCell ref="Q10:Q15"/>
    <mergeCell ref="AD55:AD59"/>
    <mergeCell ref="AF55:AF59"/>
    <mergeCell ref="AI55:AI59"/>
    <mergeCell ref="AK55:AK59"/>
    <mergeCell ref="AF13:AF18"/>
    <mergeCell ref="AF19:AF24"/>
    <mergeCell ref="AI30:AI32"/>
    <mergeCell ref="AK30:AK32"/>
    <mergeCell ref="A1:B2"/>
    <mergeCell ref="C1:F1"/>
    <mergeCell ref="H1:H4"/>
    <mergeCell ref="B3:B4"/>
    <mergeCell ref="S3:S4"/>
    <mergeCell ref="R1:S2"/>
    <mergeCell ref="I1:J2"/>
    <mergeCell ref="K1:N1"/>
    <mergeCell ref="J3:J4"/>
    <mergeCell ref="O1:O4"/>
    <mergeCell ref="AP13:AP18"/>
    <mergeCell ref="AP19:AP24"/>
    <mergeCell ref="T1:X1"/>
    <mergeCell ref="AA1:AA4"/>
    <mergeCell ref="AI13:AI17"/>
    <mergeCell ref="AK13:AK17"/>
    <mergeCell ref="AI19:AI23"/>
    <mergeCell ref="AK19:AK23"/>
    <mergeCell ref="AD6:AF6"/>
    <mergeCell ref="AI6:AK6"/>
    <mergeCell ref="AN6:AP6"/>
  </mergeCells>
  <phoneticPr fontId="40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ปร.6</vt:lpstr>
      <vt:lpstr>ปร.5(ก)</vt:lpstr>
      <vt:lpstr>ปร.5(ข)</vt:lpstr>
      <vt:lpstr>Structure</vt:lpstr>
      <vt:lpstr>ปร.4 old</vt:lpstr>
      <vt:lpstr>ปร.4</vt:lpstr>
      <vt:lpstr>Structure Unit Rate</vt:lpstr>
      <vt:lpstr>Factor F</vt:lpstr>
      <vt:lpstr>Architecture </vt:lpstr>
      <vt:lpstr>Sannitary ware</vt:lpstr>
      <vt:lpstr>'Structure Unit Rate'!Print_Area</vt:lpstr>
      <vt:lpstr>ปร.4!Print_Area</vt:lpstr>
      <vt:lpstr>'ปร.4 old'!Print_Area</vt:lpstr>
      <vt:lpstr>'ปร.5(ก)'!Print_Area</vt:lpstr>
      <vt:lpstr>'ปร.5(ข)'!Print_Area</vt:lpstr>
      <vt:lpstr>ปร.6!Print_Area</vt:lpstr>
      <vt:lpstr>Structure!Print_Titles</vt:lpstr>
      <vt:lpstr>ปร.4!Print_Titles</vt:lpstr>
      <vt:lpstr>'ปร.4 old'!Print_Titles</vt:lpstr>
      <vt:lpstr>ปร.6!Print_Titles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ESTIMATOR</dc:creator>
  <cp:lastModifiedBy>president048</cp:lastModifiedBy>
  <cp:lastPrinted>2021-01-19T05:08:13Z</cp:lastPrinted>
  <dcterms:created xsi:type="dcterms:W3CDTF">2019-02-28T07:07:06Z</dcterms:created>
  <dcterms:modified xsi:type="dcterms:W3CDTF">2021-01-22T11:05:32Z</dcterms:modified>
</cp:coreProperties>
</file>