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อ\1 งานจัดซื้อจัดจ้างประจำปี 2563\เงินงบประมาณ\วิธี e-bidding\8.ทางเดินเท้าพร้อมหลังคาทางเดิน (COVERED WALKWAYS) 3,000,000\หน่วยงาน\"/>
    </mc:Choice>
  </mc:AlternateContent>
  <bookViews>
    <workbookView xWindow="0" yWindow="0" windowWidth="20490" windowHeight="7785" tabRatio="701" activeTab="1"/>
  </bookViews>
  <sheets>
    <sheet name="Sheet1" sheetId="17" r:id="rId1"/>
    <sheet name="ปร.4ล่าสุด" sheetId="20" r:id="rId2"/>
    <sheet name="ปร.5(ก)" sheetId="15" r:id="rId3"/>
    <sheet name="ปร.6" sheetId="16" r:id="rId4"/>
  </sheets>
  <externalReferences>
    <externalReference r:id="rId5"/>
  </externalReferences>
  <definedNames>
    <definedName name="_day1">#REF!</definedName>
    <definedName name="_day10">#REF!</definedName>
    <definedName name="_day11">#REF!</definedName>
    <definedName name="_day12">#REF!</definedName>
    <definedName name="_day13">#REF!</definedName>
    <definedName name="_day19">#REF!</definedName>
    <definedName name="_day2">#REF!</definedName>
    <definedName name="_day3">#REF!</definedName>
    <definedName name="_day4">#REF!</definedName>
    <definedName name="_day5">#REF!</definedName>
    <definedName name="_day6">#REF!</definedName>
    <definedName name="_day7">#REF!</definedName>
    <definedName name="_day8">#REF!</definedName>
    <definedName name="_day9">#REF!</definedName>
    <definedName name="ac_ad">1</definedName>
    <definedName name="ac_av">1</definedName>
    <definedName name="cost1">#REF!</definedName>
    <definedName name="cost10">#REF!</definedName>
    <definedName name="cost11">#REF!</definedName>
    <definedName name="cost12">#REF!</definedName>
    <definedName name="cost13">#REF!</definedName>
    <definedName name="cost2">#REF!</definedName>
    <definedName name="cost3">#REF!</definedName>
    <definedName name="cost4">#REF!</definedName>
    <definedName name="cost5">#REF!</definedName>
    <definedName name="cost6">#REF!</definedName>
    <definedName name="cost7">#REF!</definedName>
    <definedName name="cost8">#REF!</definedName>
    <definedName name="cost9">#REF!</definedName>
    <definedName name="ee_ad">1</definedName>
    <definedName name="ee_av">1</definedName>
    <definedName name="LLOOO">#REF!</definedName>
    <definedName name="_xlnm.Print_Area" localSheetId="2">'ปร.5(ก)'!$A$1:$G$36</definedName>
    <definedName name="_xlnm.Print_Area" localSheetId="3">ปร.6!$A$1:$E$34</definedName>
    <definedName name="_xlnm.Print_Area">#REF!</definedName>
    <definedName name="PRINT_AREA_MI">#REF!</definedName>
    <definedName name="sn_ad">1</definedName>
    <definedName name="sn_av">1</definedName>
    <definedName name="กกกกก">#REF!</definedName>
    <definedName name="งานทั่วไป">[1]ภูมิทัศน์!#REF!</definedName>
    <definedName name="งานบัวเชิงผนัง">[1]ภูมิทัศน์!#REF!</definedName>
    <definedName name="งานประตูหน้าต่าง">[1]ภูมิทัศน์!#REF!</definedName>
    <definedName name="งานผนัง">[1]ภูมิทัศน์!#REF!</definedName>
    <definedName name="งานฝ้าเพดาน">[1]ภูมิทัศน์!#REF!</definedName>
    <definedName name="งานพื้น">[1]ภูมิทัศน์!#REF!</definedName>
    <definedName name="งานสุขภัณฑ์">[1]ภูมิทัศน์!#REF!</definedName>
    <definedName name="งานหลังคา">[1]ภูมิทัศน์!#REF!</definedName>
    <definedName name="จัดสร้าง">#REF!</definedName>
    <definedName name="ใช่">#REF!</definedName>
    <definedName name="ดด">#REF!</definedName>
    <definedName name="วววววววว">#REF!</definedName>
    <definedName name="ววววววววว">#REF!</definedName>
    <definedName name="ศาลปกครอง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90" i="20" l="1"/>
  <c r="I49" i="20"/>
  <c r="H90" i="20"/>
  <c r="F90" i="20"/>
  <c r="H53" i="20" l="1"/>
  <c r="I53" i="20" s="1"/>
  <c r="C48" i="20" l="1"/>
  <c r="C47" i="20"/>
  <c r="C46" i="20"/>
  <c r="C32" i="20"/>
  <c r="C31" i="20"/>
  <c r="C30" i="20"/>
  <c r="C29" i="20"/>
  <c r="C28" i="20"/>
  <c r="C27" i="20"/>
  <c r="H27" i="20" s="1"/>
  <c r="C26" i="20"/>
  <c r="C23" i="20"/>
  <c r="C22" i="20"/>
  <c r="C20" i="20"/>
  <c r="C19" i="20"/>
  <c r="C18" i="20"/>
  <c r="C17" i="20"/>
  <c r="C16" i="20"/>
  <c r="C63" i="20"/>
  <c r="F63" i="20" s="1"/>
  <c r="H63" i="20" l="1"/>
  <c r="I63" i="20" s="1"/>
  <c r="H46" i="20"/>
  <c r="C84" i="20"/>
  <c r="C83" i="20"/>
  <c r="C58" i="20"/>
  <c r="C81" i="20"/>
  <c r="C82" i="20"/>
  <c r="C75" i="20"/>
  <c r="C76" i="20"/>
  <c r="C77" i="20"/>
  <c r="C62" i="20"/>
  <c r="C61" i="20"/>
  <c r="C60" i="20"/>
  <c r="C57" i="20"/>
  <c r="C55" i="20"/>
  <c r="C54" i="20"/>
  <c r="C80" i="20"/>
  <c r="H80" i="20" s="1"/>
  <c r="G52" i="20"/>
  <c r="F46" i="20" l="1"/>
  <c r="I46" i="20" s="1"/>
  <c r="F80" i="20"/>
  <c r="I80" i="20" s="1"/>
  <c r="C21" i="20"/>
  <c r="C86" i="20" l="1"/>
  <c r="C79" i="20"/>
  <c r="C78" i="20"/>
  <c r="G86" i="20"/>
  <c r="H86" i="20" l="1"/>
  <c r="F86" i="20"/>
  <c r="H84" i="20"/>
  <c r="H83" i="20"/>
  <c r="C90" i="17"/>
  <c r="C87" i="17"/>
  <c r="C85" i="17"/>
  <c r="E82" i="20"/>
  <c r="H82" i="20"/>
  <c r="H79" i="20"/>
  <c r="E81" i="20"/>
  <c r="G81" i="20" s="1"/>
  <c r="G78" i="20"/>
  <c r="H78" i="20" s="1"/>
  <c r="F78" i="20"/>
  <c r="F76" i="20"/>
  <c r="H62" i="20"/>
  <c r="H61" i="20"/>
  <c r="F60" i="20"/>
  <c r="H58" i="20"/>
  <c r="C59" i="20"/>
  <c r="I59" i="20" s="1"/>
  <c r="C56" i="20"/>
  <c r="H55" i="20"/>
  <c r="F55" i="20"/>
  <c r="F52" i="20"/>
  <c r="H48" i="20"/>
  <c r="H47" i="20"/>
  <c r="E32" i="20"/>
  <c r="F32" i="20" s="1"/>
  <c r="G31" i="20"/>
  <c r="H31" i="20" s="1"/>
  <c r="F31" i="20"/>
  <c r="H30" i="20"/>
  <c r="H29" i="20"/>
  <c r="F29" i="20"/>
  <c r="F28" i="20"/>
  <c r="F27" i="20"/>
  <c r="H26" i="20"/>
  <c r="F20" i="20"/>
  <c r="H19" i="20"/>
  <c r="I16" i="20"/>
  <c r="I29" i="20" l="1"/>
  <c r="I27" i="20"/>
  <c r="I52" i="20"/>
  <c r="F62" i="20"/>
  <c r="I62" i="20" s="1"/>
  <c r="I86" i="20"/>
  <c r="I18" i="20"/>
  <c r="H60" i="20"/>
  <c r="I60" i="20" s="1"/>
  <c r="F61" i="20"/>
  <c r="I61" i="20" s="1"/>
  <c r="I31" i="20"/>
  <c r="C24" i="20"/>
  <c r="I24" i="20" s="1"/>
  <c r="I76" i="20"/>
  <c r="I55" i="20"/>
  <c r="H81" i="20"/>
  <c r="F79" i="20"/>
  <c r="I79" i="20" s="1"/>
  <c r="F77" i="20"/>
  <c r="I77" i="20" s="1"/>
  <c r="I75" i="20"/>
  <c r="I21" i="20"/>
  <c r="I78" i="20"/>
  <c r="H20" i="20"/>
  <c r="I20" i="20" s="1"/>
  <c r="I22" i="20"/>
  <c r="F48" i="20"/>
  <c r="I48" i="20" s="1"/>
  <c r="F82" i="20"/>
  <c r="I82" i="20" s="1"/>
  <c r="F84" i="20"/>
  <c r="I84" i="20" s="1"/>
  <c r="I54" i="20"/>
  <c r="I56" i="20"/>
  <c r="F58" i="20"/>
  <c r="F30" i="20"/>
  <c r="I30" i="20" s="1"/>
  <c r="F19" i="20"/>
  <c r="I19" i="20" s="1"/>
  <c r="I23" i="20"/>
  <c r="I28" i="20"/>
  <c r="F81" i="20"/>
  <c r="G32" i="20"/>
  <c r="H32" i="20" s="1"/>
  <c r="I32" i="20" s="1"/>
  <c r="F47" i="20"/>
  <c r="I47" i="20" s="1"/>
  <c r="F83" i="20"/>
  <c r="I83" i="20" s="1"/>
  <c r="F26" i="20"/>
  <c r="I26" i="20" s="1"/>
  <c r="I17" i="20"/>
  <c r="I57" i="20" l="1"/>
  <c r="I81" i="20"/>
  <c r="C15" i="15" l="1"/>
  <c r="F13" i="17" l="1"/>
  <c r="F12" i="17"/>
  <c r="F11" i="17"/>
  <c r="F60" i="17"/>
  <c r="L60" i="17" s="1"/>
  <c r="E60" i="17"/>
  <c r="K60" i="17" s="1"/>
  <c r="F51" i="17"/>
  <c r="L51" i="17" s="1"/>
  <c r="E51" i="17"/>
  <c r="K51" i="17" s="1"/>
  <c r="F43" i="17"/>
  <c r="L43" i="17" s="1"/>
  <c r="E43" i="17"/>
  <c r="K43" i="17" s="1"/>
  <c r="L35" i="17"/>
  <c r="K35" i="17"/>
  <c r="F35" i="17"/>
  <c r="E35" i="17"/>
  <c r="K29" i="17"/>
  <c r="K78" i="17"/>
  <c r="M29" i="17"/>
  <c r="K68" i="17"/>
  <c r="C69" i="17"/>
  <c r="H69" i="17" s="1"/>
  <c r="M69" i="17" s="1"/>
  <c r="C68" i="17"/>
  <c r="E68" i="17" s="1"/>
  <c r="C67" i="17"/>
  <c r="E67" i="17" s="1"/>
  <c r="K67" i="17" s="1"/>
  <c r="C66" i="17"/>
  <c r="F66" i="17" s="1"/>
  <c r="L66" i="17" s="1"/>
  <c r="K75" i="17" l="1"/>
  <c r="L75" i="17"/>
  <c r="E66" i="17"/>
  <c r="K66" i="17" s="1"/>
  <c r="E69" i="17"/>
  <c r="K69" i="17" s="1"/>
  <c r="F67" i="17"/>
  <c r="L67" i="17" s="1"/>
  <c r="F68" i="17"/>
  <c r="L68" i="17" s="1"/>
  <c r="J20" i="17"/>
  <c r="C63" i="17"/>
  <c r="K63" i="17" s="1"/>
  <c r="C62" i="17"/>
  <c r="H62" i="17" s="1"/>
  <c r="M62" i="17" s="1"/>
  <c r="H61" i="17"/>
  <c r="M61" i="17" s="1"/>
  <c r="C61" i="17"/>
  <c r="E61" i="17" s="1"/>
  <c r="K61" i="17" s="1"/>
  <c r="C59" i="17"/>
  <c r="F59" i="17" s="1"/>
  <c r="L59" i="17" s="1"/>
  <c r="C58" i="17"/>
  <c r="F58" i="17" s="1"/>
  <c r="L58" i="17" s="1"/>
  <c r="C57" i="17"/>
  <c r="F57" i="17" s="1"/>
  <c r="L57" i="17" s="1"/>
  <c r="C54" i="17"/>
  <c r="K54" i="17" s="1"/>
  <c r="C53" i="17"/>
  <c r="H53" i="17" s="1"/>
  <c r="M53" i="17" s="1"/>
  <c r="M77" i="17" s="1"/>
  <c r="C52" i="17"/>
  <c r="E52" i="17" s="1"/>
  <c r="K52" i="17" s="1"/>
  <c r="C50" i="17"/>
  <c r="F50" i="17" s="1"/>
  <c r="L50" i="17" s="1"/>
  <c r="C49" i="17"/>
  <c r="F49" i="17" s="1"/>
  <c r="L49" i="17" s="1"/>
  <c r="C48" i="17"/>
  <c r="F48" i="17" s="1"/>
  <c r="L48" i="17" s="1"/>
  <c r="C45" i="17"/>
  <c r="K45" i="17" s="1"/>
  <c r="C44" i="17"/>
  <c r="H44" i="17" s="1"/>
  <c r="M44" i="17" s="1"/>
  <c r="F42" i="17"/>
  <c r="L42" i="17" s="1"/>
  <c r="C42" i="17"/>
  <c r="E42" i="17" s="1"/>
  <c r="K42" i="17" s="1"/>
  <c r="C41" i="17"/>
  <c r="F41" i="17" s="1"/>
  <c r="L41" i="17" s="1"/>
  <c r="C40" i="17"/>
  <c r="E40" i="17" s="1"/>
  <c r="K40" i="17" s="1"/>
  <c r="C37" i="17"/>
  <c r="K37" i="17" s="1"/>
  <c r="K79" i="17" s="1"/>
  <c r="C36" i="17"/>
  <c r="H36" i="17" s="1"/>
  <c r="M36" i="17" s="1"/>
  <c r="C34" i="17"/>
  <c r="F34" i="17" s="1"/>
  <c r="L34" i="17" s="1"/>
  <c r="C33" i="17"/>
  <c r="F33" i="17" s="1"/>
  <c r="L33" i="17" s="1"/>
  <c r="C32" i="17"/>
  <c r="F32" i="17" s="1"/>
  <c r="L32" i="17" s="1"/>
  <c r="C28" i="17"/>
  <c r="F28" i="17" s="1"/>
  <c r="L28" i="17" s="1"/>
  <c r="C27" i="17"/>
  <c r="F27" i="17" s="1"/>
  <c r="L27" i="17" s="1"/>
  <c r="L73" i="17" s="1"/>
  <c r="C26" i="17"/>
  <c r="E26" i="17" s="1"/>
  <c r="K26" i="17" s="1"/>
  <c r="C23" i="17"/>
  <c r="C22" i="17"/>
  <c r="E7" i="17"/>
  <c r="G7" i="17" s="1"/>
  <c r="C7" i="17"/>
  <c r="E6" i="17"/>
  <c r="G6" i="17" s="1"/>
  <c r="C6" i="17"/>
  <c r="J6" i="17" s="1"/>
  <c r="E5" i="17"/>
  <c r="G5" i="17" s="1"/>
  <c r="C5" i="17"/>
  <c r="F5" i="17" l="1"/>
  <c r="H5" i="17" s="1"/>
  <c r="H11" i="17"/>
  <c r="H14" i="17" s="1"/>
  <c r="H15" i="17" s="1"/>
  <c r="E15" i="17" s="1"/>
  <c r="E11" i="17"/>
  <c r="F6" i="17"/>
  <c r="H6" i="17" s="1"/>
  <c r="H12" i="17"/>
  <c r="E12" i="17"/>
  <c r="L74" i="17"/>
  <c r="H52" i="17"/>
  <c r="M52" i="17" s="1"/>
  <c r="F7" i="17"/>
  <c r="H7" i="17" s="1"/>
  <c r="H13" i="17"/>
  <c r="E13" i="17"/>
  <c r="M76" i="17"/>
  <c r="G8" i="17"/>
  <c r="E32" i="17"/>
  <c r="K32" i="17" s="1"/>
  <c r="K72" i="17" s="1"/>
  <c r="E57" i="17"/>
  <c r="K57" i="17" s="1"/>
  <c r="F26" i="17"/>
  <c r="L26" i="17" s="1"/>
  <c r="E27" i="17"/>
  <c r="K27" i="17" s="1"/>
  <c r="E48" i="17"/>
  <c r="K48" i="17" s="1"/>
  <c r="E41" i="17"/>
  <c r="K41" i="17" s="1"/>
  <c r="E59" i="17"/>
  <c r="K59" i="17" s="1"/>
  <c r="E28" i="17"/>
  <c r="K28" i="17" s="1"/>
  <c r="E33" i="17"/>
  <c r="K33" i="17" s="1"/>
  <c r="K73" i="17" s="1"/>
  <c r="J5" i="17"/>
  <c r="E50" i="17"/>
  <c r="K50" i="17" s="1"/>
  <c r="J7" i="17"/>
  <c r="E36" i="17"/>
  <c r="K36" i="17" s="1"/>
  <c r="E49" i="17"/>
  <c r="K49" i="17" s="1"/>
  <c r="E58" i="17"/>
  <c r="K58" i="17" s="1"/>
  <c r="E34" i="17"/>
  <c r="K34" i="17" s="1"/>
  <c r="F40" i="17"/>
  <c r="L40" i="17" s="1"/>
  <c r="E44" i="17"/>
  <c r="K44" i="17" s="1"/>
  <c r="K76" i="17" s="1"/>
  <c r="L82" i="17" s="1"/>
  <c r="E53" i="17"/>
  <c r="K53" i="17" s="1"/>
  <c r="K77" i="17" s="1"/>
  <c r="E62" i="17"/>
  <c r="K62" i="17" s="1"/>
  <c r="M80" i="17" l="1"/>
  <c r="K74" i="17"/>
  <c r="K82" i="17" s="1"/>
  <c r="E14" i="17"/>
  <c r="L72" i="17"/>
  <c r="H8" i="17"/>
  <c r="J8" i="17"/>
  <c r="K80" i="17" l="1"/>
  <c r="D15" i="17"/>
  <c r="C14" i="17"/>
  <c r="L80" i="17"/>
  <c r="E26" i="15" l="1"/>
  <c r="C15" i="16" s="1"/>
  <c r="C19" i="16" s="1"/>
  <c r="C20" i="16" s="1"/>
  <c r="C22" i="16" s="1"/>
</calcChain>
</file>

<file path=xl/sharedStrings.xml><?xml version="1.0" encoding="utf-8"?>
<sst xmlns="http://schemas.openxmlformats.org/spreadsheetml/2006/main" count="461" uniqueCount="142">
  <si>
    <t>ลำดับที่</t>
  </si>
  <si>
    <t>รายการ</t>
  </si>
  <si>
    <t>จำนวน</t>
  </si>
  <si>
    <t>หน่วย</t>
  </si>
  <si>
    <t>ค่าวัสดุ</t>
  </si>
  <si>
    <t>จำนวนเงิน</t>
  </si>
  <si>
    <t>ค่าแรงงาน</t>
  </si>
  <si>
    <t>หมายเหตุ</t>
  </si>
  <si>
    <t>กก.</t>
  </si>
  <si>
    <t>รวม</t>
  </si>
  <si>
    <t>ตร.ม.</t>
  </si>
  <si>
    <t xml:space="preserve"> </t>
  </si>
  <si>
    <t>ลบ.ม.</t>
  </si>
  <si>
    <t>แบบเลขที่</t>
  </si>
  <si>
    <t>Factor F</t>
  </si>
  <si>
    <t>สรุป</t>
  </si>
  <si>
    <t>ลวดผูกเหล็ก</t>
  </si>
  <si>
    <t>ต้น</t>
  </si>
  <si>
    <t>แบบแสดงรายการ ปริมาณงาน และราคา</t>
  </si>
  <si>
    <t>หน่วย : บาท</t>
  </si>
  <si>
    <t>ราคาต่อหน่วย</t>
  </si>
  <si>
    <t>ค่าวัสดุและแรงงาน</t>
  </si>
  <si>
    <t xml:space="preserve"> แบบ ปร. 5 (ก)</t>
  </si>
  <si>
    <t>แบบสรุปค่าก่อสร้าง</t>
  </si>
  <si>
    <t>ค่างานต้นทุน</t>
  </si>
  <si>
    <t>ค่าก่อสร้าง</t>
  </si>
  <si>
    <t>รวมค่าก่อสร้าง</t>
  </si>
  <si>
    <t xml:space="preserve">                                                                                                                                  </t>
  </si>
  <si>
    <t xml:space="preserve">               แบบ ปร.6   แผ่นที่ 1</t>
  </si>
  <si>
    <t>แบบสรุปราคากลางงานก่อสร้างอาคาร</t>
  </si>
  <si>
    <t xml:space="preserve">แบบเลขที่                                                                         </t>
  </si>
  <si>
    <t>แบบ ปร. 4 และ ปร. 5  ที่แนบ          มีจำนวน        1          ชุด</t>
  </si>
  <si>
    <t>รวมค่าก่อสร้างทั้งโครงการ/งานก่อสร้าง</t>
  </si>
  <si>
    <t xml:space="preserve">                      ราคากลาง</t>
  </si>
  <si>
    <t>สถานที่ก่อสร้าง มหาวิทยาลัยเทคโนโลยีราชมงคลอีสาน ศูนย์กลาง</t>
  </si>
  <si>
    <t xml:space="preserve">เมื่อวันที่               </t>
  </si>
  <si>
    <t>สรุปราคาก่อสร้าง</t>
  </si>
  <si>
    <t>ลบ.ฟ.</t>
  </si>
  <si>
    <t>ตะปู</t>
  </si>
  <si>
    <t>ลำดับ</t>
  </si>
  <si>
    <t>ราคา</t>
  </si>
  <si>
    <t>ค่าแรง</t>
  </si>
  <si>
    <t>เสาเข็ม  คอร. 0.30x0.30x21.00 ม.</t>
  </si>
  <si>
    <t>เสาเข็ม  คอร. 0.30x0.30x4.00 ม.</t>
  </si>
  <si>
    <t>RB6</t>
  </si>
  <si>
    <t>DB16</t>
  </si>
  <si>
    <t>กก.RB6</t>
  </si>
  <si>
    <t>กก.DB16</t>
  </si>
  <si>
    <t>คาน   B1</t>
  </si>
  <si>
    <t>ม.</t>
  </si>
  <si>
    <t>คาน   B2</t>
  </si>
  <si>
    <t>คาน   B3</t>
  </si>
  <si>
    <t>แผ่นพื้นสำเร็จรูปท้องเรียบ LL 300 กก./ ตร.ม.</t>
  </si>
  <si>
    <t>ตะแกรง Wire mesh 0.4 มม. @ 0.20 ม.</t>
  </si>
  <si>
    <t>คอนกรีตทับหน้า</t>
  </si>
  <si>
    <t>ผิวพื้น ทรายล้าง สีเทาอ่อน</t>
  </si>
  <si>
    <t>ผิวพื้น ทรายล้าง สีเทาเข้ม</t>
  </si>
  <si>
    <t>เส้นแบ่งแนว PVC.</t>
  </si>
  <si>
    <t>เสาเหล็ก</t>
  </si>
  <si>
    <t xml:space="preserve"> - เหล็กกล่อง 100x50x3.2 มม.</t>
  </si>
  <si>
    <t xml:space="preserve"> - เหล็กกล่อง 25x25x1.2 มม.</t>
  </si>
  <si>
    <t xml:space="preserve"> - เหล็กกล่อง 50x50x3.2 มม.</t>
  </si>
  <si>
    <t xml:space="preserve"> - แผ่นเหล็กเรียบ หนา 3 มม.</t>
  </si>
  <si>
    <t>อัน</t>
  </si>
  <si>
    <t>30 บาท/แผ่น</t>
  </si>
  <si>
    <t>0.20x0.20</t>
  </si>
  <si>
    <t>1แผ่นใหญ่=72แผ่นเล็ก</t>
  </si>
  <si>
    <t>ราวกันตก    1</t>
  </si>
  <si>
    <t>พื้นที่ทาสี</t>
  </si>
  <si>
    <t>-</t>
  </si>
  <si>
    <t xml:space="preserve"> - ไม้ 1/2"x3"</t>
  </si>
  <si>
    <t xml:space="preserve"> - ตะแกรงเหล็กฉีก</t>
  </si>
  <si>
    <t>ราวกันตก    2</t>
  </si>
  <si>
    <t>ราวกันตก    3</t>
  </si>
  <si>
    <t xml:space="preserve"> - ไม้ 1"x3"</t>
  </si>
  <si>
    <t>ราวกันตก    4</t>
  </si>
  <si>
    <t>คอนกรีต</t>
  </si>
  <si>
    <t>ราวกันตก    5</t>
  </si>
  <si>
    <t>total</t>
  </si>
  <si>
    <t>เหล็ก</t>
  </si>
  <si>
    <t>ไม้</t>
  </si>
  <si>
    <t>ไม้แบบ</t>
  </si>
  <si>
    <t>ไม้คร่าว</t>
  </si>
  <si>
    <t xml:space="preserve"> - เหล็กฉาก 40x40x4 มม.</t>
  </si>
  <si>
    <t xml:space="preserve">หน่วยงานเจ้าของโครงการ/งานก่อสร้าง มหาวิทยาลัยเทคโนโลยีราชมงคลอีสาน </t>
  </si>
  <si>
    <t>ดินขุด</t>
  </si>
  <si>
    <t>ทรายหยาบ</t>
  </si>
  <si>
    <t>คอนกรีตหยาบ</t>
  </si>
  <si>
    <t>คอนกรีต 240 ksc ทรงกระบอก</t>
  </si>
  <si>
    <t>เหล็ก RB 6</t>
  </si>
  <si>
    <t>กก</t>
  </si>
  <si>
    <t>เหล็ก DB12</t>
  </si>
  <si>
    <t>ท่อเหล็กกล่องกลวง ขนาด 100x100x 3.2 มม</t>
  </si>
  <si>
    <t>ท่อเหล็กกล่องกลวง ขนาด 50x50x 3.2 มม</t>
  </si>
  <si>
    <t>งานหลังคาMEATAL SHEETหนาไม่น้อยกว่า0.4 ม.ม.</t>
  </si>
  <si>
    <t xml:space="preserve">ครอบมุม FLASHING </t>
  </si>
  <si>
    <t>ตาข่ายเหล็กถัก เบอร์14 ขนาด 1"</t>
  </si>
  <si>
    <t>เหล็กแผ่น Plate ขนาด 200x300x16 mm.</t>
  </si>
  <si>
    <t xml:space="preserve">หน่วยงานเจ้าของโครงการ/งานก่อสร้าง กองกลาง มหาวิทยาลัยเทคโนโลยีราชมงคลอีสาน </t>
  </si>
  <si>
    <t>BOLT M16</t>
  </si>
  <si>
    <t>งานทาสีกันสนิม เหล็ก</t>
  </si>
  <si>
    <t>งานทาสีน้ำมัน เหล็ก</t>
  </si>
  <si>
    <t>ราคาต้นทุนค่าก่อสร้าง</t>
  </si>
  <si>
    <t>ท่อเหล็กกล่องกลวง ขนาด 25x25x 3.0 มม</t>
  </si>
  <si>
    <t>ผิวพื้น ทรายล้าง สีเทาอ่อน(รวมปูนทราย+เส้นแบ่ง PVC)</t>
  </si>
  <si>
    <t>เหล็กแบน ขนาด 1 1/2" x9 มม</t>
  </si>
  <si>
    <t>โคมไฟ โซล่าเซลล์</t>
  </si>
  <si>
    <t>ชุด</t>
  </si>
  <si>
    <t xml:space="preserve">  แบบ ปร.4   แผ่นที่ 1/3</t>
  </si>
  <si>
    <t xml:space="preserve">  แบบ ปร.4   แผ่นที่ 2/3</t>
  </si>
  <si>
    <t xml:space="preserve">  แบบ ปร.4   แผ่นที่ 3/3</t>
  </si>
  <si>
    <t xml:space="preserve">งานหลังคาทางเดิน (Covered Walkways) </t>
  </si>
  <si>
    <t xml:space="preserve">แบบที่ 1 </t>
  </si>
  <si>
    <t>แบบที่ 2 ทางเดินเลียบคลอง</t>
  </si>
  <si>
    <t>รวมงานทางเดินแบบที่ 2 ทางเดินเลียบคลอง</t>
  </si>
  <si>
    <t>รวมงานทางเดินแบบที่ 1 ทางเดินเชื่อมหอพัก</t>
  </si>
  <si>
    <t xml:space="preserve">ชื่อโครงการ ทางเดินเท้าพร้อมหลังคาทางเดิน (Covered Walkways) ตำบลในเมือง อำเภอเมืองนครราชสีมา จังหวัดนครราชสีมา </t>
  </si>
  <si>
    <t xml:space="preserve">ชื่อโครงการ       ทางเดินเท้าพร้อมหลังคาทางเดิน (Covered Walkways) </t>
  </si>
  <si>
    <t xml:space="preserve">                    ตำบลในเมือง อำเภอเมืองนครราชสีมา จังหวัดนครราชสีมา </t>
  </si>
  <si>
    <t xml:space="preserve">ประมาณราคา เมื่อวันที่ </t>
  </si>
  <si>
    <t>แบบ  ปร. 4     ที่แนบ      มีจำนวน    3   หน้า</t>
  </si>
  <si>
    <t xml:space="preserve">ทางเดินเท้าพร้อมหลังคาทางเดิน </t>
  </si>
  <si>
    <t xml:space="preserve"> (Covered Walkways) </t>
  </si>
  <si>
    <t xml:space="preserve">ประมาณราคา เมื่อวันที่  </t>
  </si>
  <si>
    <t>คณะกรรมการกำหนดราคากลาง</t>
  </si>
  <si>
    <t xml:space="preserve">  ....................................</t>
  </si>
  <si>
    <t>ประธานกรรมการ</t>
  </si>
  <si>
    <t xml:space="preserve">    .....................................                                ..................................... </t>
  </si>
  <si>
    <t xml:space="preserve"> นายพงษ์พันธ์  จับวุฒิเชาว์                              นางสาวศิริวรรณ  โรโห</t>
  </si>
  <si>
    <t xml:space="preserve">           กรรมการ                                         กรรมการและเลขานุการ</t>
  </si>
  <si>
    <t>นายสังวาลย์   บุตรศรีสวย</t>
  </si>
  <si>
    <t>เหล็ก DB16</t>
  </si>
  <si>
    <t>เดือน     มีนาคม</t>
  </si>
  <si>
    <t>พ.ศ.  2563</t>
  </si>
  <si>
    <t>ประมาณราคาโดย    คณะกรรมการกำหนดราคากลาง</t>
  </si>
  <si>
    <t>เสาเข็ม คอร. ขนาด 0.18x0.18x 6.00 ม.</t>
  </si>
  <si>
    <t>คอนกรีตทับหน้า ขัดหยาบ</t>
  </si>
  <si>
    <t xml:space="preserve">ราคากลาง    </t>
  </si>
  <si>
    <t>ค่าแรงสกัดหัว เสาเข็ม คอร. ขนาด 0.18x0.18</t>
  </si>
  <si>
    <t>สถานที่ก่อสร้าง      มหาวิทยาลัยเทคโนโลยีราชมงคลอีสาน   นครราชสีมา</t>
  </si>
  <si>
    <t>หน่วยงานเจ้าของโครงการ      มหาวิทยาลัยเทคโนโลยีราชมงคลอีสาน   นครราชสีมา</t>
  </si>
  <si>
    <t>เดือน     เมษายน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</si>
</sst>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5" formatCode="&quot;฿&quot;#,##0;\-&quot;฿&quot;#,##0"/>
    <numFmt numFmtId="42" formatCode="_-&quot;฿&quot;* #,##0_-;\-&quot;฿&quot;* #,##0_-;_-&quot;฿&quot;* &quot;-&quot;_-;_-@_-"/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(* #,##0.0000_);_(* \(#,##0.0000\);_(* &quot;-&quot;??_);_(@_)"/>
  </numFmts>
  <fonts count="18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6"/>
      <name val="DilleniaUPC"/>
      <family val="1"/>
      <charset val="222"/>
    </font>
    <font>
      <sz val="14"/>
      <name val="Cordia New"/>
      <family val="2"/>
    </font>
    <font>
      <sz val="14"/>
      <name val="AngsanaUPC"/>
      <family val="1"/>
    </font>
    <font>
      <sz val="16"/>
      <name val="TH SarabunPSK"/>
      <family val="2"/>
    </font>
    <font>
      <b/>
      <sz val="16"/>
      <name val="TH SarabunPSK"/>
      <family val="2"/>
    </font>
    <font>
      <b/>
      <u val="singleAccounting"/>
      <sz val="16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rgb="FFFF0000"/>
      <name val="TH SarabunPSK"/>
      <family val="2"/>
    </font>
    <font>
      <b/>
      <sz val="16"/>
      <color theme="1"/>
      <name val="TH SarabunPSK"/>
      <family val="2"/>
    </font>
    <font>
      <b/>
      <sz val="16"/>
      <color theme="9" tint="-0.499984740745262"/>
      <name val="TH SarabunPSK"/>
      <family val="2"/>
    </font>
    <font>
      <b/>
      <sz val="14"/>
      <name val="TH SarabunPSK"/>
      <family val="2"/>
    </font>
    <font>
      <sz val="14"/>
      <name val="Tahoma"/>
      <family val="2"/>
      <charset val="222"/>
      <scheme val="minor"/>
    </font>
    <font>
      <b/>
      <u val="singleAccounting"/>
      <sz val="14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hair">
        <color auto="1"/>
      </bottom>
      <diagonal/>
    </border>
  </borders>
  <cellStyleXfs count="12">
    <xf numFmtId="0" fontId="0" fillId="0" borderId="0"/>
    <xf numFmtId="43" fontId="2" fillId="0" borderId="0" applyFont="0" applyFill="0" applyBorder="0" applyAlignment="0" applyProtection="0"/>
    <xf numFmtId="5" fontId="3" fillId="0" borderId="0" applyFont="0" applyFill="0" applyBorder="0" applyAlignment="0" applyProtection="0"/>
    <xf numFmtId="0" fontId="3" fillId="0" borderId="0"/>
    <xf numFmtId="0" fontId="2" fillId="0" borderId="0"/>
    <xf numFmtId="0" fontId="4" fillId="0" borderId="0"/>
    <xf numFmtId="43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0" fontId="4" fillId="0" borderId="0"/>
    <xf numFmtId="187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212">
    <xf numFmtId="0" fontId="0" fillId="0" borderId="0" xfId="0"/>
    <xf numFmtId="0" fontId="6" fillId="0" borderId="0" xfId="5" applyFont="1"/>
    <xf numFmtId="0" fontId="5" fillId="0" borderId="0" xfId="5" applyFont="1"/>
    <xf numFmtId="0" fontId="6" fillId="0" borderId="0" xfId="5" applyFont="1" applyAlignment="1">
      <alignment horizontal="center"/>
    </xf>
    <xf numFmtId="0" fontId="5" fillId="0" borderId="8" xfId="5" applyFont="1" applyBorder="1"/>
    <xf numFmtId="43" fontId="5" fillId="0" borderId="8" xfId="6" applyFont="1" applyFill="1" applyBorder="1"/>
    <xf numFmtId="43" fontId="5" fillId="0" borderId="3" xfId="6" applyFont="1" applyFill="1" applyBorder="1"/>
    <xf numFmtId="0" fontId="5" fillId="0" borderId="0" xfId="5" applyFont="1" applyAlignment="1"/>
    <xf numFmtId="188" fontId="6" fillId="2" borderId="0" xfId="7" applyNumberFormat="1" applyFont="1" applyFill="1" applyAlignment="1"/>
    <xf numFmtId="188" fontId="6" fillId="2" borderId="0" xfId="7" applyNumberFormat="1" applyFont="1" applyFill="1" applyAlignment="1">
      <alignment horizontal="center"/>
    </xf>
    <xf numFmtId="188" fontId="5" fillId="2" borderId="9" xfId="7" applyNumberFormat="1" applyFont="1" applyFill="1" applyBorder="1" applyAlignment="1">
      <alignment horizontal="left"/>
    </xf>
    <xf numFmtId="188" fontId="5" fillId="2" borderId="9" xfId="7" applyNumberFormat="1" applyFont="1" applyFill="1" applyBorder="1"/>
    <xf numFmtId="188" fontId="5" fillId="2" borderId="0" xfId="7" applyNumberFormat="1" applyFont="1" applyFill="1" applyBorder="1" applyAlignment="1">
      <alignment horizontal="center"/>
    </xf>
    <xf numFmtId="188" fontId="5" fillId="2" borderId="7" xfId="7" applyNumberFormat="1" applyFont="1" applyFill="1" applyBorder="1" applyAlignment="1">
      <alignment horizontal="center"/>
    </xf>
    <xf numFmtId="188" fontId="5" fillId="0" borderId="0" xfId="7" applyNumberFormat="1" applyFont="1"/>
    <xf numFmtId="188" fontId="5" fillId="0" borderId="0" xfId="7" applyNumberFormat="1" applyFont="1" applyBorder="1"/>
    <xf numFmtId="188" fontId="5" fillId="0" borderId="0" xfId="7" quotePrefix="1" applyNumberFormat="1" applyFont="1" applyAlignment="1">
      <alignment horizontal="left"/>
    </xf>
    <xf numFmtId="188" fontId="6" fillId="0" borderId="0" xfId="7" applyNumberFormat="1" applyFont="1" applyAlignment="1">
      <alignment horizontal="center"/>
    </xf>
    <xf numFmtId="188" fontId="5" fillId="3" borderId="9" xfId="7" applyNumberFormat="1" applyFont="1" applyFill="1" applyBorder="1"/>
    <xf numFmtId="188" fontId="5" fillId="3" borderId="0" xfId="7" applyNumberFormat="1" applyFont="1" applyFill="1"/>
    <xf numFmtId="188" fontId="6" fillId="3" borderId="0" xfId="7" applyNumberFormat="1" applyFont="1" applyFill="1" applyAlignment="1">
      <alignment horizontal="right"/>
    </xf>
    <xf numFmtId="188" fontId="5" fillId="2" borderId="1" xfId="7" applyNumberFormat="1" applyFont="1" applyFill="1" applyBorder="1"/>
    <xf numFmtId="188" fontId="5" fillId="2" borderId="0" xfId="7" applyNumberFormat="1" applyFont="1" applyFill="1" applyBorder="1"/>
    <xf numFmtId="0" fontId="5" fillId="0" borderId="0" xfId="5" applyFont="1" applyBorder="1"/>
    <xf numFmtId="188" fontId="5" fillId="0" borderId="1" xfId="7" applyNumberFormat="1" applyFont="1" applyBorder="1"/>
    <xf numFmtId="188" fontId="5" fillId="0" borderId="0" xfId="7" quotePrefix="1" applyNumberFormat="1" applyFont="1" applyBorder="1" applyAlignment="1">
      <alignment horizontal="left"/>
    </xf>
    <xf numFmtId="43" fontId="1" fillId="0" borderId="0" xfId="6" applyFont="1"/>
    <xf numFmtId="188" fontId="5" fillId="0" borderId="0" xfId="7" applyNumberFormat="1" applyFont="1" applyAlignment="1"/>
    <xf numFmtId="188" fontId="5" fillId="0" borderId="3" xfId="7" applyNumberFormat="1" applyFont="1" applyFill="1" applyBorder="1" applyAlignment="1">
      <alignment horizontal="center"/>
    </xf>
    <xf numFmtId="188" fontId="5" fillId="0" borderId="4" xfId="7" applyNumberFormat="1" applyFont="1" applyFill="1" applyBorder="1"/>
    <xf numFmtId="189" fontId="5" fillId="0" borderId="3" xfId="7" applyNumberFormat="1" applyFont="1" applyFill="1" applyBorder="1"/>
    <xf numFmtId="188" fontId="5" fillId="0" borderId="3" xfId="7" applyNumberFormat="1" applyFont="1" applyFill="1" applyBorder="1"/>
    <xf numFmtId="188" fontId="5" fillId="0" borderId="3" xfId="7" applyNumberFormat="1" applyFont="1" applyFill="1" applyBorder="1" applyAlignment="1">
      <alignment horizontal="left"/>
    </xf>
    <xf numFmtId="188" fontId="5" fillId="0" borderId="8" xfId="7" applyNumberFormat="1" applyFont="1" applyFill="1" applyBorder="1"/>
    <xf numFmtId="188" fontId="5" fillId="0" borderId="12" xfId="7" applyNumberFormat="1" applyFont="1" applyFill="1" applyBorder="1"/>
    <xf numFmtId="188" fontId="5" fillId="0" borderId="12" xfId="7" applyNumberFormat="1" applyFont="1" applyFill="1" applyBorder="1" applyAlignment="1">
      <alignment horizontal="left"/>
    </xf>
    <xf numFmtId="188" fontId="5" fillId="0" borderId="13" xfId="7" applyNumberFormat="1" applyFont="1" applyFill="1" applyBorder="1"/>
    <xf numFmtId="188" fontId="5" fillId="0" borderId="0" xfId="7" applyNumberFormat="1" applyFont="1" applyFill="1"/>
    <xf numFmtId="43" fontId="5" fillId="0" borderId="11" xfId="6" applyFont="1" applyFill="1" applyBorder="1"/>
    <xf numFmtId="187" fontId="5" fillId="0" borderId="3" xfId="7" applyNumberFormat="1" applyFont="1" applyFill="1" applyBorder="1"/>
    <xf numFmtId="188" fontId="5" fillId="0" borderId="12" xfId="7" applyNumberFormat="1" applyFont="1" applyFill="1" applyBorder="1" applyAlignment="1">
      <alignment horizontal="center"/>
    </xf>
    <xf numFmtId="188" fontId="6" fillId="0" borderId="10" xfId="7" applyNumberFormat="1" applyFont="1" applyFill="1" applyBorder="1" applyAlignment="1">
      <alignment horizontal="center"/>
    </xf>
    <xf numFmtId="43" fontId="6" fillId="0" borderId="16" xfId="6" applyFont="1" applyFill="1" applyBorder="1"/>
    <xf numFmtId="188" fontId="6" fillId="0" borderId="16" xfId="7" applyNumberFormat="1" applyFont="1" applyFill="1" applyBorder="1"/>
    <xf numFmtId="188" fontId="6" fillId="0" borderId="5" xfId="7" applyNumberFormat="1" applyFont="1" applyFill="1" applyBorder="1" applyAlignment="1">
      <alignment horizontal="center"/>
    </xf>
    <xf numFmtId="43" fontId="6" fillId="0" borderId="17" xfId="6" applyFont="1" applyFill="1" applyBorder="1"/>
    <xf numFmtId="188" fontId="6" fillId="0" borderId="11" xfId="7" applyNumberFormat="1" applyFont="1" applyFill="1" applyBorder="1" applyAlignment="1">
      <alignment horizontal="center"/>
    </xf>
    <xf numFmtId="0" fontId="5" fillId="0" borderId="0" xfId="5" applyFont="1" applyFill="1" applyBorder="1"/>
    <xf numFmtId="0" fontId="5" fillId="0" borderId="6" xfId="5" applyFont="1" applyFill="1" applyBorder="1"/>
    <xf numFmtId="188" fontId="6" fillId="0" borderId="18" xfId="7" quotePrefix="1" applyNumberFormat="1" applyFont="1" applyFill="1" applyBorder="1" applyAlignment="1">
      <alignment vertical="top"/>
    </xf>
    <xf numFmtId="188" fontId="6" fillId="0" borderId="20" xfId="7" quotePrefix="1" applyNumberFormat="1" applyFont="1" applyFill="1" applyBorder="1" applyAlignment="1">
      <alignment vertical="top"/>
    </xf>
    <xf numFmtId="188" fontId="6" fillId="2" borderId="8" xfId="7" applyNumberFormat="1" applyFont="1" applyFill="1" applyBorder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88" fontId="3" fillId="0" borderId="0" xfId="7" applyNumberFormat="1" applyFont="1" applyAlignment="1"/>
    <xf numFmtId="0" fontId="5" fillId="0" borderId="0" xfId="5" applyFont="1" applyAlignment="1">
      <alignment horizontal="center"/>
    </xf>
    <xf numFmtId="188" fontId="3" fillId="0" borderId="0" xfId="7" applyNumberFormat="1" applyFont="1" applyAlignment="1">
      <alignment horizontal="center"/>
    </xf>
    <xf numFmtId="0" fontId="10" fillId="0" borderId="0" xfId="0" applyFont="1" applyAlignment="1">
      <alignment horizontal="center"/>
    </xf>
    <xf numFmtId="43" fontId="10" fillId="0" borderId="0" xfId="11" applyFont="1" applyAlignment="1">
      <alignment horizontal="center"/>
    </xf>
    <xf numFmtId="43" fontId="11" fillId="0" borderId="0" xfId="11" applyFont="1"/>
    <xf numFmtId="0" fontId="11" fillId="0" borderId="0" xfId="0" applyFont="1"/>
    <xf numFmtId="0" fontId="11" fillId="4" borderId="0" xfId="0" applyFont="1" applyFill="1"/>
    <xf numFmtId="0" fontId="11" fillId="0" borderId="0" xfId="0" applyFont="1" applyAlignment="1">
      <alignment horizontal="center"/>
    </xf>
    <xf numFmtId="43" fontId="11" fillId="0" borderId="0" xfId="11" applyFont="1" applyAlignment="1">
      <alignment horizontal="center"/>
    </xf>
    <xf numFmtId="43" fontId="11" fillId="0" borderId="0" xfId="0" applyNumberFormat="1" applyFont="1"/>
    <xf numFmtId="43" fontId="10" fillId="4" borderId="0" xfId="11" applyFont="1" applyFill="1"/>
    <xf numFmtId="43" fontId="10" fillId="4" borderId="0" xfId="0" applyNumberFormat="1" applyFont="1" applyFill="1"/>
    <xf numFmtId="0" fontId="11" fillId="4" borderId="0" xfId="0" applyFont="1" applyFill="1" applyAlignment="1">
      <alignment horizontal="center"/>
    </xf>
    <xf numFmtId="43" fontId="11" fillId="4" borderId="0" xfId="11" applyFont="1" applyFill="1"/>
    <xf numFmtId="43" fontId="11" fillId="4" borderId="0" xfId="11" applyFont="1" applyFill="1" applyAlignment="1">
      <alignment horizontal="center"/>
    </xf>
    <xf numFmtId="43" fontId="10" fillId="0" borderId="0" xfId="11" applyFont="1" applyFill="1"/>
    <xf numFmtId="43" fontId="10" fillId="0" borderId="0" xfId="0" applyNumberFormat="1" applyFont="1" applyFill="1"/>
    <xf numFmtId="0" fontId="12" fillId="0" borderId="0" xfId="0" applyFont="1" applyAlignment="1">
      <alignment horizontal="center"/>
    </xf>
    <xf numFmtId="43" fontId="12" fillId="0" borderId="0" xfId="11" applyFont="1"/>
    <xf numFmtId="43" fontId="12" fillId="0" borderId="0" xfId="11" applyFont="1" applyAlignment="1">
      <alignment horizontal="center"/>
    </xf>
    <xf numFmtId="0" fontId="12" fillId="4" borderId="0" xfId="0" applyFont="1" applyFill="1"/>
    <xf numFmtId="0" fontId="12" fillId="0" borderId="0" xfId="0" applyFont="1"/>
    <xf numFmtId="9" fontId="10" fillId="0" borderId="0" xfId="0" applyNumberFormat="1" applyFont="1" applyFill="1"/>
    <xf numFmtId="43" fontId="11" fillId="0" borderId="0" xfId="0" applyNumberFormat="1" applyFont="1" applyAlignment="1">
      <alignment horizontal="center"/>
    </xf>
    <xf numFmtId="188" fontId="6" fillId="0" borderId="0" xfId="7" applyNumberFormat="1" applyFont="1" applyAlignment="1"/>
    <xf numFmtId="0" fontId="5" fillId="0" borderId="8" xfId="5" applyFont="1" applyBorder="1" applyAlignment="1">
      <alignment horizontal="left"/>
    </xf>
    <xf numFmtId="0" fontId="5" fillId="0" borderId="8" xfId="5" applyFont="1" applyBorder="1" applyAlignment="1">
      <alignment horizontal="center" vertical="center"/>
    </xf>
    <xf numFmtId="4" fontId="5" fillId="0" borderId="8" xfId="5" applyNumberFormat="1" applyFont="1" applyBorder="1"/>
    <xf numFmtId="43" fontId="1" fillId="6" borderId="21" xfId="10" applyFont="1" applyFill="1" applyBorder="1"/>
    <xf numFmtId="0" fontId="5" fillId="0" borderId="0" xfId="0" applyFont="1"/>
    <xf numFmtId="0" fontId="5" fillId="0" borderId="0" xfId="0" applyFont="1" applyBorder="1"/>
    <xf numFmtId="188" fontId="14" fillId="2" borderId="0" xfId="7" quotePrefix="1" applyNumberFormat="1" applyFont="1" applyFill="1" applyBorder="1" applyAlignment="1">
      <alignment horizontal="left" vertical="center"/>
    </xf>
    <xf numFmtId="188" fontId="5" fillId="2" borderId="0" xfId="7" quotePrefix="1" applyNumberFormat="1" applyFont="1" applyFill="1" applyBorder="1" applyAlignment="1"/>
    <xf numFmtId="0" fontId="5" fillId="0" borderId="0" xfId="0" applyFont="1" applyAlignment="1"/>
    <xf numFmtId="0" fontId="15" fillId="0" borderId="0" xfId="5" applyFont="1"/>
    <xf numFmtId="43" fontId="15" fillId="0" borderId="0" xfId="6" applyFont="1"/>
    <xf numFmtId="0" fontId="15" fillId="0" borderId="0" xfId="5" applyFont="1" applyAlignment="1">
      <alignment horizontal="center" vertical="center"/>
    </xf>
    <xf numFmtId="0" fontId="15" fillId="0" borderId="0" xfId="5" applyFont="1" applyAlignment="1">
      <alignment horizontal="left"/>
    </xf>
    <xf numFmtId="0" fontId="1" fillId="0" borderId="0" xfId="5" applyFont="1"/>
    <xf numFmtId="0" fontId="1" fillId="0" borderId="8" xfId="5" applyFont="1" applyBorder="1" applyAlignment="1">
      <alignment horizontal="left"/>
    </xf>
    <xf numFmtId="0" fontId="1" fillId="0" borderId="8" xfId="5" applyFont="1" applyBorder="1"/>
    <xf numFmtId="43" fontId="1" fillId="0" borderId="8" xfId="6" applyFont="1" applyFill="1" applyBorder="1"/>
    <xf numFmtId="0" fontId="1" fillId="0" borderId="8" xfId="5" applyFont="1" applyBorder="1" applyAlignment="1">
      <alignment horizontal="center" vertical="center"/>
    </xf>
    <xf numFmtId="4" fontId="1" fillId="0" borderId="8" xfId="5" applyNumberFormat="1" applyFont="1" applyBorder="1"/>
    <xf numFmtId="0" fontId="1" fillId="0" borderId="9" xfId="5" applyFont="1" applyFill="1" applyBorder="1" applyAlignment="1">
      <alignment horizontal="left"/>
    </xf>
    <xf numFmtId="0" fontId="1" fillId="0" borderId="9" xfId="5" applyFont="1" applyBorder="1"/>
    <xf numFmtId="43" fontId="1" fillId="0" borderId="9" xfId="6" applyFont="1" applyFill="1" applyBorder="1"/>
    <xf numFmtId="0" fontId="1" fillId="0" borderId="9" xfId="5" applyFont="1" applyFill="1" applyBorder="1" applyAlignment="1">
      <alignment horizontal="center" vertical="center"/>
    </xf>
    <xf numFmtId="0" fontId="1" fillId="0" borderId="9" xfId="5" applyFont="1" applyFill="1" applyBorder="1"/>
    <xf numFmtId="0" fontId="1" fillId="0" borderId="9" xfId="5" applyFont="1" applyFill="1" applyBorder="1" applyAlignment="1">
      <alignment horizontal="center"/>
    </xf>
    <xf numFmtId="0" fontId="1" fillId="0" borderId="0" xfId="5" applyFont="1" applyFill="1"/>
    <xf numFmtId="43" fontId="1" fillId="0" borderId="0" xfId="6" applyFont="1" applyFill="1"/>
    <xf numFmtId="0" fontId="1" fillId="0" borderId="0" xfId="5" applyFont="1" applyFill="1" applyAlignment="1">
      <alignment horizontal="center" vertical="center"/>
    </xf>
    <xf numFmtId="0" fontId="15" fillId="0" borderId="10" xfId="5" applyFont="1" applyFill="1" applyBorder="1" applyAlignment="1">
      <alignment horizontal="center" vertical="center"/>
    </xf>
    <xf numFmtId="0" fontId="15" fillId="0" borderId="11" xfId="5" applyFont="1" applyFill="1" applyBorder="1" applyAlignment="1">
      <alignment horizontal="center"/>
    </xf>
    <xf numFmtId="0" fontId="15" fillId="0" borderId="11" xfId="5" applyFont="1" applyFill="1" applyBorder="1" applyAlignment="1">
      <alignment horizontal="center" vertical="center"/>
    </xf>
    <xf numFmtId="0" fontId="15" fillId="0" borderId="3" xfId="5" applyFont="1" applyBorder="1" applyAlignment="1">
      <alignment horizontal="center"/>
    </xf>
    <xf numFmtId="43" fontId="15" fillId="0" borderId="3" xfId="11" applyFont="1" applyBorder="1" applyAlignment="1">
      <alignment horizontal="left" vertical="center"/>
    </xf>
    <xf numFmtId="43" fontId="1" fillId="0" borderId="3" xfId="6" applyFont="1" applyFill="1" applyBorder="1"/>
    <xf numFmtId="0" fontId="1" fillId="0" borderId="3" xfId="5" applyFont="1" applyBorder="1" applyAlignment="1">
      <alignment horizontal="center" vertical="center"/>
    </xf>
    <xf numFmtId="4" fontId="1" fillId="0" borderId="3" xfId="5" applyNumberFormat="1" applyFont="1" applyBorder="1"/>
    <xf numFmtId="0" fontId="1" fillId="0" borderId="27" xfId="5" applyFont="1" applyBorder="1" applyAlignment="1">
      <alignment horizontal="center" vertical="center"/>
    </xf>
    <xf numFmtId="43" fontId="1" fillId="0" borderId="3" xfId="11" applyFont="1" applyBorder="1" applyAlignment="1">
      <alignment horizontal="left" vertical="center"/>
    </xf>
    <xf numFmtId="43" fontId="1" fillId="0" borderId="0" xfId="11" applyFont="1"/>
    <xf numFmtId="0" fontId="1" fillId="0" borderId="0" xfId="5" applyFont="1" applyAlignment="1">
      <alignment horizontal="center" vertical="center"/>
    </xf>
    <xf numFmtId="4" fontId="1" fillId="0" borderId="0" xfId="5" applyNumberFormat="1" applyFont="1"/>
    <xf numFmtId="0" fontId="1" fillId="0" borderId="6" xfId="5" applyFont="1" applyBorder="1" applyAlignment="1">
      <alignment horizontal="center" vertical="center"/>
    </xf>
    <xf numFmtId="0" fontId="15" fillId="0" borderId="2" xfId="5" applyFont="1" applyBorder="1" applyAlignment="1">
      <alignment horizontal="center"/>
    </xf>
    <xf numFmtId="43" fontId="1" fillId="0" borderId="2" xfId="11" applyFont="1" applyBorder="1" applyAlignment="1">
      <alignment horizontal="left" vertical="center"/>
    </xf>
    <xf numFmtId="43" fontId="1" fillId="0" borderId="2" xfId="6" applyFont="1" applyFill="1" applyBorder="1"/>
    <xf numFmtId="0" fontId="1" fillId="0" borderId="2" xfId="5" applyFont="1" applyBorder="1" applyAlignment="1">
      <alignment horizontal="center" vertical="center"/>
    </xf>
    <xf numFmtId="4" fontId="1" fillId="0" borderId="2" xfId="5" applyNumberFormat="1" applyFont="1" applyBorder="1"/>
    <xf numFmtId="0" fontId="1" fillId="0" borderId="2" xfId="5" applyFont="1" applyBorder="1"/>
    <xf numFmtId="43" fontId="1" fillId="0" borderId="2" xfId="11" applyFont="1" applyBorder="1"/>
    <xf numFmtId="4" fontId="15" fillId="0" borderId="0" xfId="5" applyNumberFormat="1" applyFont="1"/>
    <xf numFmtId="4" fontId="15" fillId="0" borderId="0" xfId="5" applyNumberFormat="1" applyFont="1" applyAlignment="1">
      <alignment horizontal="left"/>
    </xf>
    <xf numFmtId="0" fontId="15" fillId="0" borderId="0" xfId="5" applyFont="1" applyAlignment="1">
      <alignment horizontal="center"/>
    </xf>
    <xf numFmtId="43" fontId="15" fillId="0" borderId="0" xfId="6" applyFont="1" applyAlignment="1">
      <alignment horizontal="center"/>
    </xf>
    <xf numFmtId="4" fontId="15" fillId="0" borderId="0" xfId="5" applyNumberFormat="1" applyFont="1" applyAlignment="1">
      <alignment horizontal="center"/>
    </xf>
    <xf numFmtId="0" fontId="1" fillId="0" borderId="9" xfId="5" applyFont="1" applyBorder="1" applyAlignment="1">
      <alignment horizontal="left"/>
    </xf>
    <xf numFmtId="0" fontId="1" fillId="0" borderId="9" xfId="5" applyFont="1" applyBorder="1" applyAlignment="1">
      <alignment horizontal="center" vertical="center"/>
    </xf>
    <xf numFmtId="4" fontId="1" fillId="0" borderId="9" xfId="5" applyNumberFormat="1" applyFont="1" applyBorder="1"/>
    <xf numFmtId="4" fontId="15" fillId="0" borderId="10" xfId="5" applyNumberFormat="1" applyFont="1" applyBorder="1" applyAlignment="1">
      <alignment horizontal="center" vertical="center"/>
    </xf>
    <xf numFmtId="4" fontId="15" fillId="0" borderId="11" xfId="5" applyNumberFormat="1" applyFont="1" applyBorder="1" applyAlignment="1">
      <alignment horizontal="center"/>
    </xf>
    <xf numFmtId="4" fontId="15" fillId="0" borderId="11" xfId="5" applyNumberFormat="1" applyFont="1" applyBorder="1" applyAlignment="1">
      <alignment horizontal="center" vertical="center"/>
    </xf>
    <xf numFmtId="0" fontId="1" fillId="0" borderId="1" xfId="5" applyFont="1" applyBorder="1"/>
    <xf numFmtId="0" fontId="1" fillId="0" borderId="27" xfId="5" applyFont="1" applyBorder="1"/>
    <xf numFmtId="43" fontId="1" fillId="0" borderId="22" xfId="11" applyFont="1" applyBorder="1"/>
    <xf numFmtId="43" fontId="1" fillId="0" borderId="22" xfId="6" applyFont="1" applyFill="1" applyBorder="1"/>
    <xf numFmtId="0" fontId="1" fillId="0" borderId="3" xfId="5" applyFont="1" applyBorder="1"/>
    <xf numFmtId="0" fontId="1" fillId="0" borderId="2" xfId="0" applyFont="1" applyBorder="1" applyAlignment="1">
      <alignment horizontal="center"/>
    </xf>
    <xf numFmtId="43" fontId="1" fillId="0" borderId="23" xfId="11" applyFont="1" applyBorder="1"/>
    <xf numFmtId="43" fontId="1" fillId="0" borderId="23" xfId="1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43" fontId="1" fillId="0" borderId="3" xfId="10" applyFont="1" applyFill="1" applyBorder="1" applyAlignment="1">
      <alignment horizontal="center"/>
    </xf>
    <xf numFmtId="43" fontId="1" fillId="0" borderId="3" xfId="10" applyFont="1" applyFill="1" applyBorder="1"/>
    <xf numFmtId="43" fontId="1" fillId="0" borderId="8" xfId="10" applyFont="1" applyFill="1" applyBorder="1"/>
    <xf numFmtId="0" fontId="16" fillId="0" borderId="1" xfId="0" applyFont="1" applyBorder="1"/>
    <xf numFmtId="0" fontId="16" fillId="0" borderId="0" xfId="0" applyFont="1"/>
    <xf numFmtId="0" fontId="1" fillId="0" borderId="21" xfId="0" applyFont="1" applyBorder="1" applyAlignment="1">
      <alignment horizontal="center"/>
    </xf>
    <xf numFmtId="43" fontId="1" fillId="0" borderId="24" xfId="11" applyFont="1" applyBorder="1"/>
    <xf numFmtId="43" fontId="1" fillId="0" borderId="21" xfId="10" applyFont="1" applyFill="1" applyBorder="1" applyAlignment="1">
      <alignment horizontal="center"/>
    </xf>
    <xf numFmtId="43" fontId="1" fillId="0" borderId="21" xfId="10" applyFont="1" applyFill="1" applyBorder="1"/>
    <xf numFmtId="43" fontId="1" fillId="0" borderId="25" xfId="10" applyFont="1" applyFill="1" applyBorder="1"/>
    <xf numFmtId="0" fontId="1" fillId="0" borderId="5" xfId="0" applyFont="1" applyBorder="1" applyAlignment="1">
      <alignment horizontal="center"/>
    </xf>
    <xf numFmtId="0" fontId="1" fillId="6" borderId="21" xfId="0" applyFont="1" applyFill="1" applyBorder="1" applyAlignment="1">
      <alignment horizontal="center"/>
    </xf>
    <xf numFmtId="0" fontId="15" fillId="6" borderId="24" xfId="0" applyFont="1" applyFill="1" applyBorder="1" applyAlignment="1">
      <alignment horizontal="center"/>
    </xf>
    <xf numFmtId="43" fontId="1" fillId="6" borderId="24" xfId="10" applyFont="1" applyFill="1" applyBorder="1" applyAlignment="1">
      <alignment horizontal="center"/>
    </xf>
    <xf numFmtId="43" fontId="1" fillId="6" borderId="21" xfId="10" applyFont="1" applyFill="1" applyBorder="1" applyAlignment="1">
      <alignment horizontal="center"/>
    </xf>
    <xf numFmtId="43" fontId="15" fillId="6" borderId="21" xfId="10" applyFont="1" applyFill="1" applyBorder="1"/>
    <xf numFmtId="0" fontId="16" fillId="6" borderId="1" xfId="0" applyFont="1" applyFill="1" applyBorder="1"/>
    <xf numFmtId="0" fontId="16" fillId="6" borderId="0" xfId="0" applyFont="1" applyFill="1"/>
    <xf numFmtId="0" fontId="1" fillId="5" borderId="26" xfId="5" applyFont="1" applyFill="1" applyBorder="1"/>
    <xf numFmtId="4" fontId="17" fillId="5" borderId="26" xfId="6" applyNumberFormat="1" applyFont="1" applyFill="1" applyBorder="1"/>
    <xf numFmtId="188" fontId="7" fillId="0" borderId="19" xfId="7" quotePrefix="1" applyNumberFormat="1" applyFont="1" applyFill="1" applyBorder="1" applyAlignment="1">
      <alignment vertical="top"/>
    </xf>
    <xf numFmtId="188" fontId="6" fillId="0" borderId="0" xfId="7" applyNumberFormat="1" applyFont="1" applyAlignment="1">
      <alignment horizontal="right"/>
    </xf>
    <xf numFmtId="0" fontId="5" fillId="0" borderId="9" xfId="5" applyFont="1" applyBorder="1"/>
    <xf numFmtId="43" fontId="15" fillId="6" borderId="25" xfId="10" applyFont="1" applyFill="1" applyBorder="1"/>
    <xf numFmtId="43" fontId="15" fillId="6" borderId="21" xfId="10" applyFont="1" applyFill="1" applyBorder="1" applyAlignment="1">
      <alignment horizontal="center"/>
    </xf>
    <xf numFmtId="0" fontId="1" fillId="5" borderId="26" xfId="5" applyFont="1" applyFill="1" applyBorder="1" applyAlignment="1">
      <alignment horizontal="center" vertical="center"/>
    </xf>
    <xf numFmtId="43" fontId="1" fillId="7" borderId="2" xfId="11" applyFont="1" applyFill="1" applyBorder="1"/>
    <xf numFmtId="43" fontId="1" fillId="7" borderId="2" xfId="6" applyFont="1" applyFill="1" applyBorder="1"/>
    <xf numFmtId="0" fontId="1" fillId="7" borderId="2" xfId="5" applyFont="1" applyFill="1" applyBorder="1" applyAlignment="1">
      <alignment horizontal="center" vertical="center"/>
    </xf>
    <xf numFmtId="43" fontId="1" fillId="7" borderId="0" xfId="6" applyFont="1" applyFill="1"/>
    <xf numFmtId="0" fontId="1" fillId="7" borderId="0" xfId="5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7" fillId="5" borderId="26" xfId="5" applyFont="1" applyFill="1" applyBorder="1" applyAlignment="1">
      <alignment horizontal="center"/>
    </xf>
    <xf numFmtId="0" fontId="15" fillId="0" borderId="0" xfId="5" applyFont="1" applyAlignment="1">
      <alignment horizontal="center"/>
    </xf>
    <xf numFmtId="0" fontId="1" fillId="0" borderId="9" xfId="5" applyFont="1" applyFill="1" applyBorder="1" applyAlignment="1">
      <alignment horizontal="left" vertical="center"/>
    </xf>
    <xf numFmtId="0" fontId="15" fillId="0" borderId="10" xfId="5" applyFont="1" applyBorder="1" applyAlignment="1">
      <alignment horizontal="center" vertical="center"/>
    </xf>
    <xf numFmtId="0" fontId="15" fillId="0" borderId="11" xfId="5" applyFont="1" applyBorder="1" applyAlignment="1">
      <alignment vertical="center"/>
    </xf>
    <xf numFmtId="43" fontId="15" fillId="0" borderId="10" xfId="6" applyFont="1" applyFill="1" applyBorder="1" applyAlignment="1">
      <alignment horizontal="center" vertical="center"/>
    </xf>
    <xf numFmtId="43" fontId="15" fillId="0" borderId="11" xfId="6" applyFont="1" applyFill="1" applyBorder="1" applyAlignment="1">
      <alignment vertical="center"/>
    </xf>
    <xf numFmtId="0" fontId="15" fillId="0" borderId="11" xfId="5" applyFont="1" applyBorder="1" applyAlignment="1">
      <alignment horizontal="center" vertical="center"/>
    </xf>
    <xf numFmtId="4" fontId="15" fillId="0" borderId="16" xfId="5" applyNumberFormat="1" applyFont="1" applyBorder="1" applyAlignment="1">
      <alignment horizontal="center"/>
    </xf>
    <xf numFmtId="0" fontId="15" fillId="0" borderId="10" xfId="5" applyFont="1" applyFill="1" applyBorder="1" applyAlignment="1">
      <alignment horizontal="center" vertical="center"/>
    </xf>
    <xf numFmtId="0" fontId="15" fillId="0" borderId="11" xfId="5" applyFont="1" applyFill="1" applyBorder="1" applyAlignment="1">
      <alignment vertical="center"/>
    </xf>
    <xf numFmtId="0" fontId="15" fillId="0" borderId="11" xfId="5" applyFont="1" applyFill="1" applyBorder="1" applyAlignment="1">
      <alignment horizontal="center" vertical="center"/>
    </xf>
    <xf numFmtId="0" fontId="15" fillId="0" borderId="16" xfId="5" applyFont="1" applyFill="1" applyBorder="1" applyAlignment="1">
      <alignment horizontal="center"/>
    </xf>
    <xf numFmtId="188" fontId="6" fillId="2" borderId="0" xfId="7" applyNumberFormat="1" applyFont="1" applyFill="1" applyAlignment="1">
      <alignment horizontal="center"/>
    </xf>
    <xf numFmtId="188" fontId="6" fillId="0" borderId="10" xfId="7" applyNumberFormat="1" applyFont="1" applyFill="1" applyBorder="1" applyAlignment="1">
      <alignment horizontal="center" vertical="center"/>
    </xf>
    <xf numFmtId="0" fontId="6" fillId="0" borderId="11" xfId="5" applyFont="1" applyFill="1" applyBorder="1" applyAlignment="1">
      <alignment vertical="center"/>
    </xf>
    <xf numFmtId="188" fontId="6" fillId="0" borderId="11" xfId="7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188" fontId="5" fillId="0" borderId="0" xfId="7" applyNumberFormat="1" applyFont="1" applyAlignment="1">
      <alignment horizontal="center"/>
    </xf>
    <xf numFmtId="188" fontId="6" fillId="0" borderId="14" xfId="7" applyNumberFormat="1" applyFont="1" applyFill="1" applyBorder="1" applyAlignment="1">
      <alignment horizontal="right"/>
    </xf>
    <xf numFmtId="188" fontId="6" fillId="0" borderId="15" xfId="7" applyNumberFormat="1" applyFont="1" applyFill="1" applyBorder="1" applyAlignment="1">
      <alignment horizontal="right"/>
    </xf>
    <xf numFmtId="188" fontId="5" fillId="0" borderId="0" xfId="7" applyNumberFormat="1" applyFont="1" applyAlignment="1">
      <alignment horizontal="left" vertical="center"/>
    </xf>
    <xf numFmtId="188" fontId="13" fillId="2" borderId="0" xfId="7" quotePrefix="1" applyNumberFormat="1" applyFont="1" applyFill="1" applyBorder="1" applyAlignment="1">
      <alignment horizontal="left" vertical="center"/>
    </xf>
    <xf numFmtId="188" fontId="5" fillId="2" borderId="0" xfId="7" quotePrefix="1" applyNumberFormat="1" applyFont="1" applyFill="1" applyBorder="1" applyAlignment="1">
      <alignment horizontal="center"/>
    </xf>
    <xf numFmtId="188" fontId="6" fillId="0" borderId="0" xfId="7" applyNumberFormat="1" applyFont="1" applyAlignment="1">
      <alignment horizontal="center"/>
    </xf>
    <xf numFmtId="0" fontId="6" fillId="0" borderId="11" xfId="5" applyFont="1" applyFill="1" applyBorder="1" applyAlignment="1">
      <alignment horizontal="center" vertical="center"/>
    </xf>
    <xf numFmtId="0" fontId="5" fillId="0" borderId="0" xfId="5" applyFont="1" applyAlignment="1">
      <alignment horizontal="center"/>
    </xf>
    <xf numFmtId="188" fontId="6" fillId="0" borderId="5" xfId="7" applyNumberFormat="1" applyFont="1" applyFill="1" applyBorder="1" applyAlignment="1">
      <alignment horizontal="center" vertical="center"/>
    </xf>
    <xf numFmtId="188" fontId="3" fillId="0" borderId="0" xfId="7" applyNumberFormat="1" applyFont="1" applyAlignment="1">
      <alignment horizontal="center"/>
    </xf>
  </cellXfs>
  <cellStyles count="12">
    <cellStyle name="Comma 10" xfId="9"/>
    <cellStyle name="Comma 2" xfId="6"/>
    <cellStyle name="Comma 2 2" xfId="10"/>
    <cellStyle name="Comma 4" xfId="1"/>
    <cellStyle name="Normal 2" xfId="5"/>
    <cellStyle name="Normal 8" xfId="8"/>
    <cellStyle name="เครื่องหมายจุลภาค" xfId="11" builtinId="3"/>
    <cellStyle name="เครื่องหมายจุลภาค 2" xfId="2"/>
    <cellStyle name="เครื่องหมายสกุลเงิน [0]_PERSONAL" xfId="7"/>
    <cellStyle name="ปกติ" xfId="0" builtinId="0"/>
    <cellStyle name="ปกติ 2" xfId="3"/>
    <cellStyle name="ปกติ 2 3" xfId="4"/>
  </cellStyles>
  <dxfs count="0"/>
  <tableStyles count="0" defaultTableStyle="TableStyleMedium9" defaultPivotStyle="PivotStyleLight16"/>
  <colors>
    <mruColors>
      <color rgb="FF000000"/>
      <color rgb="FF0000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ukul\My%20Documents\&#3585;&#3619;&#3619;&#3617;&#3585;&#3634;&#3619;&#3585;&#3635;&#3627;&#3609;&#3604;&#3619;&#3634;&#3588;&#3634;&#3585;&#3621;&#3634;&#3591;%20&#3592;.&#3629;&#3640;&#3610;&#3621;\Documents%20and%20Settings\Administrator\My%20Documents\&#3626;&#3635;&#3648;&#3609;&#3634;&#3586;&#3629;&#3591;%20&#3619;&#3634;&#3588;&#3634;&#3585;&#3621;&#3634;&#3591;_&#3624;&#3634;&#3621;&#3611;&#3585;&#3588;&#3619;&#3629;&#3591;&#3626;&#3591;&#3586;&#3621;&#363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"/>
      <sheetName val="อาคาร"/>
      <sheetName val="ภูมิทัศน์"/>
      <sheetName val="เครื่องเสียง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"/>
  <sheetViews>
    <sheetView topLeftCell="A76" workbookViewId="0">
      <selection activeCell="C91" sqref="C91"/>
    </sheetView>
  </sheetViews>
  <sheetFormatPr defaultColWidth="8.75" defaultRowHeight="21.75" x14ac:dyDescent="0.5"/>
  <cols>
    <col min="1" max="1" width="6.25" style="63" customWidth="1"/>
    <col min="2" max="2" width="35.25" style="60" customWidth="1"/>
    <col min="3" max="3" width="9.375" style="64" customWidth="1"/>
    <col min="4" max="4" width="8.75" style="63"/>
    <col min="5" max="7" width="8.75" style="60"/>
    <col min="8" max="8" width="8.75" style="61"/>
    <col min="9" max="9" width="1.625" style="62" customWidth="1"/>
    <col min="10" max="16384" width="8.75" style="61"/>
  </cols>
  <sheetData>
    <row r="1" spans="1:11" x14ac:dyDescent="0.5">
      <c r="A1" s="58" t="s">
        <v>39</v>
      </c>
      <c r="B1" s="59" t="s">
        <v>1</v>
      </c>
      <c r="C1" s="59" t="s">
        <v>2</v>
      </c>
      <c r="D1" s="58" t="s">
        <v>3</v>
      </c>
      <c r="J1" s="58" t="s">
        <v>40</v>
      </c>
      <c r="K1" s="58" t="s">
        <v>41</v>
      </c>
    </row>
    <row r="2" spans="1:11" x14ac:dyDescent="0.5">
      <c r="A2" s="63">
        <v>1</v>
      </c>
      <c r="B2" s="60" t="s">
        <v>42</v>
      </c>
      <c r="C2" s="64">
        <v>24</v>
      </c>
      <c r="D2" s="63" t="s">
        <v>17</v>
      </c>
      <c r="J2" s="60">
        <v>7850.47</v>
      </c>
    </row>
    <row r="3" spans="1:11" x14ac:dyDescent="0.5">
      <c r="B3" s="60" t="s">
        <v>43</v>
      </c>
      <c r="C3" s="64">
        <v>4</v>
      </c>
      <c r="D3" s="63" t="s">
        <v>17</v>
      </c>
    </row>
    <row r="4" spans="1:11" x14ac:dyDescent="0.5">
      <c r="E4" s="60" t="s">
        <v>44</v>
      </c>
      <c r="F4" s="60" t="s">
        <v>45</v>
      </c>
      <c r="G4" s="64" t="s">
        <v>46</v>
      </c>
      <c r="H4" s="64" t="s">
        <v>47</v>
      </c>
      <c r="J4" s="63" t="s">
        <v>76</v>
      </c>
    </row>
    <row r="5" spans="1:11" x14ac:dyDescent="0.5">
      <c r="A5" s="63">
        <v>2</v>
      </c>
      <c r="B5" s="60" t="s">
        <v>48</v>
      </c>
      <c r="C5" s="64">
        <f>(3*8)+(6*6)</f>
        <v>60</v>
      </c>
      <c r="D5" s="63" t="s">
        <v>49</v>
      </c>
      <c r="E5" s="60">
        <f>1.4*(60/0.2)</f>
        <v>420</v>
      </c>
      <c r="F5" s="60">
        <f>4*C5</f>
        <v>240</v>
      </c>
      <c r="G5" s="60">
        <f>0.499*E5</f>
        <v>209.58</v>
      </c>
      <c r="H5" s="65">
        <f>1.58*F5</f>
        <v>379.20000000000005</v>
      </c>
      <c r="J5" s="65">
        <f>0.12*C5</f>
        <v>7.1999999999999993</v>
      </c>
    </row>
    <row r="6" spans="1:11" x14ac:dyDescent="0.5">
      <c r="B6" s="60" t="s">
        <v>50</v>
      </c>
      <c r="C6" s="64">
        <f>(20*4)</f>
        <v>80</v>
      </c>
      <c r="D6" s="63" t="s">
        <v>49</v>
      </c>
      <c r="E6" s="60">
        <f>1.6*(80/0.2)</f>
        <v>640</v>
      </c>
      <c r="F6" s="60">
        <f>8*C6</f>
        <v>640</v>
      </c>
      <c r="G6" s="60">
        <f>0.499*E6</f>
        <v>319.36</v>
      </c>
      <c r="H6" s="65">
        <f t="shared" ref="H6:H7" si="0">1.58*F6</f>
        <v>1011.2</v>
      </c>
      <c r="J6" s="65">
        <f>0.13*C6</f>
        <v>10.4</v>
      </c>
    </row>
    <row r="7" spans="1:11" x14ac:dyDescent="0.5">
      <c r="B7" s="60" t="s">
        <v>51</v>
      </c>
      <c r="C7" s="64">
        <f>(4*6)</f>
        <v>24</v>
      </c>
      <c r="D7" s="63" t="s">
        <v>49</v>
      </c>
      <c r="E7" s="60">
        <f>1.3*(24/0.2)</f>
        <v>156</v>
      </c>
      <c r="F7" s="60">
        <f>6*C7</f>
        <v>144</v>
      </c>
      <c r="G7" s="60">
        <f>0.499*E7</f>
        <v>77.843999999999994</v>
      </c>
      <c r="H7" s="65">
        <f t="shared" si="0"/>
        <v>227.52</v>
      </c>
      <c r="J7" s="65">
        <f>0.1*C7</f>
        <v>2.4000000000000004</v>
      </c>
    </row>
    <row r="8" spans="1:11" x14ac:dyDescent="0.5">
      <c r="G8" s="66">
        <f>SUM(G5:G7)</f>
        <v>606.78400000000011</v>
      </c>
      <c r="H8" s="66">
        <f>SUM(H5:H7)</f>
        <v>1617.92</v>
      </c>
      <c r="J8" s="67">
        <f>J5+J6+J7+J20</f>
        <v>29.700000000000003</v>
      </c>
    </row>
    <row r="9" spans="1:11" x14ac:dyDescent="0.5">
      <c r="G9" s="71"/>
      <c r="H9" s="71"/>
      <c r="J9" s="72"/>
    </row>
    <row r="10" spans="1:11" x14ac:dyDescent="0.5">
      <c r="B10" s="60" t="s">
        <v>81</v>
      </c>
      <c r="E10" s="64" t="s">
        <v>10</v>
      </c>
      <c r="G10" s="71"/>
      <c r="H10" s="71"/>
      <c r="J10" s="72"/>
    </row>
    <row r="11" spans="1:11" x14ac:dyDescent="0.5">
      <c r="B11" s="60" t="s">
        <v>48</v>
      </c>
      <c r="E11" s="60">
        <f>1*C5</f>
        <v>60</v>
      </c>
      <c r="F11" s="60">
        <f>1/0.15</f>
        <v>6.666666666666667</v>
      </c>
      <c r="G11" s="71"/>
      <c r="H11" s="71">
        <f>7*1*6*C5</f>
        <v>2520</v>
      </c>
      <c r="J11" s="72"/>
    </row>
    <row r="12" spans="1:11" x14ac:dyDescent="0.5">
      <c r="B12" s="60" t="s">
        <v>50</v>
      </c>
      <c r="E12" s="60">
        <f>1.35*C6</f>
        <v>108</v>
      </c>
      <c r="F12" s="60">
        <f>1.35/0.15</f>
        <v>9.0000000000000018</v>
      </c>
      <c r="G12" s="71"/>
      <c r="H12" s="71">
        <f>9*1*6*C6</f>
        <v>4320</v>
      </c>
      <c r="J12" s="72"/>
    </row>
    <row r="13" spans="1:11" x14ac:dyDescent="0.5">
      <c r="B13" s="60" t="s">
        <v>51</v>
      </c>
      <c r="E13" s="60">
        <f>1.05*C7</f>
        <v>25.200000000000003</v>
      </c>
      <c r="F13" s="60">
        <f>1.05/0.15</f>
        <v>7.0000000000000009</v>
      </c>
      <c r="G13" s="71"/>
      <c r="H13" s="71">
        <f>7*1*6*C7</f>
        <v>1008</v>
      </c>
      <c r="J13" s="72"/>
    </row>
    <row r="14" spans="1:11" x14ac:dyDescent="0.5">
      <c r="B14" s="60" t="s">
        <v>9</v>
      </c>
      <c r="C14" s="64">
        <f>E14*0.25</f>
        <v>48.3</v>
      </c>
      <c r="E14" s="66">
        <f>SUM(E11:E13)</f>
        <v>193.2</v>
      </c>
      <c r="F14" s="64" t="s">
        <v>10</v>
      </c>
      <c r="G14" s="71"/>
      <c r="H14" s="71">
        <f>SUM(H11:H13)</f>
        <v>7848</v>
      </c>
      <c r="J14" s="63" t="s">
        <v>37</v>
      </c>
    </row>
    <row r="15" spans="1:11" x14ac:dyDescent="0.5">
      <c r="B15" s="60" t="s">
        <v>82</v>
      </c>
      <c r="D15" s="79">
        <f>E14*0.3</f>
        <v>57.959999999999994</v>
      </c>
      <c r="E15" s="66">
        <f>H15*0.3</f>
        <v>706.32</v>
      </c>
      <c r="F15" s="63" t="s">
        <v>37</v>
      </c>
      <c r="G15" s="71"/>
      <c r="H15" s="71">
        <f>H14*0.3</f>
        <v>2354.4</v>
      </c>
      <c r="J15" s="78">
        <v>0.3</v>
      </c>
    </row>
    <row r="16" spans="1:11" x14ac:dyDescent="0.5">
      <c r="E16" s="66"/>
      <c r="G16" s="71"/>
      <c r="H16" s="71"/>
      <c r="J16" s="72"/>
    </row>
    <row r="17" spans="1:14" x14ac:dyDescent="0.5">
      <c r="G17" s="71"/>
      <c r="H17" s="71"/>
      <c r="J17" s="72"/>
    </row>
    <row r="18" spans="1:14" x14ac:dyDescent="0.5">
      <c r="A18" s="63">
        <v>3</v>
      </c>
      <c r="B18" s="60" t="s">
        <v>52</v>
      </c>
      <c r="C18" s="64">
        <v>194</v>
      </c>
      <c r="D18" s="63" t="s">
        <v>10</v>
      </c>
    </row>
    <row r="19" spans="1:14" x14ac:dyDescent="0.5">
      <c r="B19" s="60" t="s">
        <v>53</v>
      </c>
      <c r="C19" s="64">
        <v>194</v>
      </c>
      <c r="D19" s="63" t="s">
        <v>10</v>
      </c>
    </row>
    <row r="20" spans="1:14" x14ac:dyDescent="0.5">
      <c r="B20" s="60" t="s">
        <v>54</v>
      </c>
      <c r="C20" s="64">
        <v>194</v>
      </c>
      <c r="D20" s="63" t="s">
        <v>10</v>
      </c>
      <c r="J20" s="65">
        <f>0.05*C20</f>
        <v>9.7000000000000011</v>
      </c>
    </row>
    <row r="21" spans="1:14" x14ac:dyDescent="0.5">
      <c r="B21" s="60" t="s">
        <v>55</v>
      </c>
      <c r="C21" s="64">
        <v>112.5</v>
      </c>
      <c r="D21" s="63" t="s">
        <v>10</v>
      </c>
    </row>
    <row r="22" spans="1:14" x14ac:dyDescent="0.5">
      <c r="B22" s="60" t="s">
        <v>56</v>
      </c>
      <c r="C22" s="64">
        <f>194-112.5</f>
        <v>81.5</v>
      </c>
      <c r="D22" s="63" t="s">
        <v>10</v>
      </c>
    </row>
    <row r="23" spans="1:14" x14ac:dyDescent="0.5">
      <c r="B23" s="60" t="s">
        <v>57</v>
      </c>
      <c r="C23" s="64">
        <f>(3*12)+(21*4)+(3*12)+(21*4)+(3*12)+(0.5*17)+(0.5*42)+(0.5*17)+(0.5*42)+(0.5*17)</f>
        <v>343.5</v>
      </c>
      <c r="D23" s="63" t="s">
        <v>49</v>
      </c>
    </row>
    <row r="24" spans="1:14" x14ac:dyDescent="0.5">
      <c r="J24" s="58" t="s">
        <v>2</v>
      </c>
    </row>
    <row r="25" spans="1:14" x14ac:dyDescent="0.5">
      <c r="A25" s="63">
        <v>4</v>
      </c>
      <c r="B25" s="60" t="s">
        <v>58</v>
      </c>
      <c r="E25" s="64" t="s">
        <v>68</v>
      </c>
      <c r="F25" s="64" t="s">
        <v>8</v>
      </c>
      <c r="J25" s="182">
        <v>36</v>
      </c>
      <c r="K25" s="64" t="s">
        <v>68</v>
      </c>
      <c r="L25" s="64" t="s">
        <v>8</v>
      </c>
      <c r="M25" s="63" t="s">
        <v>37</v>
      </c>
    </row>
    <row r="26" spans="1:14" x14ac:dyDescent="0.5">
      <c r="B26" s="60" t="s">
        <v>59</v>
      </c>
      <c r="C26" s="64">
        <f>0.9*4</f>
        <v>3.6</v>
      </c>
      <c r="D26" s="63" t="s">
        <v>49</v>
      </c>
      <c r="E26" s="64">
        <f>0.3*C26</f>
        <v>1.08</v>
      </c>
      <c r="F26" s="64">
        <f>7*C26</f>
        <v>25.2</v>
      </c>
      <c r="J26" s="182"/>
      <c r="K26" s="64">
        <f>E26*J25</f>
        <v>38.880000000000003</v>
      </c>
      <c r="L26" s="64">
        <f>F26*J25</f>
        <v>907.19999999999993</v>
      </c>
      <c r="M26" s="63" t="s">
        <v>69</v>
      </c>
    </row>
    <row r="27" spans="1:14" x14ac:dyDescent="0.5">
      <c r="B27" s="60" t="s">
        <v>60</v>
      </c>
      <c r="C27" s="64">
        <f>(0.15*4)*2</f>
        <v>1.2</v>
      </c>
      <c r="D27" s="63" t="s">
        <v>49</v>
      </c>
      <c r="E27" s="64">
        <f>0.1*C27</f>
        <v>0.12</v>
      </c>
      <c r="F27" s="64">
        <f>0.87*C27</f>
        <v>1.044</v>
      </c>
      <c r="J27" s="182"/>
      <c r="K27" s="64">
        <f>E27*J25</f>
        <v>4.32</v>
      </c>
      <c r="L27" s="64">
        <f>F27*J25</f>
        <v>37.584000000000003</v>
      </c>
      <c r="M27" s="63" t="s">
        <v>69</v>
      </c>
    </row>
    <row r="28" spans="1:14" x14ac:dyDescent="0.5">
      <c r="B28" s="60" t="s">
        <v>61</v>
      </c>
      <c r="C28" s="64">
        <f>0.2*4</f>
        <v>0.8</v>
      </c>
      <c r="D28" s="63" t="s">
        <v>49</v>
      </c>
      <c r="E28" s="64">
        <f>0.2*C28</f>
        <v>0.16000000000000003</v>
      </c>
      <c r="F28" s="64">
        <f>4.5*C28</f>
        <v>3.6</v>
      </c>
      <c r="J28" s="182"/>
      <c r="K28" s="64">
        <f>E28*J25</f>
        <v>5.7600000000000016</v>
      </c>
      <c r="L28" s="64">
        <f>F28*J25</f>
        <v>129.6</v>
      </c>
      <c r="M28" s="63" t="s">
        <v>69</v>
      </c>
    </row>
    <row r="29" spans="1:14" x14ac:dyDescent="0.5">
      <c r="B29" s="60" t="s">
        <v>62</v>
      </c>
      <c r="C29" s="64">
        <v>2</v>
      </c>
      <c r="D29" s="63" t="s">
        <v>63</v>
      </c>
      <c r="E29" s="60" t="s">
        <v>64</v>
      </c>
      <c r="F29" s="60" t="s">
        <v>65</v>
      </c>
      <c r="J29" s="182"/>
      <c r="K29" s="64">
        <f>0.2*0.2*J25*2</f>
        <v>2.8800000000000008</v>
      </c>
      <c r="L29" s="63" t="s">
        <v>69</v>
      </c>
      <c r="M29" s="65">
        <f>H29*J26</f>
        <v>0</v>
      </c>
    </row>
    <row r="30" spans="1:14" x14ac:dyDescent="0.5">
      <c r="F30" s="60" t="s">
        <v>11</v>
      </c>
      <c r="N30" s="61" t="s">
        <v>66</v>
      </c>
    </row>
    <row r="31" spans="1:14" x14ac:dyDescent="0.5">
      <c r="B31" s="60" t="s">
        <v>67</v>
      </c>
      <c r="E31" s="64" t="s">
        <v>68</v>
      </c>
      <c r="F31" s="64" t="s">
        <v>8</v>
      </c>
      <c r="G31" s="64"/>
      <c r="H31" s="63" t="s">
        <v>37</v>
      </c>
      <c r="J31" s="58" t="s">
        <v>2</v>
      </c>
      <c r="K31" s="64" t="s">
        <v>68</v>
      </c>
      <c r="L31" s="64" t="s">
        <v>8</v>
      </c>
      <c r="M31" s="63" t="s">
        <v>37</v>
      </c>
    </row>
    <row r="32" spans="1:14" x14ac:dyDescent="0.5">
      <c r="B32" s="60" t="s">
        <v>59</v>
      </c>
      <c r="C32" s="64">
        <f>0.9*6</f>
        <v>5.4</v>
      </c>
      <c r="D32" s="63" t="s">
        <v>49</v>
      </c>
      <c r="E32" s="64">
        <f>0.3*C32</f>
        <v>1.62</v>
      </c>
      <c r="F32" s="64">
        <f>7*C32</f>
        <v>37.800000000000004</v>
      </c>
      <c r="G32" s="64"/>
      <c r="H32" s="63" t="s">
        <v>69</v>
      </c>
      <c r="J32" s="182">
        <v>16</v>
      </c>
      <c r="K32" s="64">
        <f>E32*J32</f>
        <v>25.92</v>
      </c>
      <c r="L32" s="64">
        <f>F32*J32</f>
        <v>604.80000000000007</v>
      </c>
      <c r="M32" s="63" t="s">
        <v>69</v>
      </c>
    </row>
    <row r="33" spans="1:13" x14ac:dyDescent="0.5">
      <c r="B33" s="60" t="s">
        <v>60</v>
      </c>
      <c r="C33" s="64">
        <f>(0.85*12)+(0.15*3)</f>
        <v>10.649999999999999</v>
      </c>
      <c r="D33" s="63" t="s">
        <v>49</v>
      </c>
      <c r="E33" s="64">
        <f>0.1*C33</f>
        <v>1.0649999999999999</v>
      </c>
      <c r="F33" s="64">
        <f>0.87*C33</f>
        <v>9.2654999999999994</v>
      </c>
      <c r="G33" s="64"/>
      <c r="H33" s="63" t="s">
        <v>69</v>
      </c>
      <c r="J33" s="182"/>
      <c r="K33" s="64">
        <f>E33*J32</f>
        <v>17.04</v>
      </c>
      <c r="L33" s="64">
        <f>F33*J32</f>
        <v>148.24799999999999</v>
      </c>
      <c r="M33" s="63" t="s">
        <v>69</v>
      </c>
    </row>
    <row r="34" spans="1:13" x14ac:dyDescent="0.5">
      <c r="B34" s="60" t="s">
        <v>61</v>
      </c>
      <c r="C34" s="64">
        <f>3.8</f>
        <v>3.8</v>
      </c>
      <c r="D34" s="63" t="s">
        <v>49</v>
      </c>
      <c r="E34" s="64">
        <f>0.2*C34</f>
        <v>0.76</v>
      </c>
      <c r="F34" s="64">
        <f>4.5*C34</f>
        <v>17.099999999999998</v>
      </c>
      <c r="G34" s="64"/>
      <c r="H34" s="63" t="s">
        <v>69</v>
      </c>
      <c r="J34" s="182"/>
      <c r="K34" s="64">
        <f>E34*J32</f>
        <v>12.16</v>
      </c>
      <c r="L34" s="64">
        <f>F34*J32</f>
        <v>273.59999999999997</v>
      </c>
      <c r="M34" s="63" t="s">
        <v>69</v>
      </c>
    </row>
    <row r="35" spans="1:13" s="77" customFormat="1" x14ac:dyDescent="0.5">
      <c r="A35" s="73"/>
      <c r="B35" s="74" t="s">
        <v>83</v>
      </c>
      <c r="C35" s="75">
        <v>2</v>
      </c>
      <c r="D35" s="73" t="s">
        <v>49</v>
      </c>
      <c r="E35" s="75">
        <f>0.176*C35</f>
        <v>0.35199999999999998</v>
      </c>
      <c r="F35" s="75">
        <f>2.41*C35</f>
        <v>4.82</v>
      </c>
      <c r="G35" s="75"/>
      <c r="H35" s="73"/>
      <c r="I35" s="76"/>
      <c r="J35" s="182"/>
      <c r="K35" s="75">
        <f>E35*J32</f>
        <v>5.6319999999999997</v>
      </c>
      <c r="L35" s="75">
        <f>F35*J32</f>
        <v>77.12</v>
      </c>
      <c r="M35" s="73" t="s">
        <v>69</v>
      </c>
    </row>
    <row r="36" spans="1:13" x14ac:dyDescent="0.5">
      <c r="B36" s="60" t="s">
        <v>70</v>
      </c>
      <c r="C36" s="64">
        <f>(3.8*3)+(0.9*4)</f>
        <v>14.999999999999998</v>
      </c>
      <c r="D36" s="63" t="s">
        <v>49</v>
      </c>
      <c r="E36" s="64">
        <f>0.175*C36</f>
        <v>2.6249999999999996</v>
      </c>
      <c r="F36" s="63" t="s">
        <v>69</v>
      </c>
      <c r="G36" s="63"/>
      <c r="H36" s="65">
        <f>(0.5*3*0.228)*C36</f>
        <v>5.13</v>
      </c>
      <c r="J36" s="182"/>
      <c r="K36" s="64">
        <f>E36*J32</f>
        <v>41.999999999999993</v>
      </c>
      <c r="L36" s="63" t="s">
        <v>69</v>
      </c>
      <c r="M36" s="65">
        <f>H36*J32</f>
        <v>82.08</v>
      </c>
    </row>
    <row r="37" spans="1:13" x14ac:dyDescent="0.5">
      <c r="B37" s="60" t="s">
        <v>71</v>
      </c>
      <c r="C37" s="64">
        <f>0.9*0.15</f>
        <v>0.13500000000000001</v>
      </c>
      <c r="D37" s="63" t="s">
        <v>10</v>
      </c>
      <c r="E37" s="64"/>
      <c r="F37" s="64"/>
      <c r="G37" s="64"/>
      <c r="J37" s="182"/>
      <c r="K37" s="65">
        <f>C37*J32</f>
        <v>2.16</v>
      </c>
    </row>
    <row r="38" spans="1:13" x14ac:dyDescent="0.5">
      <c r="F38" s="64"/>
      <c r="G38" s="64"/>
    </row>
    <row r="39" spans="1:13" x14ac:dyDescent="0.5">
      <c r="B39" s="60" t="s">
        <v>72</v>
      </c>
      <c r="E39" s="64" t="s">
        <v>68</v>
      </c>
      <c r="F39" s="64" t="s">
        <v>8</v>
      </c>
      <c r="G39" s="64"/>
      <c r="H39" s="63" t="s">
        <v>37</v>
      </c>
      <c r="J39" s="58" t="s">
        <v>2</v>
      </c>
      <c r="K39" s="64" t="s">
        <v>68</v>
      </c>
      <c r="L39" s="64" t="s">
        <v>8</v>
      </c>
      <c r="M39" s="63" t="s">
        <v>37</v>
      </c>
    </row>
    <row r="40" spans="1:13" x14ac:dyDescent="0.5">
      <c r="B40" s="60" t="s">
        <v>59</v>
      </c>
      <c r="C40" s="64">
        <f>0.9*6</f>
        <v>5.4</v>
      </c>
      <c r="D40" s="63" t="s">
        <v>49</v>
      </c>
      <c r="E40" s="64">
        <f>0.3*C40</f>
        <v>1.62</v>
      </c>
      <c r="F40" s="64">
        <f>7*C40</f>
        <v>37.800000000000004</v>
      </c>
      <c r="G40" s="64"/>
      <c r="H40" s="63" t="s">
        <v>69</v>
      </c>
      <c r="J40" s="182">
        <v>6</v>
      </c>
      <c r="K40" s="64">
        <f>E40*J40</f>
        <v>9.7200000000000006</v>
      </c>
      <c r="L40" s="64">
        <f>F40*J40</f>
        <v>226.8</v>
      </c>
      <c r="M40" s="63" t="s">
        <v>69</v>
      </c>
    </row>
    <row r="41" spans="1:13" x14ac:dyDescent="0.5">
      <c r="B41" s="60" t="s">
        <v>60</v>
      </c>
      <c r="C41" s="64">
        <f>(0.85*12)+(0.15*3)</f>
        <v>10.649999999999999</v>
      </c>
      <c r="D41" s="63" t="s">
        <v>49</v>
      </c>
      <c r="E41" s="64">
        <f>0.1*C41</f>
        <v>1.0649999999999999</v>
      </c>
      <c r="F41" s="64">
        <f>0.87*C41</f>
        <v>9.2654999999999994</v>
      </c>
      <c r="G41" s="64"/>
      <c r="H41" s="63" t="s">
        <v>69</v>
      </c>
      <c r="J41" s="182"/>
      <c r="K41" s="64">
        <f>E41*J40</f>
        <v>6.39</v>
      </c>
      <c r="L41" s="64">
        <f>F41*J40</f>
        <v>55.592999999999996</v>
      </c>
      <c r="M41" s="63" t="s">
        <v>69</v>
      </c>
    </row>
    <row r="42" spans="1:13" x14ac:dyDescent="0.5">
      <c r="B42" s="60" t="s">
        <v>61</v>
      </c>
      <c r="C42" s="64">
        <f>3.8</f>
        <v>3.8</v>
      </c>
      <c r="D42" s="63" t="s">
        <v>49</v>
      </c>
      <c r="E42" s="64">
        <f>0.2*C42</f>
        <v>0.76</v>
      </c>
      <c r="F42" s="64">
        <f>4.5*C42</f>
        <v>17.099999999999998</v>
      </c>
      <c r="G42" s="64"/>
      <c r="H42" s="63" t="s">
        <v>69</v>
      </c>
      <c r="J42" s="182"/>
      <c r="K42" s="64">
        <f>E42*J40</f>
        <v>4.5600000000000005</v>
      </c>
      <c r="L42" s="64">
        <f>F42*J40</f>
        <v>102.6</v>
      </c>
      <c r="M42" s="63" t="s">
        <v>69</v>
      </c>
    </row>
    <row r="43" spans="1:13" s="77" customFormat="1" x14ac:dyDescent="0.5">
      <c r="A43" s="73"/>
      <c r="B43" s="74" t="s">
        <v>83</v>
      </c>
      <c r="C43" s="75">
        <v>2</v>
      </c>
      <c r="D43" s="73" t="s">
        <v>49</v>
      </c>
      <c r="E43" s="75">
        <f>0.176*C43</f>
        <v>0.35199999999999998</v>
      </c>
      <c r="F43" s="75">
        <f>2.41*C43</f>
        <v>4.82</v>
      </c>
      <c r="G43" s="75"/>
      <c r="H43" s="73"/>
      <c r="I43" s="76"/>
      <c r="J43" s="182"/>
      <c r="K43" s="75">
        <f>E43*J40</f>
        <v>2.1120000000000001</v>
      </c>
      <c r="L43" s="75">
        <f>F43*J40</f>
        <v>28.92</v>
      </c>
      <c r="M43" s="73" t="s">
        <v>69</v>
      </c>
    </row>
    <row r="44" spans="1:13" x14ac:dyDescent="0.5">
      <c r="B44" s="60" t="s">
        <v>70</v>
      </c>
      <c r="C44" s="64">
        <f>(3.8*3)+(0.9*4)+(0.85*16)</f>
        <v>28.599999999999998</v>
      </c>
      <c r="D44" s="63" t="s">
        <v>49</v>
      </c>
      <c r="E44" s="64">
        <f>0.175*C44</f>
        <v>5.004999999999999</v>
      </c>
      <c r="F44" s="63" t="s">
        <v>69</v>
      </c>
      <c r="G44" s="63"/>
      <c r="H44" s="65">
        <f>(0.5*3*0.228)*C44</f>
        <v>9.7812000000000001</v>
      </c>
      <c r="J44" s="182"/>
      <c r="K44" s="64">
        <f>E44*J40</f>
        <v>30.029999999999994</v>
      </c>
      <c r="L44" s="63" t="s">
        <v>69</v>
      </c>
      <c r="M44" s="65">
        <f>H44*J40</f>
        <v>58.687200000000004</v>
      </c>
    </row>
    <row r="45" spans="1:13" x14ac:dyDescent="0.5">
      <c r="B45" s="60" t="s">
        <v>71</v>
      </c>
      <c r="C45" s="64">
        <f>0.9*0.15</f>
        <v>0.13500000000000001</v>
      </c>
      <c r="D45" s="63" t="s">
        <v>10</v>
      </c>
      <c r="F45" s="64"/>
      <c r="G45" s="64"/>
      <c r="J45" s="182"/>
      <c r="K45" s="65">
        <f>C45*J40</f>
        <v>0.81</v>
      </c>
    </row>
    <row r="46" spans="1:13" x14ac:dyDescent="0.5">
      <c r="F46" s="64"/>
      <c r="G46" s="64"/>
    </row>
    <row r="47" spans="1:13" x14ac:dyDescent="0.5">
      <c r="B47" s="60" t="s">
        <v>73</v>
      </c>
      <c r="E47" s="64" t="s">
        <v>68</v>
      </c>
      <c r="F47" s="64" t="s">
        <v>8</v>
      </c>
      <c r="G47" s="64"/>
      <c r="H47" s="63" t="s">
        <v>37</v>
      </c>
      <c r="J47" s="58" t="s">
        <v>2</v>
      </c>
      <c r="K47" s="64" t="s">
        <v>68</v>
      </c>
      <c r="L47" s="64" t="s">
        <v>8</v>
      </c>
      <c r="M47" s="63" t="s">
        <v>37</v>
      </c>
    </row>
    <row r="48" spans="1:13" x14ac:dyDescent="0.5">
      <c r="B48" s="60" t="s">
        <v>59</v>
      </c>
      <c r="C48" s="64">
        <f>0.9*6</f>
        <v>5.4</v>
      </c>
      <c r="D48" s="63" t="s">
        <v>49</v>
      </c>
      <c r="E48" s="64">
        <f>0.3*C48</f>
        <v>1.62</v>
      </c>
      <c r="F48" s="64">
        <f>7*C48</f>
        <v>37.800000000000004</v>
      </c>
      <c r="G48" s="64"/>
      <c r="H48" s="63" t="s">
        <v>69</v>
      </c>
      <c r="J48" s="181">
        <v>4</v>
      </c>
      <c r="K48" s="64">
        <f>E48*J48</f>
        <v>6.48</v>
      </c>
      <c r="L48" s="64">
        <f>F48*J48</f>
        <v>151.20000000000002</v>
      </c>
      <c r="M48" s="63" t="s">
        <v>69</v>
      </c>
    </row>
    <row r="49" spans="1:13" x14ac:dyDescent="0.5">
      <c r="B49" s="60" t="s">
        <v>60</v>
      </c>
      <c r="C49" s="64">
        <f>(0.85*12)+(0.15*3)</f>
        <v>10.649999999999999</v>
      </c>
      <c r="D49" s="63" t="s">
        <v>49</v>
      </c>
      <c r="E49" s="64">
        <f>0.1*C49</f>
        <v>1.0649999999999999</v>
      </c>
      <c r="F49" s="64">
        <f>0.87*C49</f>
        <v>9.2654999999999994</v>
      </c>
      <c r="G49" s="64"/>
      <c r="H49" s="63" t="s">
        <v>69</v>
      </c>
      <c r="J49" s="181"/>
      <c r="K49" s="64">
        <f>E49*J48</f>
        <v>4.26</v>
      </c>
      <c r="L49" s="64">
        <f>F49*J48</f>
        <v>37.061999999999998</v>
      </c>
      <c r="M49" s="63" t="s">
        <v>69</v>
      </c>
    </row>
    <row r="50" spans="1:13" x14ac:dyDescent="0.5">
      <c r="B50" s="60" t="s">
        <v>61</v>
      </c>
      <c r="C50" s="64">
        <f>3.8+3.8+0.2+0.2</f>
        <v>8</v>
      </c>
      <c r="D50" s="63" t="s">
        <v>49</v>
      </c>
      <c r="E50" s="64">
        <f>0.2*C50</f>
        <v>1.6</v>
      </c>
      <c r="F50" s="64">
        <f>4.5*C50</f>
        <v>36</v>
      </c>
      <c r="G50" s="64"/>
      <c r="H50" s="63" t="s">
        <v>69</v>
      </c>
      <c r="J50" s="181"/>
      <c r="K50" s="64">
        <f>E50*J48</f>
        <v>6.4</v>
      </c>
      <c r="L50" s="64">
        <f>F50*J48</f>
        <v>144</v>
      </c>
      <c r="M50" s="63" t="s">
        <v>69</v>
      </c>
    </row>
    <row r="51" spans="1:13" s="77" customFormat="1" x14ac:dyDescent="0.5">
      <c r="A51" s="73"/>
      <c r="B51" s="74" t="s">
        <v>83</v>
      </c>
      <c r="C51" s="75">
        <v>2</v>
      </c>
      <c r="D51" s="73" t="s">
        <v>49</v>
      </c>
      <c r="E51" s="75">
        <f>0.176*C51</f>
        <v>0.35199999999999998</v>
      </c>
      <c r="F51" s="75">
        <f>2.41*C51</f>
        <v>4.82</v>
      </c>
      <c r="G51" s="75"/>
      <c r="H51" s="73"/>
      <c r="I51" s="76"/>
      <c r="J51" s="181"/>
      <c r="K51" s="75">
        <f>E51*J48</f>
        <v>1.4079999999999999</v>
      </c>
      <c r="L51" s="75">
        <f>F51*J48</f>
        <v>19.28</v>
      </c>
      <c r="M51" s="73" t="s">
        <v>69</v>
      </c>
    </row>
    <row r="52" spans="1:13" x14ac:dyDescent="0.5">
      <c r="B52" s="60" t="s">
        <v>70</v>
      </c>
      <c r="C52" s="64">
        <f>(3.8*3)+(0.9*4)</f>
        <v>14.999999999999998</v>
      </c>
      <c r="D52" s="63" t="s">
        <v>49</v>
      </c>
      <c r="E52" s="64">
        <f>0.175*C52</f>
        <v>2.6249999999999996</v>
      </c>
      <c r="F52" s="63" t="s">
        <v>69</v>
      </c>
      <c r="G52" s="63"/>
      <c r="H52" s="65">
        <f>(0.5*3*0.228)*C52</f>
        <v>5.13</v>
      </c>
      <c r="J52" s="181"/>
      <c r="K52" s="64">
        <f>E52*J48</f>
        <v>10.499999999999998</v>
      </c>
      <c r="L52" s="63" t="s">
        <v>69</v>
      </c>
      <c r="M52" s="65">
        <f>H52*J48</f>
        <v>20.52</v>
      </c>
    </row>
    <row r="53" spans="1:13" x14ac:dyDescent="0.5">
      <c r="B53" s="60" t="s">
        <v>74</v>
      </c>
      <c r="C53" s="64">
        <f>3.8*3</f>
        <v>11.399999999999999</v>
      </c>
      <c r="D53" s="63" t="s">
        <v>49</v>
      </c>
      <c r="E53" s="64">
        <f>0.2*C53</f>
        <v>2.2799999999999998</v>
      </c>
      <c r="F53" s="63" t="s">
        <v>69</v>
      </c>
      <c r="G53" s="63"/>
      <c r="H53" s="65">
        <f>(1*3*0.228)*C53</f>
        <v>7.7975999999999992</v>
      </c>
      <c r="J53" s="181"/>
      <c r="K53" s="64">
        <f>E53*J48</f>
        <v>9.1199999999999992</v>
      </c>
      <c r="L53" s="63" t="s">
        <v>69</v>
      </c>
      <c r="M53" s="65">
        <f>H53*J48</f>
        <v>31.190399999999997</v>
      </c>
    </row>
    <row r="54" spans="1:13" x14ac:dyDescent="0.5">
      <c r="B54" s="60" t="s">
        <v>71</v>
      </c>
      <c r="C54" s="64">
        <f>0.9*0.15</f>
        <v>0.13500000000000001</v>
      </c>
      <c r="D54" s="63" t="s">
        <v>10</v>
      </c>
      <c r="F54" s="64"/>
      <c r="G54" s="64"/>
      <c r="J54" s="181"/>
      <c r="K54" s="65">
        <f>C54*J48</f>
        <v>0.54</v>
      </c>
    </row>
    <row r="55" spans="1:13" x14ac:dyDescent="0.5">
      <c r="F55" s="64"/>
      <c r="G55" s="64"/>
    </row>
    <row r="56" spans="1:13" x14ac:dyDescent="0.5">
      <c r="B56" s="60" t="s">
        <v>75</v>
      </c>
      <c r="E56" s="64" t="s">
        <v>68</v>
      </c>
      <c r="F56" s="64" t="s">
        <v>8</v>
      </c>
      <c r="G56" s="64"/>
      <c r="H56" s="63" t="s">
        <v>37</v>
      </c>
      <c r="J56" s="58" t="s">
        <v>2</v>
      </c>
      <c r="K56" s="64" t="s">
        <v>68</v>
      </c>
      <c r="L56" s="64" t="s">
        <v>8</v>
      </c>
      <c r="M56" s="63" t="s">
        <v>37</v>
      </c>
    </row>
    <row r="57" spans="1:13" x14ac:dyDescent="0.5">
      <c r="B57" s="60" t="s">
        <v>59</v>
      </c>
      <c r="C57" s="64">
        <f>0.9*6</f>
        <v>5.4</v>
      </c>
      <c r="D57" s="63" t="s">
        <v>49</v>
      </c>
      <c r="E57" s="64">
        <f>0.3*C57</f>
        <v>1.62</v>
      </c>
      <c r="F57" s="64">
        <f>7*C57</f>
        <v>37.800000000000004</v>
      </c>
      <c r="G57" s="64"/>
      <c r="H57" s="63" t="s">
        <v>69</v>
      </c>
      <c r="J57" s="181">
        <v>4</v>
      </c>
      <c r="K57" s="64">
        <f>E57*J57</f>
        <v>6.48</v>
      </c>
      <c r="L57" s="64">
        <f>F57*J57</f>
        <v>151.20000000000002</v>
      </c>
      <c r="M57" s="63" t="s">
        <v>69</v>
      </c>
    </row>
    <row r="58" spans="1:13" x14ac:dyDescent="0.5">
      <c r="B58" s="60" t="s">
        <v>60</v>
      </c>
      <c r="C58" s="64">
        <f>(0.85*12)+(0.15*3)</f>
        <v>10.649999999999999</v>
      </c>
      <c r="D58" s="63" t="s">
        <v>49</v>
      </c>
      <c r="E58" s="64">
        <f>0.1*C58</f>
        <v>1.0649999999999999</v>
      </c>
      <c r="F58" s="64">
        <f>0.87*C58</f>
        <v>9.2654999999999994</v>
      </c>
      <c r="G58" s="64"/>
      <c r="H58" s="63" t="s">
        <v>69</v>
      </c>
      <c r="J58" s="181"/>
      <c r="K58" s="64">
        <f>E58*J57</f>
        <v>4.26</v>
      </c>
      <c r="L58" s="64">
        <f>F58*J57</f>
        <v>37.061999999999998</v>
      </c>
      <c r="M58" s="63" t="s">
        <v>69</v>
      </c>
    </row>
    <row r="59" spans="1:13" x14ac:dyDescent="0.5">
      <c r="B59" s="60" t="s">
        <v>61</v>
      </c>
      <c r="C59" s="64">
        <f>3.8+3.8+0.2+0.2</f>
        <v>8</v>
      </c>
      <c r="D59" s="63" t="s">
        <v>49</v>
      </c>
      <c r="E59" s="64">
        <f>0.2*C59</f>
        <v>1.6</v>
      </c>
      <c r="F59" s="64">
        <f>4.5*C59</f>
        <v>36</v>
      </c>
      <c r="G59" s="64"/>
      <c r="H59" s="63" t="s">
        <v>69</v>
      </c>
      <c r="J59" s="181"/>
      <c r="K59" s="64">
        <f>E59*J57</f>
        <v>6.4</v>
      </c>
      <c r="L59" s="64">
        <f>F59*J57</f>
        <v>144</v>
      </c>
      <c r="M59" s="63" t="s">
        <v>69</v>
      </c>
    </row>
    <row r="60" spans="1:13" s="77" customFormat="1" x14ac:dyDescent="0.5">
      <c r="A60" s="73"/>
      <c r="B60" s="74" t="s">
        <v>83</v>
      </c>
      <c r="C60" s="75">
        <v>5.5</v>
      </c>
      <c r="D60" s="73" t="s">
        <v>49</v>
      </c>
      <c r="E60" s="75">
        <f>0.176*C60</f>
        <v>0.96799999999999997</v>
      </c>
      <c r="F60" s="75">
        <f>2.41*C60</f>
        <v>13.255000000000001</v>
      </c>
      <c r="G60" s="75"/>
      <c r="H60" s="73"/>
      <c r="I60" s="76"/>
      <c r="J60" s="181"/>
      <c r="K60" s="75">
        <f>E60*J57</f>
        <v>3.8719999999999999</v>
      </c>
      <c r="L60" s="75">
        <f>F60*J57</f>
        <v>53.02</v>
      </c>
      <c r="M60" s="73" t="s">
        <v>69</v>
      </c>
    </row>
    <row r="61" spans="1:13" x14ac:dyDescent="0.5">
      <c r="B61" s="60" t="s">
        <v>70</v>
      </c>
      <c r="C61" s="64">
        <f>(3.8*3)</f>
        <v>11.399999999999999</v>
      </c>
      <c r="D61" s="63" t="s">
        <v>49</v>
      </c>
      <c r="E61" s="64">
        <f>0.175*C61</f>
        <v>1.9949999999999997</v>
      </c>
      <c r="F61" s="63" t="s">
        <v>69</v>
      </c>
      <c r="G61" s="63"/>
      <c r="H61" s="65">
        <f>(0.5*3*0.228)*C61</f>
        <v>3.8987999999999996</v>
      </c>
      <c r="J61" s="181"/>
      <c r="K61" s="64">
        <f>E61*J57</f>
        <v>7.9799999999999986</v>
      </c>
      <c r="L61" s="63" t="s">
        <v>69</v>
      </c>
      <c r="M61" s="65">
        <f>H61*J57</f>
        <v>15.595199999999998</v>
      </c>
    </row>
    <row r="62" spans="1:13" x14ac:dyDescent="0.5">
      <c r="B62" s="60" t="s">
        <v>74</v>
      </c>
      <c r="C62" s="64">
        <f>1.85*5</f>
        <v>9.25</v>
      </c>
      <c r="D62" s="63" t="s">
        <v>49</v>
      </c>
      <c r="E62" s="64">
        <f>0.2*C62</f>
        <v>1.85</v>
      </c>
      <c r="F62" s="63" t="s">
        <v>69</v>
      </c>
      <c r="G62" s="63"/>
      <c r="H62" s="65">
        <f>(1*3*0.228)*C62</f>
        <v>6.3270000000000008</v>
      </c>
      <c r="J62" s="181"/>
      <c r="K62" s="64">
        <f>E62*J57</f>
        <v>7.4</v>
      </c>
      <c r="L62" s="63" t="s">
        <v>69</v>
      </c>
      <c r="M62" s="65">
        <f>H62*J57</f>
        <v>25.308000000000003</v>
      </c>
    </row>
    <row r="63" spans="1:13" x14ac:dyDescent="0.5">
      <c r="B63" s="60" t="s">
        <v>71</v>
      </c>
      <c r="C63" s="64">
        <f>(0.9*0.15)+1.65</f>
        <v>1.7849999999999999</v>
      </c>
      <c r="D63" s="63" t="s">
        <v>10</v>
      </c>
      <c r="F63" s="64"/>
      <c r="G63" s="64"/>
      <c r="J63" s="181"/>
      <c r="K63" s="65">
        <f>C63*J57</f>
        <v>7.14</v>
      </c>
    </row>
    <row r="65" spans="1:13" x14ac:dyDescent="0.5">
      <c r="B65" s="60" t="s">
        <v>77</v>
      </c>
      <c r="E65" s="64" t="s">
        <v>68</v>
      </c>
      <c r="F65" s="64" t="s">
        <v>8</v>
      </c>
      <c r="G65" s="64"/>
      <c r="H65" s="63" t="s">
        <v>37</v>
      </c>
      <c r="J65" s="58" t="s">
        <v>2</v>
      </c>
      <c r="K65" s="64" t="s">
        <v>68</v>
      </c>
      <c r="L65" s="64" t="s">
        <v>8</v>
      </c>
      <c r="M65" s="63" t="s">
        <v>37</v>
      </c>
    </row>
    <row r="66" spans="1:13" x14ac:dyDescent="0.5">
      <c r="B66" s="60" t="s">
        <v>59</v>
      </c>
      <c r="C66" s="64">
        <f>0.9*2</f>
        <v>1.8</v>
      </c>
      <c r="D66" s="63" t="s">
        <v>49</v>
      </c>
      <c r="E66" s="64">
        <f>0.3*C66</f>
        <v>0.54</v>
      </c>
      <c r="F66" s="64">
        <f>7*C66</f>
        <v>12.6</v>
      </c>
      <c r="G66" s="64"/>
      <c r="H66" s="63" t="s">
        <v>69</v>
      </c>
      <c r="J66" s="181">
        <v>8</v>
      </c>
      <c r="K66" s="64">
        <f>E66*J66</f>
        <v>4.32</v>
      </c>
      <c r="L66" s="64">
        <f>F66*J66</f>
        <v>100.8</v>
      </c>
      <c r="M66" s="63" t="s">
        <v>69</v>
      </c>
    </row>
    <row r="67" spans="1:13" x14ac:dyDescent="0.5">
      <c r="B67" s="60" t="s">
        <v>60</v>
      </c>
      <c r="C67" s="64">
        <f>(0.7*6)</f>
        <v>4.1999999999999993</v>
      </c>
      <c r="D67" s="63" t="s">
        <v>49</v>
      </c>
      <c r="E67" s="64">
        <f>0.1*C67</f>
        <v>0.41999999999999993</v>
      </c>
      <c r="F67" s="64">
        <f>0.87*C67</f>
        <v>3.6539999999999995</v>
      </c>
      <c r="G67" s="64"/>
      <c r="H67" s="63" t="s">
        <v>69</v>
      </c>
      <c r="J67" s="181"/>
      <c r="K67" s="64">
        <f>E67*J66</f>
        <v>3.3599999999999994</v>
      </c>
      <c r="L67" s="64">
        <f>F67*J66</f>
        <v>29.231999999999996</v>
      </c>
      <c r="M67" s="63" t="s">
        <v>69</v>
      </c>
    </row>
    <row r="68" spans="1:13" x14ac:dyDescent="0.5">
      <c r="B68" s="60" t="s">
        <v>61</v>
      </c>
      <c r="C68" s="64">
        <f>1.575</f>
        <v>1.575</v>
      </c>
      <c r="D68" s="63" t="s">
        <v>49</v>
      </c>
      <c r="E68" s="64">
        <f>0.2*C68</f>
        <v>0.315</v>
      </c>
      <c r="F68" s="64">
        <f>4.5*C68</f>
        <v>7.0874999999999995</v>
      </c>
      <c r="G68" s="64"/>
      <c r="H68" s="63" t="s">
        <v>69</v>
      </c>
      <c r="J68" s="181"/>
      <c r="K68" s="64">
        <f>E68*J66</f>
        <v>2.52</v>
      </c>
      <c r="L68" s="64">
        <f>F68*J66</f>
        <v>56.699999999999996</v>
      </c>
      <c r="M68" s="63" t="s">
        <v>69</v>
      </c>
    </row>
    <row r="69" spans="1:13" x14ac:dyDescent="0.5">
      <c r="B69" s="60" t="s">
        <v>70</v>
      </c>
      <c r="C69" s="64">
        <f>(1.575*3)</f>
        <v>4.7249999999999996</v>
      </c>
      <c r="D69" s="63" t="s">
        <v>49</v>
      </c>
      <c r="E69" s="64">
        <f>0.175*C69</f>
        <v>0.82687499999999992</v>
      </c>
      <c r="F69" s="63" t="s">
        <v>69</v>
      </c>
      <c r="G69" s="63"/>
      <c r="H69" s="65">
        <f>(0.5*3*0.228)*C69</f>
        <v>1.61595</v>
      </c>
      <c r="J69" s="181"/>
      <c r="K69" s="64">
        <f>E69*J66</f>
        <v>6.6149999999999993</v>
      </c>
      <c r="L69" s="63" t="s">
        <v>69</v>
      </c>
      <c r="M69" s="65">
        <f>H69*J66</f>
        <v>12.9276</v>
      </c>
    </row>
    <row r="71" spans="1:13" s="62" customFormat="1" x14ac:dyDescent="0.5">
      <c r="A71" s="68"/>
      <c r="B71" s="69"/>
      <c r="C71" s="70"/>
      <c r="D71" s="68"/>
      <c r="E71" s="69"/>
      <c r="F71" s="69"/>
      <c r="G71" s="69"/>
      <c r="J71" s="62" t="s">
        <v>78</v>
      </c>
      <c r="K71" s="70" t="s">
        <v>68</v>
      </c>
      <c r="L71" s="70" t="s">
        <v>8</v>
      </c>
      <c r="M71" s="68" t="s">
        <v>37</v>
      </c>
    </row>
    <row r="72" spans="1:13" x14ac:dyDescent="0.5">
      <c r="B72" s="60" t="s">
        <v>59</v>
      </c>
      <c r="K72" s="65">
        <f>K32+K40+K48+K57+K66+K26</f>
        <v>91.800000000000011</v>
      </c>
      <c r="L72" s="65">
        <f>L26+L32+L40+L48+L57+L66</f>
        <v>2142</v>
      </c>
      <c r="M72" s="63" t="s">
        <v>69</v>
      </c>
    </row>
    <row r="73" spans="1:13" x14ac:dyDescent="0.5">
      <c r="B73" s="60" t="s">
        <v>60</v>
      </c>
      <c r="K73" s="65">
        <f>K33+K41+K49+K58+K67+K27</f>
        <v>39.629999999999995</v>
      </c>
      <c r="L73" s="65">
        <f>L27+L33+L41+L49+L58+L67</f>
        <v>344.78099999999995</v>
      </c>
      <c r="M73" s="63" t="s">
        <v>69</v>
      </c>
    </row>
    <row r="74" spans="1:13" x14ac:dyDescent="0.5">
      <c r="B74" s="60" t="s">
        <v>61</v>
      </c>
      <c r="K74" s="65">
        <f>K34+K42+K50+K59+K68+K28</f>
        <v>37.799999999999997</v>
      </c>
      <c r="L74" s="65">
        <f t="shared" ref="L74" si="1">L28+L34+L42+L50+L59+L68</f>
        <v>850.5</v>
      </c>
      <c r="M74" s="63" t="s">
        <v>69</v>
      </c>
    </row>
    <row r="75" spans="1:13" x14ac:dyDescent="0.5">
      <c r="B75" s="74" t="s">
        <v>83</v>
      </c>
      <c r="K75" s="65">
        <f>K35+K43+K51+K60</f>
        <v>13.023999999999999</v>
      </c>
      <c r="L75" s="65">
        <f>L35+L43+L51+L60</f>
        <v>178.34</v>
      </c>
      <c r="M75" s="63"/>
    </row>
    <row r="76" spans="1:13" x14ac:dyDescent="0.5">
      <c r="B76" s="60" t="s">
        <v>70</v>
      </c>
      <c r="K76" s="65">
        <f>K44+K52+K61+K69</f>
        <v>55.124999999999993</v>
      </c>
      <c r="L76" s="63" t="s">
        <v>69</v>
      </c>
      <c r="M76" s="65">
        <f>M36+M44+M52+M61+M69</f>
        <v>189.81000000000003</v>
      </c>
    </row>
    <row r="77" spans="1:13" x14ac:dyDescent="0.5">
      <c r="B77" s="60" t="s">
        <v>74</v>
      </c>
      <c r="K77" s="65">
        <f>K53+K62</f>
        <v>16.52</v>
      </c>
      <c r="L77" s="63" t="s">
        <v>69</v>
      </c>
      <c r="M77" s="65">
        <f>M53+M62</f>
        <v>56.498400000000004</v>
      </c>
    </row>
    <row r="78" spans="1:13" x14ac:dyDescent="0.5">
      <c r="B78" s="60" t="s">
        <v>62</v>
      </c>
      <c r="K78" s="65">
        <f>K29</f>
        <v>2.8800000000000008</v>
      </c>
      <c r="L78" s="64">
        <v>70</v>
      </c>
      <c r="M78" s="63" t="s">
        <v>69</v>
      </c>
    </row>
    <row r="79" spans="1:13" x14ac:dyDescent="0.5">
      <c r="B79" s="60" t="s">
        <v>71</v>
      </c>
      <c r="K79" s="65">
        <f>K37+K45+K54+K63</f>
        <v>10.65</v>
      </c>
    </row>
    <row r="80" spans="1:13" x14ac:dyDescent="0.5">
      <c r="K80" s="67">
        <f>SUM(K72:K79)</f>
        <v>267.42900000000003</v>
      </c>
      <c r="L80" s="67">
        <f>SUM(L72:L79)</f>
        <v>3585.6210000000001</v>
      </c>
      <c r="M80" s="67">
        <f>SUM(M72:M79)</f>
        <v>246.30840000000003</v>
      </c>
    </row>
    <row r="81" spans="3:12" x14ac:dyDescent="0.5">
      <c r="K81" s="61" t="s">
        <v>79</v>
      </c>
      <c r="L81" s="61" t="s">
        <v>80</v>
      </c>
    </row>
    <row r="82" spans="3:12" x14ac:dyDescent="0.5">
      <c r="K82" s="65">
        <f>K72+K73+K74+K78+K79+K75</f>
        <v>195.78400000000002</v>
      </c>
      <c r="L82" s="65">
        <f>K76+K77</f>
        <v>71.644999999999996</v>
      </c>
    </row>
    <row r="85" spans="3:12" ht="24" x14ac:dyDescent="0.55000000000000004">
      <c r="C85" s="6">
        <f>(((2*6)+(3.5*2)+(6.2*1))*10)+(1.1*103)</f>
        <v>365.3</v>
      </c>
    </row>
    <row r="87" spans="3:12" ht="24" x14ac:dyDescent="0.55000000000000004">
      <c r="C87" s="6">
        <f>(((3.5*8)+(3*20))*10)+(167*2)</f>
        <v>1214</v>
      </c>
    </row>
    <row r="90" spans="3:12" ht="24" x14ac:dyDescent="0.55000000000000004">
      <c r="C90" s="6">
        <f>(1670*0.9)</f>
        <v>1503</v>
      </c>
    </row>
  </sheetData>
  <mergeCells count="6">
    <mergeCell ref="J66:J69"/>
    <mergeCell ref="J25:J29"/>
    <mergeCell ref="J32:J37"/>
    <mergeCell ref="J40:J45"/>
    <mergeCell ref="J48:J54"/>
    <mergeCell ref="J57:J6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5:K142"/>
  <sheetViews>
    <sheetView showGridLines="0" tabSelected="1" view="pageBreakPreview" topLeftCell="A5" zoomScale="112" zoomScaleNormal="100" zoomScaleSheetLayoutView="112" workbookViewId="0">
      <selection activeCell="C14" sqref="C14"/>
    </sheetView>
  </sheetViews>
  <sheetFormatPr defaultColWidth="0" defaultRowHeight="0" customHeight="1" zeroHeight="1" x14ac:dyDescent="0.5"/>
  <cols>
    <col min="1" max="1" width="6.25" style="94" customWidth="1"/>
    <col min="2" max="2" width="40.875" style="94" customWidth="1"/>
    <col min="3" max="3" width="9.375" style="26" customWidth="1"/>
    <col min="4" max="4" width="7.5" style="120" customWidth="1"/>
    <col min="5" max="5" width="11" style="94" customWidth="1"/>
    <col min="6" max="6" width="12.75" style="94" customWidth="1"/>
    <col min="7" max="7" width="11" style="94" customWidth="1"/>
    <col min="8" max="8" width="11.75" style="94" customWidth="1"/>
    <col min="9" max="9" width="14.125" style="94" customWidth="1"/>
    <col min="10" max="10" width="13.5" style="120" customWidth="1"/>
    <col min="11" max="16384" width="0" style="94" hidden="1"/>
  </cols>
  <sheetData>
    <row r="5" spans="1:10" ht="21.75" customHeight="1" x14ac:dyDescent="0.5">
      <c r="A5" s="90"/>
      <c r="B5" s="90"/>
      <c r="C5" s="91"/>
      <c r="D5" s="92"/>
      <c r="E5" s="90"/>
      <c r="F5" s="90"/>
      <c r="G5" s="90"/>
      <c r="H5" s="90"/>
      <c r="I5" s="93" t="s">
        <v>108</v>
      </c>
      <c r="J5" s="92"/>
    </row>
    <row r="6" spans="1:10" ht="21.75" customHeight="1" x14ac:dyDescent="0.5">
      <c r="A6" s="184" t="s">
        <v>18</v>
      </c>
      <c r="B6" s="184"/>
      <c r="C6" s="184"/>
      <c r="D6" s="184"/>
      <c r="E6" s="184"/>
      <c r="F6" s="184"/>
      <c r="G6" s="184"/>
      <c r="H6" s="184"/>
      <c r="I6" s="184"/>
      <c r="J6" s="184"/>
    </row>
    <row r="7" spans="1:10" ht="21.75" customHeight="1" x14ac:dyDescent="0.5">
      <c r="A7" s="95" t="s">
        <v>116</v>
      </c>
      <c r="B7" s="96"/>
      <c r="C7" s="97"/>
      <c r="D7" s="98"/>
      <c r="E7" s="99"/>
      <c r="F7" s="99"/>
      <c r="G7" s="99"/>
      <c r="H7" s="99"/>
      <c r="I7" s="99"/>
      <c r="J7" s="98"/>
    </row>
    <row r="8" spans="1:10" ht="21.75" customHeight="1" x14ac:dyDescent="0.5">
      <c r="A8" s="100" t="s">
        <v>34</v>
      </c>
      <c r="B8" s="101"/>
      <c r="C8" s="102"/>
      <c r="D8" s="103"/>
      <c r="E8" s="104" t="s">
        <v>13</v>
      </c>
      <c r="F8" s="104"/>
      <c r="G8" s="104"/>
      <c r="H8" s="104"/>
      <c r="I8" s="104"/>
      <c r="J8" s="103"/>
    </row>
    <row r="9" spans="1:10" ht="21.75" customHeight="1" x14ac:dyDescent="0.5">
      <c r="A9" s="100" t="s">
        <v>84</v>
      </c>
      <c r="B9" s="101"/>
      <c r="C9" s="102"/>
      <c r="D9" s="103"/>
      <c r="E9" s="104"/>
      <c r="F9" s="104"/>
      <c r="G9" s="104"/>
      <c r="H9" s="104"/>
      <c r="I9" s="104"/>
      <c r="J9" s="103"/>
    </row>
    <row r="10" spans="1:10" ht="21.75" customHeight="1" x14ac:dyDescent="0.5">
      <c r="A10" s="100" t="s">
        <v>134</v>
      </c>
      <c r="B10" s="101"/>
      <c r="C10" s="102"/>
      <c r="D10" s="103"/>
      <c r="E10" s="104" t="s">
        <v>35</v>
      </c>
      <c r="F10" s="105"/>
      <c r="G10" s="104" t="s">
        <v>141</v>
      </c>
      <c r="H10" s="104"/>
      <c r="I10" s="185" t="s">
        <v>133</v>
      </c>
      <c r="J10" s="185"/>
    </row>
    <row r="11" spans="1:10" ht="21.75" customHeight="1" thickBot="1" x14ac:dyDescent="0.55000000000000004">
      <c r="A11" s="106"/>
      <c r="B11" s="106"/>
      <c r="C11" s="107"/>
      <c r="D11" s="108"/>
      <c r="E11" s="106"/>
      <c r="F11" s="106"/>
      <c r="G11" s="106"/>
      <c r="H11" s="106"/>
      <c r="I11" s="106"/>
      <c r="J11" s="108" t="s">
        <v>19</v>
      </c>
    </row>
    <row r="12" spans="1:10" ht="21.75" customHeight="1" thickTop="1" x14ac:dyDescent="0.5">
      <c r="A12" s="192" t="s">
        <v>0</v>
      </c>
      <c r="B12" s="192" t="s">
        <v>1</v>
      </c>
      <c r="C12" s="188" t="s">
        <v>2</v>
      </c>
      <c r="D12" s="192" t="s">
        <v>3</v>
      </c>
      <c r="E12" s="195" t="s">
        <v>4</v>
      </c>
      <c r="F12" s="195"/>
      <c r="G12" s="195" t="s">
        <v>6</v>
      </c>
      <c r="H12" s="195"/>
      <c r="I12" s="109" t="s">
        <v>9</v>
      </c>
      <c r="J12" s="192" t="s">
        <v>7</v>
      </c>
    </row>
    <row r="13" spans="1:10" ht="21.75" customHeight="1" thickBot="1" x14ac:dyDescent="0.55000000000000004">
      <c r="A13" s="193"/>
      <c r="B13" s="193"/>
      <c r="C13" s="189"/>
      <c r="D13" s="194"/>
      <c r="E13" s="110" t="s">
        <v>20</v>
      </c>
      <c r="F13" s="110" t="s">
        <v>5</v>
      </c>
      <c r="G13" s="110" t="s">
        <v>20</v>
      </c>
      <c r="H13" s="110" t="s">
        <v>5</v>
      </c>
      <c r="I13" s="111" t="s">
        <v>21</v>
      </c>
      <c r="J13" s="194"/>
    </row>
    <row r="14" spans="1:10" ht="21.75" customHeight="1" thickTop="1" x14ac:dyDescent="0.5">
      <c r="A14" s="112"/>
      <c r="B14" s="113" t="s">
        <v>111</v>
      </c>
      <c r="C14" s="114"/>
      <c r="D14" s="115"/>
      <c r="E14" s="116"/>
      <c r="F14" s="116"/>
      <c r="G14" s="116"/>
      <c r="H14" s="116"/>
      <c r="I14" s="116"/>
      <c r="J14" s="117"/>
    </row>
    <row r="15" spans="1:10" ht="21.75" customHeight="1" x14ac:dyDescent="0.5">
      <c r="A15" s="112">
        <v>1</v>
      </c>
      <c r="B15" s="113" t="s">
        <v>112</v>
      </c>
      <c r="C15" s="114"/>
      <c r="D15" s="115"/>
      <c r="E15" s="116"/>
      <c r="F15" s="116"/>
      <c r="G15" s="116"/>
      <c r="H15" s="116"/>
      <c r="I15" s="116"/>
      <c r="J15" s="115"/>
    </row>
    <row r="16" spans="1:10" ht="21.75" customHeight="1" x14ac:dyDescent="0.5">
      <c r="A16" s="112"/>
      <c r="B16" s="118" t="s">
        <v>85</v>
      </c>
      <c r="C16" s="114">
        <f>((1.2*0.6*1.1)*3)*10</f>
        <v>23.760000000000005</v>
      </c>
      <c r="D16" s="115" t="s">
        <v>12</v>
      </c>
      <c r="E16" s="116"/>
      <c r="F16" s="116"/>
      <c r="G16" s="116">
        <v>99</v>
      </c>
      <c r="H16" s="116">
        <v>2352.2399999999998</v>
      </c>
      <c r="I16" s="116">
        <f>F16+H16</f>
        <v>2352.2399999999998</v>
      </c>
      <c r="J16" s="115"/>
    </row>
    <row r="17" spans="1:10" ht="21.75" customHeight="1" x14ac:dyDescent="0.5">
      <c r="A17" s="112"/>
      <c r="B17" s="118" t="s">
        <v>86</v>
      </c>
      <c r="C17" s="114">
        <f>((1.2*0.6*0.05)*3)*10</f>
        <v>1.0799999999999998</v>
      </c>
      <c r="D17" s="115" t="s">
        <v>12</v>
      </c>
      <c r="E17" s="116">
        <v>406.54</v>
      </c>
      <c r="F17" s="116">
        <v>439.06</v>
      </c>
      <c r="G17" s="116">
        <v>91</v>
      </c>
      <c r="H17" s="116">
        <v>98.28</v>
      </c>
      <c r="I17" s="116">
        <f t="shared" ref="I17:I28" si="0">F17+H17</f>
        <v>537.34</v>
      </c>
      <c r="J17" s="115"/>
    </row>
    <row r="18" spans="1:10" ht="21.75" customHeight="1" x14ac:dyDescent="0.5">
      <c r="A18" s="112"/>
      <c r="B18" s="118" t="s">
        <v>87</v>
      </c>
      <c r="C18" s="114">
        <f>((1.2*0.6*0.05)*3)*10</f>
        <v>1.0799999999999998</v>
      </c>
      <c r="D18" s="115" t="s">
        <v>12</v>
      </c>
      <c r="E18" s="114">
        <v>2093.46</v>
      </c>
      <c r="F18" s="116">
        <v>2260.94</v>
      </c>
      <c r="G18" s="116">
        <v>306</v>
      </c>
      <c r="H18" s="116">
        <v>330.48</v>
      </c>
      <c r="I18" s="116">
        <f t="shared" si="0"/>
        <v>2591.42</v>
      </c>
      <c r="J18" s="115"/>
    </row>
    <row r="19" spans="1:10" ht="21.75" customHeight="1" x14ac:dyDescent="0.5">
      <c r="A19" s="112"/>
      <c r="B19" s="118" t="s">
        <v>88</v>
      </c>
      <c r="C19" s="114">
        <f>(((1.2*0.6*0.25)+(0.3*0.2*1))*3)*10</f>
        <v>7.1999999999999993</v>
      </c>
      <c r="D19" s="115" t="s">
        <v>12</v>
      </c>
      <c r="E19" s="114">
        <v>2238.3200000000002</v>
      </c>
      <c r="F19" s="116">
        <f t="shared" ref="F19:F28" si="1">C19*E19</f>
        <v>16115.904</v>
      </c>
      <c r="G19" s="116">
        <v>306</v>
      </c>
      <c r="H19" s="116">
        <f t="shared" ref="H19:H20" si="2">G19*C19</f>
        <v>2203.1999999999998</v>
      </c>
      <c r="I19" s="116">
        <f t="shared" si="0"/>
        <v>18319.103999999999</v>
      </c>
      <c r="J19" s="115"/>
    </row>
    <row r="20" spans="1:10" ht="21.75" customHeight="1" x14ac:dyDescent="0.5">
      <c r="A20" s="112"/>
      <c r="B20" s="118" t="s">
        <v>81</v>
      </c>
      <c r="C20" s="114">
        <f>(((((1.2+0.6+1.2+0.6)*0.25)+((0.3+0.2+0.3+0.2)*1))*2)*0.7)*10</f>
        <v>26.599999999999998</v>
      </c>
      <c r="D20" s="115" t="s">
        <v>10</v>
      </c>
      <c r="E20" s="116">
        <v>400</v>
      </c>
      <c r="F20" s="116">
        <f t="shared" si="1"/>
        <v>10640</v>
      </c>
      <c r="G20" s="116">
        <v>133</v>
      </c>
      <c r="H20" s="116">
        <f t="shared" si="2"/>
        <v>3537.7999999999997</v>
      </c>
      <c r="I20" s="116">
        <f t="shared" si="0"/>
        <v>14177.8</v>
      </c>
      <c r="J20" s="115"/>
    </row>
    <row r="21" spans="1:10" ht="21.75" customHeight="1" x14ac:dyDescent="0.5">
      <c r="A21" s="112"/>
      <c r="B21" s="118" t="s">
        <v>38</v>
      </c>
      <c r="C21" s="114">
        <f>C20*0.25</f>
        <v>6.6499999999999995</v>
      </c>
      <c r="D21" s="115" t="s">
        <v>8</v>
      </c>
      <c r="E21" s="116">
        <v>56.07</v>
      </c>
      <c r="F21" s="116">
        <v>372.87</v>
      </c>
      <c r="G21" s="116"/>
      <c r="H21" s="116"/>
      <c r="I21" s="116">
        <f>F21+H21</f>
        <v>372.87</v>
      </c>
      <c r="J21" s="115"/>
    </row>
    <row r="22" spans="1:10" ht="21.75" customHeight="1" x14ac:dyDescent="0.5">
      <c r="A22" s="112"/>
      <c r="B22" s="118" t="s">
        <v>89</v>
      </c>
      <c r="C22" s="114">
        <f>(21.6*0.222)*10</f>
        <v>47.952000000000005</v>
      </c>
      <c r="D22" s="115" t="s">
        <v>90</v>
      </c>
      <c r="E22" s="116">
        <v>20.420000000000002</v>
      </c>
      <c r="F22" s="116">
        <v>979.14</v>
      </c>
      <c r="G22" s="116">
        <v>4.0999999999999996</v>
      </c>
      <c r="H22" s="116">
        <v>196.59</v>
      </c>
      <c r="I22" s="116">
        <f>F22+H22</f>
        <v>1175.73</v>
      </c>
      <c r="J22" s="115"/>
    </row>
    <row r="23" spans="1:10" ht="21.75" customHeight="1" x14ac:dyDescent="0.5">
      <c r="A23" s="112"/>
      <c r="B23" s="118" t="s">
        <v>91</v>
      </c>
      <c r="C23" s="114">
        <f>(55.8*0.888)*10</f>
        <v>495.50399999999996</v>
      </c>
      <c r="D23" s="115" t="s">
        <v>90</v>
      </c>
      <c r="E23" s="116">
        <v>20.100000000000001</v>
      </c>
      <c r="F23" s="116">
        <v>9959.5499999999993</v>
      </c>
      <c r="G23" s="116">
        <v>3.3</v>
      </c>
      <c r="H23" s="116">
        <v>1635.15</v>
      </c>
      <c r="I23" s="116">
        <f>F23+H23</f>
        <v>11594.699999999999</v>
      </c>
      <c r="J23" s="115"/>
    </row>
    <row r="24" spans="1:10" ht="21.75" customHeight="1" x14ac:dyDescent="0.5">
      <c r="A24" s="112"/>
      <c r="B24" s="118" t="s">
        <v>16</v>
      </c>
      <c r="C24" s="114">
        <f>((C22+C23)/1000)*30</f>
        <v>16.30368</v>
      </c>
      <c r="D24" s="115" t="s">
        <v>8</v>
      </c>
      <c r="E24" s="116">
        <v>47.2</v>
      </c>
      <c r="F24" s="116">
        <v>769.36</v>
      </c>
      <c r="G24" s="116"/>
      <c r="H24" s="116"/>
      <c r="I24" s="116">
        <f t="shared" si="0"/>
        <v>769.36</v>
      </c>
      <c r="J24" s="115"/>
    </row>
    <row r="25" spans="1:10" ht="0" hidden="1" customHeight="1" x14ac:dyDescent="0.5">
      <c r="B25" s="119"/>
      <c r="E25" s="121"/>
      <c r="F25" s="121"/>
      <c r="G25" s="121"/>
      <c r="H25" s="121"/>
      <c r="I25" s="121"/>
      <c r="J25" s="122"/>
    </row>
    <row r="26" spans="1:10" ht="21.75" customHeight="1" x14ac:dyDescent="0.5">
      <c r="A26" s="112"/>
      <c r="B26" s="118" t="s">
        <v>92</v>
      </c>
      <c r="C26" s="114">
        <f>((15.5)*8.96)*10</f>
        <v>1388.8000000000002</v>
      </c>
      <c r="D26" s="115" t="s">
        <v>8</v>
      </c>
      <c r="E26" s="116">
        <v>24.65</v>
      </c>
      <c r="F26" s="116">
        <f t="shared" ref="F26" si="3">C26*E26</f>
        <v>34233.920000000006</v>
      </c>
      <c r="G26" s="116">
        <v>10</v>
      </c>
      <c r="H26" s="116">
        <f t="shared" ref="H26" si="4">G26*C26</f>
        <v>13888.000000000002</v>
      </c>
      <c r="I26" s="116">
        <f t="shared" ref="I26" si="5">F26+H26</f>
        <v>48121.920000000006</v>
      </c>
      <c r="J26" s="115"/>
    </row>
    <row r="27" spans="1:10" ht="21.75" customHeight="1" x14ac:dyDescent="0.5">
      <c r="A27" s="112"/>
      <c r="B27" s="118" t="s">
        <v>93</v>
      </c>
      <c r="C27" s="114">
        <f>((40.6)*4.5)*10</f>
        <v>1827.0000000000002</v>
      </c>
      <c r="D27" s="115" t="s">
        <v>8</v>
      </c>
      <c r="E27" s="116">
        <v>24.92</v>
      </c>
      <c r="F27" s="116">
        <f t="shared" si="1"/>
        <v>45528.840000000011</v>
      </c>
      <c r="G27" s="116">
        <v>10</v>
      </c>
      <c r="H27" s="116">
        <f>G27*C27</f>
        <v>18270.000000000004</v>
      </c>
      <c r="I27" s="116">
        <f t="shared" si="0"/>
        <v>63798.840000000011</v>
      </c>
      <c r="J27" s="115"/>
    </row>
    <row r="28" spans="1:10" ht="21.75" customHeight="1" x14ac:dyDescent="0.5">
      <c r="A28" s="112"/>
      <c r="B28" s="118" t="s">
        <v>103</v>
      </c>
      <c r="C28" s="114">
        <f>((17.6)*1.12)*10</f>
        <v>197.12000000000003</v>
      </c>
      <c r="D28" s="115" t="s">
        <v>8</v>
      </c>
      <c r="E28" s="116">
        <v>24.92</v>
      </c>
      <c r="F28" s="116">
        <f t="shared" si="1"/>
        <v>4912.2304000000013</v>
      </c>
      <c r="G28" s="116">
        <v>10</v>
      </c>
      <c r="H28" s="116">
        <v>1971.2</v>
      </c>
      <c r="I28" s="116">
        <f t="shared" si="0"/>
        <v>6883.4304000000011</v>
      </c>
      <c r="J28" s="115"/>
    </row>
    <row r="29" spans="1:10" ht="21.75" customHeight="1" x14ac:dyDescent="0.5">
      <c r="A29" s="123"/>
      <c r="B29" s="124" t="s">
        <v>94</v>
      </c>
      <c r="C29" s="125">
        <f>((2.5*7.5)*1)*10</f>
        <v>187.5</v>
      </c>
      <c r="D29" s="126" t="s">
        <v>10</v>
      </c>
      <c r="E29" s="127">
        <v>290</v>
      </c>
      <c r="F29" s="127">
        <f>C29*E29</f>
        <v>54375</v>
      </c>
      <c r="G29" s="127">
        <v>70</v>
      </c>
      <c r="H29" s="127">
        <f>G29*C29</f>
        <v>13125</v>
      </c>
      <c r="I29" s="127">
        <f>F29+H29</f>
        <v>67500</v>
      </c>
      <c r="J29" s="126"/>
    </row>
    <row r="30" spans="1:10" ht="21.75" customHeight="1" x14ac:dyDescent="0.5">
      <c r="A30" s="123"/>
      <c r="B30" s="124" t="s">
        <v>95</v>
      </c>
      <c r="C30" s="125">
        <f>(3*2)*10</f>
        <v>60</v>
      </c>
      <c r="D30" s="126" t="s">
        <v>49</v>
      </c>
      <c r="E30" s="127">
        <v>260</v>
      </c>
      <c r="F30" s="127">
        <f>C30*E30</f>
        <v>15600</v>
      </c>
      <c r="G30" s="127">
        <v>60</v>
      </c>
      <c r="H30" s="127">
        <f>G30*C30</f>
        <v>3600</v>
      </c>
      <c r="I30" s="127">
        <f>F30+H30</f>
        <v>19200</v>
      </c>
      <c r="J30" s="126"/>
    </row>
    <row r="31" spans="1:10" ht="21.75" customHeight="1" x14ac:dyDescent="0.5">
      <c r="A31" s="123"/>
      <c r="B31" s="124" t="s">
        <v>96</v>
      </c>
      <c r="C31" s="125">
        <f>(3.75)*10</f>
        <v>37.5</v>
      </c>
      <c r="D31" s="126" t="s">
        <v>10</v>
      </c>
      <c r="E31" s="127">
        <v>212</v>
      </c>
      <c r="F31" s="127">
        <f>C31*E31</f>
        <v>7950</v>
      </c>
      <c r="G31" s="127">
        <f>E31*0.3</f>
        <v>63.599999999999994</v>
      </c>
      <c r="H31" s="127">
        <f>G31*C31</f>
        <v>2385</v>
      </c>
      <c r="I31" s="127">
        <f>F31+H31</f>
        <v>10335</v>
      </c>
      <c r="J31" s="126"/>
    </row>
    <row r="32" spans="1:10" ht="21.75" customHeight="1" x14ac:dyDescent="0.5">
      <c r="A32" s="128"/>
      <c r="B32" s="129" t="s">
        <v>97</v>
      </c>
      <c r="C32" s="125">
        <f>3*10</f>
        <v>30</v>
      </c>
      <c r="D32" s="126" t="s">
        <v>63</v>
      </c>
      <c r="E32" s="125">
        <f>190+(190*0.3)</f>
        <v>247</v>
      </c>
      <c r="F32" s="125">
        <f>E32*C32</f>
        <v>7410</v>
      </c>
      <c r="G32" s="125">
        <f>E32*0.3</f>
        <v>74.099999999999994</v>
      </c>
      <c r="H32" s="125">
        <f>G32*C32</f>
        <v>2223</v>
      </c>
      <c r="I32" s="125">
        <f>F32+H32</f>
        <v>9633</v>
      </c>
      <c r="J32" s="126"/>
    </row>
    <row r="33" spans="1:11" ht="21.75" customHeight="1" x14ac:dyDescent="0.5">
      <c r="A33" s="128"/>
      <c r="B33" s="129"/>
      <c r="C33" s="125"/>
      <c r="D33" s="126"/>
      <c r="E33" s="125"/>
      <c r="F33" s="125"/>
      <c r="G33" s="125"/>
      <c r="H33" s="125"/>
      <c r="I33" s="125"/>
      <c r="J33" s="126"/>
    </row>
    <row r="34" spans="1:11" ht="21.75" customHeight="1" x14ac:dyDescent="0.5">
      <c r="A34" s="128"/>
      <c r="B34" s="129"/>
      <c r="C34" s="125"/>
      <c r="D34" s="126"/>
      <c r="E34" s="125"/>
      <c r="F34" s="125"/>
      <c r="G34" s="125"/>
      <c r="H34" s="125"/>
      <c r="I34" s="125"/>
      <c r="J34" s="126"/>
    </row>
    <row r="35" spans="1:11" ht="21.75" customHeight="1" x14ac:dyDescent="0.5">
      <c r="A35" s="90"/>
      <c r="B35" s="90"/>
      <c r="C35" s="91"/>
      <c r="D35" s="92"/>
      <c r="E35" s="130"/>
      <c r="F35" s="130"/>
      <c r="G35" s="130"/>
      <c r="H35" s="130"/>
      <c r="I35" s="131" t="s">
        <v>109</v>
      </c>
      <c r="J35" s="92"/>
    </row>
    <row r="36" spans="1:11" ht="21.75" customHeight="1" x14ac:dyDescent="0.5">
      <c r="A36" s="184" t="s">
        <v>18</v>
      </c>
      <c r="B36" s="184"/>
      <c r="C36" s="184"/>
      <c r="D36" s="184"/>
      <c r="E36" s="184"/>
      <c r="F36" s="184"/>
      <c r="G36" s="184"/>
      <c r="H36" s="184"/>
      <c r="I36" s="184"/>
      <c r="J36" s="184"/>
    </row>
    <row r="37" spans="1:11" ht="21.75" customHeight="1" x14ac:dyDescent="0.5">
      <c r="A37" s="132"/>
      <c r="B37" s="132"/>
      <c r="C37" s="133"/>
      <c r="D37" s="92"/>
      <c r="E37" s="134"/>
      <c r="F37" s="134"/>
      <c r="G37" s="134"/>
      <c r="H37" s="134"/>
      <c r="I37" s="134"/>
      <c r="J37" s="92"/>
    </row>
    <row r="38" spans="1:11" ht="21.75" customHeight="1" x14ac:dyDescent="0.5">
      <c r="A38" s="95" t="s">
        <v>116</v>
      </c>
      <c r="B38" s="96"/>
      <c r="C38" s="97"/>
      <c r="D38" s="98"/>
      <c r="E38" s="99"/>
      <c r="F38" s="99"/>
      <c r="G38" s="99"/>
      <c r="H38" s="99"/>
      <c r="I38" s="99"/>
      <c r="J38" s="98"/>
    </row>
    <row r="39" spans="1:11" ht="21.75" customHeight="1" x14ac:dyDescent="0.5">
      <c r="A39" s="135" t="s">
        <v>34</v>
      </c>
      <c r="B39" s="101"/>
      <c r="C39" s="102"/>
      <c r="D39" s="136"/>
      <c r="E39" s="137" t="s">
        <v>13</v>
      </c>
      <c r="F39" s="137"/>
      <c r="G39" s="137"/>
      <c r="H39" s="137"/>
      <c r="I39" s="137"/>
      <c r="J39" s="136"/>
    </row>
    <row r="40" spans="1:11" ht="21.75" customHeight="1" x14ac:dyDescent="0.5">
      <c r="A40" s="135" t="s">
        <v>98</v>
      </c>
      <c r="B40" s="101"/>
      <c r="C40" s="102"/>
      <c r="D40" s="136"/>
      <c r="E40" s="137"/>
      <c r="F40" s="137"/>
      <c r="G40" s="137"/>
      <c r="H40" s="137"/>
      <c r="I40" s="137"/>
      <c r="J40" s="136"/>
    </row>
    <row r="41" spans="1:11" ht="21.75" customHeight="1" x14ac:dyDescent="0.5">
      <c r="A41" s="100" t="s">
        <v>134</v>
      </c>
      <c r="B41" s="101"/>
      <c r="C41" s="102"/>
      <c r="D41" s="103"/>
      <c r="E41" s="104" t="s">
        <v>35</v>
      </c>
      <c r="F41" s="105"/>
      <c r="G41" s="104" t="s">
        <v>132</v>
      </c>
      <c r="H41" s="104"/>
      <c r="I41" s="185" t="s">
        <v>133</v>
      </c>
      <c r="J41" s="185"/>
    </row>
    <row r="42" spans="1:11" ht="21.75" customHeight="1" thickBot="1" x14ac:dyDescent="0.55000000000000004">
      <c r="C42" s="107"/>
      <c r="E42" s="121"/>
      <c r="F42" s="121"/>
      <c r="G42" s="121"/>
      <c r="H42" s="121"/>
      <c r="I42" s="121"/>
      <c r="J42" s="120" t="s">
        <v>19</v>
      </c>
    </row>
    <row r="43" spans="1:11" ht="21.75" customHeight="1" thickTop="1" x14ac:dyDescent="0.5">
      <c r="A43" s="186" t="s">
        <v>0</v>
      </c>
      <c r="B43" s="186" t="s">
        <v>1</v>
      </c>
      <c r="C43" s="188" t="s">
        <v>2</v>
      </c>
      <c r="D43" s="186" t="s">
        <v>3</v>
      </c>
      <c r="E43" s="191" t="s">
        <v>4</v>
      </c>
      <c r="F43" s="191"/>
      <c r="G43" s="191" t="s">
        <v>6</v>
      </c>
      <c r="H43" s="191"/>
      <c r="I43" s="138" t="s">
        <v>9</v>
      </c>
      <c r="J43" s="186" t="s">
        <v>7</v>
      </c>
    </row>
    <row r="44" spans="1:11" ht="21.75" customHeight="1" thickBot="1" x14ac:dyDescent="0.55000000000000004">
      <c r="A44" s="187"/>
      <c r="B44" s="187"/>
      <c r="C44" s="189"/>
      <c r="D44" s="190"/>
      <c r="E44" s="139" t="s">
        <v>20</v>
      </c>
      <c r="F44" s="139" t="s">
        <v>5</v>
      </c>
      <c r="G44" s="139" t="s">
        <v>20</v>
      </c>
      <c r="H44" s="139" t="s">
        <v>5</v>
      </c>
      <c r="I44" s="140" t="s">
        <v>21</v>
      </c>
      <c r="J44" s="190"/>
      <c r="K44" s="141"/>
    </row>
    <row r="45" spans="1:11" ht="21.75" customHeight="1" thickTop="1" x14ac:dyDescent="0.5">
      <c r="A45" s="142"/>
      <c r="B45" s="143"/>
      <c r="C45" s="144"/>
      <c r="D45" s="115"/>
      <c r="E45" s="114"/>
      <c r="F45" s="125"/>
      <c r="G45" s="114"/>
      <c r="H45" s="125"/>
      <c r="I45" s="125"/>
      <c r="J45" s="117"/>
      <c r="K45" s="141"/>
    </row>
    <row r="46" spans="1:11" ht="21.75" customHeight="1" x14ac:dyDescent="0.5">
      <c r="A46" s="145"/>
      <c r="B46" s="143" t="s">
        <v>99</v>
      </c>
      <c r="C46" s="144">
        <f>(3*4)*10</f>
        <v>120</v>
      </c>
      <c r="D46" s="115" t="s">
        <v>63</v>
      </c>
      <c r="E46" s="114">
        <v>149</v>
      </c>
      <c r="F46" s="125">
        <f>E46*C46</f>
        <v>17880</v>
      </c>
      <c r="G46" s="114">
        <v>20</v>
      </c>
      <c r="H46" s="125">
        <f>G46*C46</f>
        <v>2400</v>
      </c>
      <c r="I46" s="125">
        <f>F46+H46</f>
        <v>20280</v>
      </c>
      <c r="J46" s="115"/>
      <c r="K46" s="141"/>
    </row>
    <row r="47" spans="1:11" s="154" customFormat="1" ht="21.75" x14ac:dyDescent="0.5">
      <c r="A47" s="146"/>
      <c r="B47" s="147" t="s">
        <v>100</v>
      </c>
      <c r="C47" s="148">
        <f>((15.5*0.4)+(40.6*0.2)+(17.6*0.1))*10</f>
        <v>160.80000000000001</v>
      </c>
      <c r="D47" s="149" t="s">
        <v>10</v>
      </c>
      <c r="E47" s="150">
        <v>30</v>
      </c>
      <c r="F47" s="151">
        <f t="shared" ref="F47:F48" si="6">E47*C47</f>
        <v>4824</v>
      </c>
      <c r="G47" s="150">
        <v>35</v>
      </c>
      <c r="H47" s="152">
        <f t="shared" ref="H47:H48" si="7">G47*C47</f>
        <v>5628</v>
      </c>
      <c r="I47" s="151">
        <f t="shared" ref="I47:I48" si="8">H47+F47</f>
        <v>10452</v>
      </c>
      <c r="J47" s="149"/>
      <c r="K47" s="153"/>
    </row>
    <row r="48" spans="1:11" s="154" customFormat="1" ht="21.75" x14ac:dyDescent="0.5">
      <c r="A48" s="155"/>
      <c r="B48" s="156" t="s">
        <v>101</v>
      </c>
      <c r="C48" s="148">
        <f>((15.5*0.4)+(40.6*0.2)+(17.6*0.1))*10</f>
        <v>160.80000000000001</v>
      </c>
      <c r="D48" s="155" t="s">
        <v>10</v>
      </c>
      <c r="E48" s="157">
        <v>30</v>
      </c>
      <c r="F48" s="158">
        <f t="shared" si="6"/>
        <v>4824</v>
      </c>
      <c r="G48" s="157">
        <v>35</v>
      </c>
      <c r="H48" s="159">
        <f t="shared" si="7"/>
        <v>5628</v>
      </c>
      <c r="I48" s="158">
        <f t="shared" si="8"/>
        <v>10452</v>
      </c>
      <c r="J48" s="160"/>
      <c r="K48" s="153"/>
    </row>
    <row r="49" spans="1:11" s="167" customFormat="1" ht="21.75" x14ac:dyDescent="0.5">
      <c r="A49" s="161"/>
      <c r="B49" s="162" t="s">
        <v>115</v>
      </c>
      <c r="C49" s="163"/>
      <c r="D49" s="161"/>
      <c r="E49" s="164"/>
      <c r="F49" s="165">
        <v>239074.81</v>
      </c>
      <c r="G49" s="164"/>
      <c r="H49" s="173">
        <v>79471.94</v>
      </c>
      <c r="I49" s="165">
        <f>SUM(I16:I48)</f>
        <v>318546.75440000003</v>
      </c>
      <c r="J49" s="84"/>
      <c r="K49" s="166"/>
    </row>
    <row r="50" spans="1:11" ht="21.75" customHeight="1" x14ac:dyDescent="0.5">
      <c r="A50" s="128"/>
      <c r="B50" s="129"/>
      <c r="C50" s="125"/>
      <c r="D50" s="126"/>
      <c r="E50" s="125"/>
      <c r="F50" s="125"/>
      <c r="G50" s="125"/>
      <c r="H50" s="125"/>
      <c r="I50" s="125"/>
      <c r="J50" s="126"/>
      <c r="K50" s="141"/>
    </row>
    <row r="51" spans="1:11" ht="21.75" customHeight="1" x14ac:dyDescent="0.5">
      <c r="A51" s="112">
        <v>2</v>
      </c>
      <c r="B51" s="113" t="s">
        <v>113</v>
      </c>
      <c r="C51" s="114"/>
      <c r="D51" s="115"/>
      <c r="E51" s="116"/>
      <c r="F51" s="116"/>
      <c r="G51" s="116"/>
      <c r="H51" s="116"/>
      <c r="I51" s="116"/>
      <c r="J51" s="115"/>
      <c r="K51" s="141"/>
    </row>
    <row r="52" spans="1:11" ht="21.75" customHeight="1" x14ac:dyDescent="0.5">
      <c r="A52" s="112"/>
      <c r="B52" s="118" t="s">
        <v>135</v>
      </c>
      <c r="C52" s="114">
        <v>150</v>
      </c>
      <c r="D52" s="115" t="s">
        <v>17</v>
      </c>
      <c r="E52" s="114">
        <v>897.2</v>
      </c>
      <c r="F52" s="116">
        <f t="shared" ref="F52:F55" si="9">C52*E52</f>
        <v>134580</v>
      </c>
      <c r="G52" s="116">
        <f>(920/21)*6</f>
        <v>262.85714285714289</v>
      </c>
      <c r="H52" s="116">
        <v>39429</v>
      </c>
      <c r="I52" s="116">
        <f t="shared" ref="I52:I55" si="10">F52+H52</f>
        <v>174009</v>
      </c>
      <c r="J52" s="115"/>
      <c r="K52" s="141"/>
    </row>
    <row r="53" spans="1:11" ht="21.75" customHeight="1" x14ac:dyDescent="0.5">
      <c r="A53" s="112"/>
      <c r="B53" s="118" t="s">
        <v>138</v>
      </c>
      <c r="C53" s="114">
        <v>150</v>
      </c>
      <c r="D53" s="115" t="s">
        <v>17</v>
      </c>
      <c r="E53" s="114">
        <v>0</v>
      </c>
      <c r="F53" s="114">
        <v>0</v>
      </c>
      <c r="G53" s="116">
        <v>150</v>
      </c>
      <c r="H53" s="116">
        <f>C53*G53</f>
        <v>22500</v>
      </c>
      <c r="I53" s="116">
        <f t="shared" ref="I53" si="11">F53+H53</f>
        <v>22500</v>
      </c>
      <c r="J53" s="115"/>
      <c r="K53" s="141"/>
    </row>
    <row r="54" spans="1:11" ht="21.75" customHeight="1" x14ac:dyDescent="0.5">
      <c r="A54" s="112"/>
      <c r="B54" s="118" t="s">
        <v>88</v>
      </c>
      <c r="C54" s="114">
        <f>((0.3*0.3*0.2)*150)+((0.2*0.4)*((35+24+42+30+54+12+24)*2))+((0.2*0.4)*(2.9*74))</f>
        <v>55.228000000000009</v>
      </c>
      <c r="D54" s="115" t="s">
        <v>12</v>
      </c>
      <c r="E54" s="114">
        <v>2238.3200000000002</v>
      </c>
      <c r="F54" s="116">
        <v>123622.41</v>
      </c>
      <c r="G54" s="116">
        <v>306</v>
      </c>
      <c r="H54" s="116">
        <v>16900.38</v>
      </c>
      <c r="I54" s="116">
        <f t="shared" si="10"/>
        <v>140522.79</v>
      </c>
      <c r="J54" s="115"/>
      <c r="K54" s="141"/>
    </row>
    <row r="55" spans="1:11" ht="21.75" customHeight="1" x14ac:dyDescent="0.5">
      <c r="A55" s="112"/>
      <c r="B55" s="118" t="s">
        <v>81</v>
      </c>
      <c r="C55" s="114">
        <f>(((0.3*4*0.2)*150)+(((0.2+0.4+0.4)*221)*2)+((0.2+0.4+0.4)*(2.9*74)))*0.5</f>
        <v>346.3</v>
      </c>
      <c r="D55" s="115" t="s">
        <v>10</v>
      </c>
      <c r="E55" s="116">
        <v>400</v>
      </c>
      <c r="F55" s="116">
        <f t="shared" si="9"/>
        <v>138520</v>
      </c>
      <c r="G55" s="116">
        <v>133</v>
      </c>
      <c r="H55" s="116">
        <f t="shared" ref="H55" si="12">G55*C55</f>
        <v>46057.9</v>
      </c>
      <c r="I55" s="116">
        <f t="shared" si="10"/>
        <v>184577.9</v>
      </c>
      <c r="J55" s="115"/>
      <c r="K55" s="141"/>
    </row>
    <row r="56" spans="1:11" ht="21.75" customHeight="1" x14ac:dyDescent="0.5">
      <c r="A56" s="112"/>
      <c r="B56" s="118" t="s">
        <v>38</v>
      </c>
      <c r="C56" s="114">
        <f>C55*0.25</f>
        <v>86.575000000000003</v>
      </c>
      <c r="D56" s="115" t="s">
        <v>8</v>
      </c>
      <c r="E56" s="116">
        <v>56.07</v>
      </c>
      <c r="F56" s="116">
        <v>4854.54</v>
      </c>
      <c r="G56" s="116"/>
      <c r="H56" s="116"/>
      <c r="I56" s="116">
        <f>F56+H56</f>
        <v>4854.54</v>
      </c>
      <c r="J56" s="115"/>
      <c r="K56" s="141"/>
    </row>
    <row r="57" spans="1:11" ht="21.75" customHeight="1" x14ac:dyDescent="0.5">
      <c r="A57" s="112"/>
      <c r="B57" s="118" t="s">
        <v>89</v>
      </c>
      <c r="C57" s="114">
        <f>(1.2*((221+221+(2.9*74))/0.15))*0.222</f>
        <v>1166.1215999999999</v>
      </c>
      <c r="D57" s="115" t="s">
        <v>90</v>
      </c>
      <c r="E57" s="116">
        <v>19.57</v>
      </c>
      <c r="F57" s="116">
        <v>22820.97</v>
      </c>
      <c r="G57" s="116">
        <v>4.0999999999999996</v>
      </c>
      <c r="H57" s="116">
        <v>4781.09</v>
      </c>
      <c r="I57" s="116">
        <f>F57+H57</f>
        <v>27602.06</v>
      </c>
      <c r="J57" s="115"/>
      <c r="K57" s="141"/>
    </row>
    <row r="58" spans="1:11" ht="21.75" customHeight="1" x14ac:dyDescent="0.5">
      <c r="A58" s="112"/>
      <c r="B58" s="118" t="s">
        <v>131</v>
      </c>
      <c r="C58" s="114">
        <f>(((6+6)*0.7*150)+((221+221+(2.9*74))*5))*1.58</f>
        <v>7177.9400000000005</v>
      </c>
      <c r="D58" s="115" t="s">
        <v>90</v>
      </c>
      <c r="E58" s="116">
        <v>17.77</v>
      </c>
      <c r="F58" s="116">
        <f>C58*E58</f>
        <v>127551.99380000001</v>
      </c>
      <c r="G58" s="116">
        <v>4.0999999999999996</v>
      </c>
      <c r="H58" s="116">
        <f>G58*C58</f>
        <v>29429.554</v>
      </c>
      <c r="I58" s="116">
        <v>156981.54</v>
      </c>
      <c r="J58" s="115"/>
      <c r="K58" s="141"/>
    </row>
    <row r="59" spans="1:11" ht="21.75" customHeight="1" x14ac:dyDescent="0.5">
      <c r="A59" s="112"/>
      <c r="B59" s="118" t="s">
        <v>16</v>
      </c>
      <c r="C59" s="114">
        <f>((C57+C58)/1000)*30</f>
        <v>250.32184800000005</v>
      </c>
      <c r="D59" s="115" t="s">
        <v>8</v>
      </c>
      <c r="E59" s="116">
        <v>47.2</v>
      </c>
      <c r="F59" s="116">
        <v>11815.1</v>
      </c>
      <c r="G59" s="116"/>
      <c r="H59" s="116"/>
      <c r="I59" s="116">
        <f t="shared" ref="I59:I62" si="13">F59+H59</f>
        <v>11815.1</v>
      </c>
      <c r="J59" s="115"/>
      <c r="K59" s="141"/>
    </row>
    <row r="60" spans="1:11" ht="21.75" customHeight="1" x14ac:dyDescent="0.5">
      <c r="A60" s="112"/>
      <c r="B60" s="129" t="s">
        <v>52</v>
      </c>
      <c r="C60" s="114">
        <f>(221*3)</f>
        <v>663</v>
      </c>
      <c r="D60" s="115" t="s">
        <v>10</v>
      </c>
      <c r="E60" s="116">
        <v>235</v>
      </c>
      <c r="F60" s="116">
        <f t="shared" ref="F60:F62" si="14">C60*E60</f>
        <v>155805</v>
      </c>
      <c r="G60" s="116">
        <v>25</v>
      </c>
      <c r="H60" s="116">
        <f t="shared" ref="H60:H62" si="15">G60*C60</f>
        <v>16575</v>
      </c>
      <c r="I60" s="116">
        <f t="shared" si="13"/>
        <v>172380</v>
      </c>
      <c r="J60" s="115"/>
      <c r="K60" s="141"/>
    </row>
    <row r="61" spans="1:11" ht="21.75" customHeight="1" x14ac:dyDescent="0.5">
      <c r="A61" s="112"/>
      <c r="B61" s="118" t="s">
        <v>53</v>
      </c>
      <c r="C61" s="114">
        <f t="shared" ref="C61:C63" si="16">(221*3)</f>
        <v>663</v>
      </c>
      <c r="D61" s="115" t="s">
        <v>10</v>
      </c>
      <c r="E61" s="116">
        <v>26</v>
      </c>
      <c r="F61" s="116">
        <f t="shared" si="14"/>
        <v>17238</v>
      </c>
      <c r="G61" s="116">
        <v>5</v>
      </c>
      <c r="H61" s="116">
        <f t="shared" si="15"/>
        <v>3315</v>
      </c>
      <c r="I61" s="116">
        <f t="shared" si="13"/>
        <v>20553</v>
      </c>
      <c r="J61" s="115"/>
      <c r="K61" s="141"/>
    </row>
    <row r="62" spans="1:11" ht="21.75" customHeight="1" x14ac:dyDescent="0.5">
      <c r="A62" s="112"/>
      <c r="B62" s="118" t="s">
        <v>136</v>
      </c>
      <c r="C62" s="114">
        <f t="shared" si="16"/>
        <v>663</v>
      </c>
      <c r="D62" s="115" t="s">
        <v>10</v>
      </c>
      <c r="E62" s="116">
        <v>95</v>
      </c>
      <c r="F62" s="116">
        <f t="shared" si="14"/>
        <v>62985</v>
      </c>
      <c r="G62" s="116">
        <v>61</v>
      </c>
      <c r="H62" s="116">
        <f t="shared" si="15"/>
        <v>40443</v>
      </c>
      <c r="I62" s="116">
        <f t="shared" si="13"/>
        <v>103428</v>
      </c>
      <c r="J62" s="115"/>
      <c r="K62" s="141"/>
    </row>
    <row r="63" spans="1:11" ht="21.75" customHeight="1" x14ac:dyDescent="0.5">
      <c r="A63" s="128"/>
      <c r="B63" s="129" t="s">
        <v>104</v>
      </c>
      <c r="C63" s="114">
        <f t="shared" si="16"/>
        <v>663</v>
      </c>
      <c r="D63" s="115" t="s">
        <v>10</v>
      </c>
      <c r="E63" s="116">
        <v>250</v>
      </c>
      <c r="F63" s="116">
        <f t="shared" ref="F63" si="17">C63*E63</f>
        <v>165750</v>
      </c>
      <c r="G63" s="116">
        <v>99</v>
      </c>
      <c r="H63" s="116">
        <f t="shared" ref="H63" si="18">G63*C63</f>
        <v>65637</v>
      </c>
      <c r="I63" s="116">
        <f t="shared" ref="I63" si="19">F63+H63</f>
        <v>231387</v>
      </c>
      <c r="J63" s="115"/>
      <c r="K63" s="141"/>
    </row>
    <row r="64" spans="1:11" ht="21.75" customHeight="1" x14ac:dyDescent="0.5">
      <c r="A64" s="90"/>
      <c r="B64" s="90"/>
      <c r="C64" s="91"/>
      <c r="D64" s="92"/>
      <c r="E64" s="130"/>
      <c r="F64" s="130"/>
      <c r="G64" s="130"/>
      <c r="H64" s="130"/>
      <c r="I64" s="131" t="s">
        <v>110</v>
      </c>
      <c r="J64" s="92"/>
    </row>
    <row r="65" spans="1:10" ht="21.75" customHeight="1" x14ac:dyDescent="0.5">
      <c r="A65" s="184" t="s">
        <v>18</v>
      </c>
      <c r="B65" s="184"/>
      <c r="C65" s="184"/>
      <c r="D65" s="184"/>
      <c r="E65" s="184"/>
      <c r="F65" s="184"/>
      <c r="G65" s="184"/>
      <c r="H65" s="184"/>
      <c r="I65" s="184"/>
      <c r="J65" s="184"/>
    </row>
    <row r="66" spans="1:10" ht="21.75" customHeight="1" x14ac:dyDescent="0.5">
      <c r="A66" s="132"/>
      <c r="B66" s="132"/>
      <c r="C66" s="133"/>
      <c r="D66" s="92"/>
      <c r="E66" s="134"/>
      <c r="F66" s="134"/>
      <c r="G66" s="134"/>
      <c r="H66" s="134"/>
      <c r="I66" s="134"/>
      <c r="J66" s="92"/>
    </row>
    <row r="67" spans="1:10" ht="21.75" customHeight="1" x14ac:dyDescent="0.5">
      <c r="A67" s="95" t="s">
        <v>116</v>
      </c>
      <c r="B67" s="96"/>
      <c r="C67" s="97"/>
      <c r="D67" s="98"/>
      <c r="E67" s="99"/>
      <c r="F67" s="99"/>
      <c r="G67" s="99"/>
      <c r="H67" s="99"/>
      <c r="I67" s="99"/>
      <c r="J67" s="98"/>
    </row>
    <row r="68" spans="1:10" ht="21.75" customHeight="1" x14ac:dyDescent="0.5">
      <c r="A68" s="135" t="s">
        <v>34</v>
      </c>
      <c r="B68" s="101"/>
      <c r="C68" s="102"/>
      <c r="D68" s="136"/>
      <c r="E68" s="137" t="s">
        <v>13</v>
      </c>
      <c r="F68" s="137"/>
      <c r="G68" s="137"/>
      <c r="H68" s="137"/>
      <c r="I68" s="137"/>
      <c r="J68" s="136"/>
    </row>
    <row r="69" spans="1:10" ht="21.75" customHeight="1" x14ac:dyDescent="0.5">
      <c r="A69" s="135" t="s">
        <v>98</v>
      </c>
      <c r="B69" s="101"/>
      <c r="C69" s="102"/>
      <c r="D69" s="136"/>
      <c r="E69" s="137"/>
      <c r="F69" s="137"/>
      <c r="G69" s="137"/>
      <c r="H69" s="137"/>
      <c r="I69" s="137"/>
      <c r="J69" s="136"/>
    </row>
    <row r="70" spans="1:10" ht="21.75" customHeight="1" x14ac:dyDescent="0.5">
      <c r="A70" s="100" t="s">
        <v>134</v>
      </c>
      <c r="B70" s="101"/>
      <c r="C70" s="102"/>
      <c r="D70" s="103"/>
      <c r="E70" s="104" t="s">
        <v>35</v>
      </c>
      <c r="F70" s="105"/>
      <c r="G70" s="104" t="s">
        <v>132</v>
      </c>
      <c r="H70" s="104"/>
      <c r="I70" s="185" t="s">
        <v>133</v>
      </c>
      <c r="J70" s="185"/>
    </row>
    <row r="71" spans="1:10" ht="21.75" customHeight="1" thickBot="1" x14ac:dyDescent="0.55000000000000004">
      <c r="C71" s="107"/>
      <c r="E71" s="121"/>
      <c r="F71" s="121"/>
      <c r="G71" s="121"/>
      <c r="H71" s="121"/>
      <c r="I71" s="121"/>
      <c r="J71" s="120" t="s">
        <v>19</v>
      </c>
    </row>
    <row r="72" spans="1:10" ht="21.75" customHeight="1" thickTop="1" x14ac:dyDescent="0.5">
      <c r="A72" s="186" t="s">
        <v>0</v>
      </c>
      <c r="B72" s="186" t="s">
        <v>1</v>
      </c>
      <c r="C72" s="188" t="s">
        <v>2</v>
      </c>
      <c r="D72" s="186" t="s">
        <v>3</v>
      </c>
      <c r="E72" s="191" t="s">
        <v>4</v>
      </c>
      <c r="F72" s="191"/>
      <c r="G72" s="191" t="s">
        <v>6</v>
      </c>
      <c r="H72" s="191"/>
      <c r="I72" s="138" t="s">
        <v>9</v>
      </c>
      <c r="J72" s="186" t="s">
        <v>7</v>
      </c>
    </row>
    <row r="73" spans="1:10" ht="21.75" customHeight="1" thickBot="1" x14ac:dyDescent="0.55000000000000004">
      <c r="A73" s="187"/>
      <c r="B73" s="187"/>
      <c r="C73" s="189"/>
      <c r="D73" s="190"/>
      <c r="E73" s="139" t="s">
        <v>20</v>
      </c>
      <c r="F73" s="139" t="s">
        <v>5</v>
      </c>
      <c r="G73" s="139" t="s">
        <v>20</v>
      </c>
      <c r="H73" s="139" t="s">
        <v>5</v>
      </c>
      <c r="I73" s="140" t="s">
        <v>21</v>
      </c>
      <c r="J73" s="190"/>
    </row>
    <row r="74" spans="1:10" ht="21.75" customHeight="1" thickTop="1" x14ac:dyDescent="0.5">
      <c r="A74" s="128"/>
      <c r="B74" s="129"/>
      <c r="C74" s="125"/>
      <c r="D74" s="126"/>
      <c r="E74" s="125"/>
      <c r="F74" s="125"/>
      <c r="G74" s="125"/>
      <c r="H74" s="125"/>
      <c r="I74" s="125"/>
      <c r="J74" s="117"/>
    </row>
    <row r="75" spans="1:10" ht="21.75" customHeight="1" x14ac:dyDescent="0.5">
      <c r="A75" s="112"/>
      <c r="B75" s="118" t="s">
        <v>92</v>
      </c>
      <c r="C75" s="114">
        <f>((((2*6)+(3.5*2)+(6.2*1))*8.96)*12)+((1.1*39)*8.96)</f>
        <v>3093.8879999999999</v>
      </c>
      <c r="D75" s="115" t="s">
        <v>8</v>
      </c>
      <c r="E75" s="116">
        <v>24.65</v>
      </c>
      <c r="F75" s="116">
        <v>76264.39</v>
      </c>
      <c r="G75" s="116">
        <v>10</v>
      </c>
      <c r="H75" s="116">
        <v>30938.9</v>
      </c>
      <c r="I75" s="116">
        <f t="shared" ref="I75:I76" si="20">F75+H75</f>
        <v>107203.29000000001</v>
      </c>
      <c r="J75" s="115"/>
    </row>
    <row r="76" spans="1:10" ht="21.75" customHeight="1" x14ac:dyDescent="0.5">
      <c r="A76" s="112"/>
      <c r="B76" s="118" t="s">
        <v>93</v>
      </c>
      <c r="C76" s="114">
        <f>(((3.5*8)+(3*20))*4.5)*12</f>
        <v>4752</v>
      </c>
      <c r="D76" s="115" t="s">
        <v>8</v>
      </c>
      <c r="E76" s="116">
        <v>24.92</v>
      </c>
      <c r="F76" s="116">
        <f t="shared" ref="F76" si="21">C76*E76</f>
        <v>118419.84000000001</v>
      </c>
      <c r="G76" s="116">
        <v>10</v>
      </c>
      <c r="H76" s="116">
        <v>47520</v>
      </c>
      <c r="I76" s="116">
        <f t="shared" si="20"/>
        <v>165939.84000000003</v>
      </c>
      <c r="J76" s="115"/>
    </row>
    <row r="77" spans="1:10" ht="21.75" customHeight="1" x14ac:dyDescent="0.5">
      <c r="A77" s="112"/>
      <c r="B77" s="118" t="s">
        <v>105</v>
      </c>
      <c r="C77" s="114">
        <f>((1670*0.9)+(167*2))*2.68</f>
        <v>4923.16</v>
      </c>
      <c r="D77" s="115" t="s">
        <v>8</v>
      </c>
      <c r="E77" s="116">
        <v>21.83</v>
      </c>
      <c r="F77" s="116">
        <f t="shared" ref="F77" si="22">C77*E77</f>
        <v>107472.58279999999</v>
      </c>
      <c r="G77" s="116">
        <v>10</v>
      </c>
      <c r="H77" s="116">
        <v>49231.6</v>
      </c>
      <c r="I77" s="116">
        <f t="shared" ref="I77" si="23">F77+H77</f>
        <v>156704.18279999998</v>
      </c>
      <c r="J77" s="115"/>
    </row>
    <row r="78" spans="1:10" ht="21.75" customHeight="1" x14ac:dyDescent="0.5">
      <c r="A78" s="123"/>
      <c r="B78" s="124" t="s">
        <v>96</v>
      </c>
      <c r="C78" s="125">
        <f>(12)*12</f>
        <v>144</v>
      </c>
      <c r="D78" s="126" t="s">
        <v>10</v>
      </c>
      <c r="E78" s="127">
        <v>212</v>
      </c>
      <c r="F78" s="127">
        <f>C78*E78</f>
        <v>30528</v>
      </c>
      <c r="G78" s="127">
        <f>E78*0.3</f>
        <v>63.599999999999994</v>
      </c>
      <c r="H78" s="127">
        <f>G78*C78</f>
        <v>9158.4</v>
      </c>
      <c r="I78" s="127">
        <f>F78+H78</f>
        <v>39686.400000000001</v>
      </c>
      <c r="J78" s="126"/>
    </row>
    <row r="79" spans="1:10" ht="21.75" customHeight="1" x14ac:dyDescent="0.5">
      <c r="A79" s="123"/>
      <c r="B79" s="124" t="s">
        <v>94</v>
      </c>
      <c r="C79" s="125">
        <f>(2.5*6)*12</f>
        <v>180</v>
      </c>
      <c r="D79" s="126" t="s">
        <v>10</v>
      </c>
      <c r="E79" s="127">
        <v>290</v>
      </c>
      <c r="F79" s="127">
        <f>C79*E79</f>
        <v>52200</v>
      </c>
      <c r="G79" s="127">
        <v>70</v>
      </c>
      <c r="H79" s="127">
        <f>G79*C79</f>
        <v>12600</v>
      </c>
      <c r="I79" s="127">
        <f>F79+H79</f>
        <v>64800</v>
      </c>
      <c r="J79" s="126"/>
    </row>
    <row r="80" spans="1:10" ht="21.75" customHeight="1" x14ac:dyDescent="0.5">
      <c r="A80" s="123"/>
      <c r="B80" s="124" t="s">
        <v>95</v>
      </c>
      <c r="C80" s="125">
        <f>(6)*12</f>
        <v>72</v>
      </c>
      <c r="D80" s="126" t="s">
        <v>49</v>
      </c>
      <c r="E80" s="127">
        <v>260</v>
      </c>
      <c r="F80" s="127">
        <f>C80*E80</f>
        <v>18720</v>
      </c>
      <c r="G80" s="127">
        <v>50</v>
      </c>
      <c r="H80" s="127">
        <f>G80*C80</f>
        <v>3600</v>
      </c>
      <c r="I80" s="127">
        <f>F80+H80</f>
        <v>22320</v>
      </c>
      <c r="J80" s="126"/>
    </row>
    <row r="81" spans="1:10" ht="21.75" customHeight="1" x14ac:dyDescent="0.5">
      <c r="A81" s="128"/>
      <c r="B81" s="129" t="s">
        <v>97</v>
      </c>
      <c r="C81" s="125">
        <f>((1*6)*12)+39</f>
        <v>111</v>
      </c>
      <c r="D81" s="126" t="s">
        <v>63</v>
      </c>
      <c r="E81" s="125">
        <f>190+(190*0.3)</f>
        <v>247</v>
      </c>
      <c r="F81" s="125">
        <f>E81*C81</f>
        <v>27417</v>
      </c>
      <c r="G81" s="125">
        <f>E81*0.3</f>
        <v>74.099999999999994</v>
      </c>
      <c r="H81" s="125">
        <f>G81*C81</f>
        <v>8225.0999999999985</v>
      </c>
      <c r="I81" s="125">
        <f>F81+H81</f>
        <v>35642.1</v>
      </c>
      <c r="J81" s="126"/>
    </row>
    <row r="82" spans="1:10" ht="21.75" customHeight="1" x14ac:dyDescent="0.5">
      <c r="A82" s="145"/>
      <c r="B82" s="143" t="s">
        <v>99</v>
      </c>
      <c r="C82" s="125">
        <f>((4*6)*12)+(4*39)</f>
        <v>444</v>
      </c>
      <c r="D82" s="115" t="s">
        <v>63</v>
      </c>
      <c r="E82" s="114">
        <f>149</f>
        <v>149</v>
      </c>
      <c r="F82" s="125">
        <f>E82*C82</f>
        <v>66156</v>
      </c>
      <c r="G82" s="114">
        <v>20</v>
      </c>
      <c r="H82" s="125">
        <f>G82*C82</f>
        <v>8880</v>
      </c>
      <c r="I82" s="125">
        <f>F82+H82</f>
        <v>75036</v>
      </c>
      <c r="J82" s="115"/>
    </row>
    <row r="83" spans="1:10" s="154" customFormat="1" ht="21.75" x14ac:dyDescent="0.5">
      <c r="A83" s="146"/>
      <c r="B83" s="147" t="s">
        <v>100</v>
      </c>
      <c r="C83" s="148">
        <f>(365.3*0.4)+(1047*0.2)+(1503*0.1)</f>
        <v>505.82</v>
      </c>
      <c r="D83" s="149" t="s">
        <v>10</v>
      </c>
      <c r="E83" s="150">
        <v>30</v>
      </c>
      <c r="F83" s="151">
        <f t="shared" ref="F83:F84" si="24">E83*C83</f>
        <v>15174.6</v>
      </c>
      <c r="G83" s="150">
        <v>35</v>
      </c>
      <c r="H83" s="152">
        <f t="shared" ref="H83:H84" si="25">G83*C83</f>
        <v>17703.7</v>
      </c>
      <c r="I83" s="151">
        <f t="shared" ref="I83:I84" si="26">H83+F83</f>
        <v>32878.300000000003</v>
      </c>
      <c r="J83" s="115"/>
    </row>
    <row r="84" spans="1:10" s="154" customFormat="1" ht="21.75" x14ac:dyDescent="0.5">
      <c r="A84" s="155"/>
      <c r="B84" s="156" t="s">
        <v>101</v>
      </c>
      <c r="C84" s="148">
        <f>(365.3*0.4)+(1047*0.2)+(1503*0.1)</f>
        <v>505.82</v>
      </c>
      <c r="D84" s="155" t="s">
        <v>10</v>
      </c>
      <c r="E84" s="157">
        <v>30</v>
      </c>
      <c r="F84" s="158">
        <f t="shared" si="24"/>
        <v>15174.6</v>
      </c>
      <c r="G84" s="157">
        <v>35</v>
      </c>
      <c r="H84" s="159">
        <f t="shared" si="25"/>
        <v>17703.7</v>
      </c>
      <c r="I84" s="158">
        <f t="shared" si="26"/>
        <v>32878.300000000003</v>
      </c>
      <c r="J84" s="115"/>
    </row>
    <row r="85" spans="1:10" s="154" customFormat="1" ht="21.75" x14ac:dyDescent="0.5">
      <c r="A85" s="155"/>
      <c r="B85" s="156"/>
      <c r="C85" s="148"/>
      <c r="D85" s="155"/>
      <c r="E85" s="157"/>
      <c r="F85" s="158"/>
      <c r="G85" s="157"/>
      <c r="H85" s="159"/>
      <c r="I85" s="158"/>
      <c r="J85" s="115"/>
    </row>
    <row r="86" spans="1:10" s="154" customFormat="1" ht="21.75" x14ac:dyDescent="0.5">
      <c r="A86" s="155"/>
      <c r="B86" s="156" t="s">
        <v>106</v>
      </c>
      <c r="C86" s="148">
        <f>3*12</f>
        <v>36</v>
      </c>
      <c r="D86" s="155" t="s">
        <v>107</v>
      </c>
      <c r="E86" s="157">
        <v>1390</v>
      </c>
      <c r="F86" s="158">
        <f t="shared" ref="F86" si="27">E86*C86</f>
        <v>50040</v>
      </c>
      <c r="G86" s="157">
        <f>E86*0.3</f>
        <v>417</v>
      </c>
      <c r="H86" s="159">
        <f t="shared" ref="H86" si="28">G86*C86</f>
        <v>15012</v>
      </c>
      <c r="I86" s="158">
        <f t="shared" ref="I86" si="29">H86+F86</f>
        <v>65052</v>
      </c>
      <c r="J86" s="115"/>
    </row>
    <row r="87" spans="1:10" ht="21.75" customHeight="1" x14ac:dyDescent="0.5">
      <c r="A87" s="128"/>
      <c r="B87" s="129"/>
      <c r="C87" s="125"/>
      <c r="D87" s="126"/>
      <c r="E87" s="125"/>
      <c r="F87" s="125"/>
      <c r="G87" s="125"/>
      <c r="H87" s="125"/>
      <c r="I87" s="125"/>
      <c r="J87" s="126"/>
    </row>
    <row r="88" spans="1:10" s="167" customFormat="1" ht="21.75" x14ac:dyDescent="0.5">
      <c r="A88" s="161"/>
      <c r="B88" s="162" t="s">
        <v>114</v>
      </c>
      <c r="C88" s="163"/>
      <c r="D88" s="161"/>
      <c r="E88" s="164"/>
      <c r="F88" s="165">
        <v>1543110.02</v>
      </c>
      <c r="G88" s="174"/>
      <c r="H88" s="173">
        <v>505641.32</v>
      </c>
      <c r="I88" s="165">
        <v>2048751.34</v>
      </c>
      <c r="J88" s="84"/>
    </row>
    <row r="89" spans="1:10" ht="21.75" customHeight="1" x14ac:dyDescent="0.5">
      <c r="A89" s="128"/>
      <c r="B89" s="176"/>
      <c r="C89" s="177"/>
      <c r="D89" s="178"/>
      <c r="E89" s="177"/>
      <c r="F89" s="177"/>
      <c r="G89" s="177"/>
      <c r="H89" s="177"/>
      <c r="I89" s="177"/>
      <c r="J89" s="178"/>
    </row>
    <row r="90" spans="1:10" ht="28.15" customHeight="1" x14ac:dyDescent="0.65">
      <c r="A90" s="168"/>
      <c r="B90" s="183" t="s">
        <v>102</v>
      </c>
      <c r="C90" s="183"/>
      <c r="D90" s="183"/>
      <c r="E90" s="169"/>
      <c r="F90" s="169">
        <f>F88+F49</f>
        <v>1782184.83</v>
      </c>
      <c r="G90" s="169"/>
      <c r="H90" s="169">
        <f>H88+H49</f>
        <v>585113.26</v>
      </c>
      <c r="I90" s="169">
        <f>I49+I88</f>
        <v>2367298.0944000003</v>
      </c>
      <c r="J90" s="175"/>
    </row>
    <row r="91" spans="1:10" ht="21.75" customHeight="1" x14ac:dyDescent="0.5">
      <c r="A91" s="26"/>
      <c r="B91" s="179"/>
      <c r="C91" s="179"/>
      <c r="D91" s="179"/>
      <c r="E91" s="179"/>
      <c r="F91" s="179"/>
      <c r="G91" s="179"/>
      <c r="H91" s="179"/>
      <c r="I91" s="179"/>
      <c r="J91" s="180"/>
    </row>
    <row r="92" spans="1:10" s="90" customFormat="1" ht="21.75" x14ac:dyDescent="0.5">
      <c r="A92" s="26"/>
      <c r="B92" s="26"/>
      <c r="C92" s="26"/>
      <c r="D92" s="26"/>
      <c r="E92" s="26"/>
      <c r="F92" s="26"/>
      <c r="G92" s="26"/>
      <c r="H92" s="26"/>
      <c r="I92" s="26"/>
      <c r="J92" s="92"/>
    </row>
    <row r="93" spans="1:10" s="90" customFormat="1" ht="21.75" x14ac:dyDescent="0.5">
      <c r="A93" s="26"/>
      <c r="B93" s="26"/>
      <c r="C93" s="26"/>
      <c r="D93" s="26"/>
      <c r="E93" s="26"/>
      <c r="F93" s="26"/>
      <c r="G93" s="26"/>
      <c r="H93" s="26"/>
      <c r="I93" s="26"/>
      <c r="J93" s="92"/>
    </row>
    <row r="94" spans="1:10" s="90" customFormat="1" ht="21.75" x14ac:dyDescent="0.5">
      <c r="A94" s="26"/>
      <c r="B94" s="26"/>
      <c r="C94" s="26"/>
      <c r="D94" s="26"/>
      <c r="E94" s="26"/>
      <c r="F94" s="26"/>
      <c r="G94" s="26"/>
      <c r="H94" s="26"/>
      <c r="I94" s="26"/>
      <c r="J94" s="92"/>
    </row>
    <row r="95" spans="1:10" ht="21" customHeight="1" x14ac:dyDescent="0.5">
      <c r="A95" s="26"/>
      <c r="B95" s="26"/>
      <c r="D95" s="26"/>
      <c r="E95" s="26"/>
      <c r="F95" s="26"/>
      <c r="G95" s="26"/>
      <c r="H95" s="26"/>
      <c r="I95" s="26"/>
    </row>
    <row r="96" spans="1:10" ht="21" customHeight="1" x14ac:dyDescent="0.5">
      <c r="A96" s="26"/>
      <c r="B96" s="26"/>
      <c r="D96" s="26"/>
      <c r="E96" s="26"/>
      <c r="F96" s="26"/>
      <c r="G96" s="26"/>
      <c r="H96" s="26"/>
      <c r="I96" s="26"/>
    </row>
    <row r="97" spans="1:9" s="120" customFormat="1" ht="21" customHeight="1" x14ac:dyDescent="0.5">
      <c r="A97" s="26"/>
      <c r="B97" s="26"/>
      <c r="C97" s="26"/>
      <c r="D97" s="26"/>
      <c r="E97" s="26"/>
      <c r="F97" s="26"/>
      <c r="G97" s="26"/>
      <c r="H97" s="26"/>
      <c r="I97" s="26"/>
    </row>
    <row r="98" spans="1:9" s="120" customFormat="1" ht="21" customHeight="1" x14ac:dyDescent="0.5">
      <c r="A98" s="26"/>
      <c r="B98" s="26"/>
      <c r="C98" s="26"/>
      <c r="D98" s="26"/>
      <c r="E98" s="26"/>
      <c r="F98" s="26"/>
      <c r="G98" s="26"/>
      <c r="H98" s="26"/>
      <c r="I98" s="26"/>
    </row>
    <row r="99" spans="1:9" s="120" customFormat="1" ht="21" customHeight="1" x14ac:dyDescent="0.5">
      <c r="A99" s="94"/>
      <c r="B99" s="94"/>
      <c r="C99" s="94"/>
      <c r="D99" s="94"/>
      <c r="E99" s="94"/>
      <c r="F99" s="94"/>
      <c r="G99" s="94"/>
      <c r="H99" s="94"/>
      <c r="I99" s="94"/>
    </row>
    <row r="100" spans="1:9" s="120" customFormat="1" ht="26.25" customHeight="1" x14ac:dyDescent="0.5">
      <c r="A100" s="94"/>
      <c r="B100" s="94"/>
      <c r="C100" s="94"/>
      <c r="D100" s="94"/>
      <c r="E100" s="94"/>
      <c r="F100" s="94"/>
      <c r="G100" s="94"/>
      <c r="H100" s="94"/>
      <c r="I100" s="94"/>
    </row>
    <row r="101" spans="1:9" s="120" customFormat="1" ht="21.75" x14ac:dyDescent="0.5">
      <c r="A101" s="94"/>
      <c r="B101" s="94"/>
      <c r="C101" s="94"/>
      <c r="D101" s="94"/>
      <c r="E101" s="94"/>
      <c r="F101" s="94"/>
      <c r="G101" s="94"/>
      <c r="H101" s="94"/>
      <c r="I101" s="94"/>
    </row>
    <row r="102" spans="1:9" s="120" customFormat="1" ht="21.75" x14ac:dyDescent="0.5">
      <c r="A102" s="94"/>
      <c r="B102" s="94"/>
      <c r="C102" s="94"/>
      <c r="D102" s="94"/>
      <c r="E102" s="94"/>
      <c r="F102" s="94"/>
      <c r="G102" s="94"/>
      <c r="H102" s="94"/>
      <c r="I102" s="94"/>
    </row>
    <row r="103" spans="1:9" s="120" customFormat="1" ht="21.75" x14ac:dyDescent="0.5">
      <c r="A103" s="94"/>
      <c r="B103" s="94"/>
      <c r="C103" s="94"/>
      <c r="D103" s="94"/>
      <c r="E103" s="94"/>
      <c r="F103" s="94"/>
      <c r="G103" s="94"/>
      <c r="H103" s="94"/>
      <c r="I103" s="94"/>
    </row>
    <row r="104" spans="1:9" s="120" customFormat="1" ht="21.75" x14ac:dyDescent="0.5">
      <c r="A104" s="94"/>
      <c r="B104" s="94"/>
      <c r="C104" s="94"/>
      <c r="D104" s="94"/>
      <c r="E104" s="94"/>
      <c r="F104" s="94"/>
      <c r="G104" s="94"/>
      <c r="H104" s="94"/>
      <c r="I104" s="94"/>
    </row>
    <row r="105" spans="1:9" s="120" customFormat="1" ht="21.75" x14ac:dyDescent="0.5">
      <c r="A105" s="94"/>
      <c r="B105" s="94"/>
      <c r="C105" s="94"/>
      <c r="D105" s="94"/>
      <c r="E105" s="94"/>
      <c r="F105" s="94"/>
      <c r="G105" s="94"/>
      <c r="H105" s="94"/>
      <c r="I105" s="94"/>
    </row>
    <row r="106" spans="1:9" s="120" customFormat="1" ht="21.75" x14ac:dyDescent="0.5">
      <c r="A106" s="94"/>
      <c r="B106" s="94"/>
      <c r="C106" s="94"/>
      <c r="D106" s="94"/>
      <c r="E106" s="94"/>
      <c r="F106" s="94"/>
      <c r="G106" s="94"/>
      <c r="H106" s="94"/>
      <c r="I106" s="94"/>
    </row>
    <row r="107" spans="1:9" s="120" customFormat="1" ht="21.75" x14ac:dyDescent="0.5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 s="120" customFormat="1" ht="21.75" x14ac:dyDescent="0.5">
      <c r="A108" s="94"/>
      <c r="B108" s="94"/>
      <c r="C108" s="94"/>
      <c r="D108" s="94"/>
      <c r="E108" s="94"/>
      <c r="F108" s="94"/>
      <c r="G108" s="94"/>
      <c r="H108" s="94"/>
      <c r="I108" s="94"/>
    </row>
    <row r="109" spans="1:9" s="120" customFormat="1" ht="21.75" x14ac:dyDescent="0.5">
      <c r="A109" s="94"/>
      <c r="B109" s="94"/>
      <c r="C109" s="94"/>
      <c r="D109" s="94"/>
      <c r="E109" s="94"/>
      <c r="F109" s="94"/>
      <c r="G109" s="94"/>
      <c r="H109" s="94"/>
      <c r="I109" s="94"/>
    </row>
    <row r="110" spans="1:9" s="120" customFormat="1" ht="21.75" x14ac:dyDescent="0.5">
      <c r="A110" s="94"/>
      <c r="B110" s="94"/>
      <c r="C110" s="94"/>
      <c r="D110" s="94"/>
      <c r="E110" s="94"/>
      <c r="F110" s="94"/>
      <c r="G110" s="94"/>
      <c r="H110" s="94"/>
      <c r="I110" s="94"/>
    </row>
    <row r="111" spans="1:9" s="120" customFormat="1" ht="21.75" x14ac:dyDescent="0.5">
      <c r="A111" s="94"/>
      <c r="B111" s="94"/>
      <c r="C111" s="94"/>
      <c r="D111" s="94"/>
      <c r="E111" s="94"/>
      <c r="F111" s="94"/>
      <c r="G111" s="94"/>
      <c r="H111" s="94"/>
      <c r="I111" s="94"/>
    </row>
    <row r="112" spans="1:9" s="120" customFormat="1" ht="21.75" x14ac:dyDescent="0.5">
      <c r="A112" s="94"/>
      <c r="B112" s="94"/>
      <c r="C112" s="94"/>
      <c r="D112" s="94"/>
      <c r="E112" s="94"/>
      <c r="F112" s="94"/>
      <c r="G112" s="94"/>
      <c r="H112" s="94"/>
      <c r="I112" s="94"/>
    </row>
    <row r="113" spans="3:4" ht="21.75" x14ac:dyDescent="0.5">
      <c r="C113" s="94"/>
      <c r="D113" s="94"/>
    </row>
    <row r="114" spans="3:4" ht="21.75" x14ac:dyDescent="0.5">
      <c r="C114" s="94"/>
      <c r="D114" s="94"/>
    </row>
    <row r="115" spans="3:4" ht="21.75" x14ac:dyDescent="0.5">
      <c r="C115" s="94"/>
      <c r="D115" s="94"/>
    </row>
    <row r="116" spans="3:4" ht="21.75" x14ac:dyDescent="0.5">
      <c r="C116" s="94"/>
      <c r="D116" s="94"/>
    </row>
    <row r="117" spans="3:4" ht="21.75" x14ac:dyDescent="0.5">
      <c r="C117" s="94"/>
      <c r="D117" s="94"/>
    </row>
    <row r="118" spans="3:4" ht="21.75" x14ac:dyDescent="0.5">
      <c r="C118" s="94"/>
      <c r="D118" s="94"/>
    </row>
    <row r="119" spans="3:4" ht="21.75" customHeight="1" x14ac:dyDescent="0.5">
      <c r="C119" s="94"/>
      <c r="D119" s="94"/>
    </row>
    <row r="120" spans="3:4" ht="21.75" customHeight="1" x14ac:dyDescent="0.5"/>
    <row r="121" spans="3:4" ht="21.75" customHeight="1" x14ac:dyDescent="0.5"/>
    <row r="122" spans="3:4" ht="21.75" customHeight="1" x14ac:dyDescent="0.5"/>
    <row r="123" spans="3:4" ht="21.75" customHeight="1" x14ac:dyDescent="0.5"/>
    <row r="124" spans="3:4" ht="21.75" customHeight="1" x14ac:dyDescent="0.5"/>
    <row r="125" spans="3:4" ht="21.75" customHeight="1" x14ac:dyDescent="0.5"/>
    <row r="126" spans="3:4" ht="21.75" customHeight="1" x14ac:dyDescent="0.5"/>
    <row r="127" spans="3:4" ht="21.75" customHeight="1" x14ac:dyDescent="0.5"/>
    <row r="128" spans="3:4" ht="21.75" customHeight="1" x14ac:dyDescent="0.5"/>
    <row r="129" ht="21.75" customHeight="1" x14ac:dyDescent="0.5"/>
    <row r="130" ht="21.75" customHeight="1" x14ac:dyDescent="0.5"/>
    <row r="131" ht="21.75" x14ac:dyDescent="0.5"/>
    <row r="132" ht="21.75" x14ac:dyDescent="0.5"/>
    <row r="133" ht="21.75" x14ac:dyDescent="0.5"/>
    <row r="134" ht="21.75" x14ac:dyDescent="0.5"/>
    <row r="135" ht="21.75" customHeight="1" x14ac:dyDescent="0.5"/>
    <row r="136" ht="21.75" x14ac:dyDescent="0.5"/>
    <row r="137" ht="21.75" x14ac:dyDescent="0.5"/>
    <row r="138" ht="21.75" x14ac:dyDescent="0.5"/>
    <row r="139" ht="21.75" x14ac:dyDescent="0.5"/>
    <row r="140" ht="21.75" customHeight="1" x14ac:dyDescent="0.5"/>
    <row r="141" ht="21.75" customHeight="1" x14ac:dyDescent="0.5"/>
    <row r="142" ht="21.75" customHeight="1" x14ac:dyDescent="0.5"/>
  </sheetData>
  <mergeCells count="28">
    <mergeCell ref="E72:F72"/>
    <mergeCell ref="G72:H72"/>
    <mergeCell ref="J72:J73"/>
    <mergeCell ref="A6:J6"/>
    <mergeCell ref="I10:J10"/>
    <mergeCell ref="A12:A13"/>
    <mergeCell ref="B12:B13"/>
    <mergeCell ref="C12:C13"/>
    <mergeCell ref="D12:D13"/>
    <mergeCell ref="E12:F12"/>
    <mergeCell ref="G12:H12"/>
    <mergeCell ref="J12:J13"/>
    <mergeCell ref="B90:D90"/>
    <mergeCell ref="A36:J36"/>
    <mergeCell ref="I41:J41"/>
    <mergeCell ref="A43:A44"/>
    <mergeCell ref="B43:B44"/>
    <mergeCell ref="C43:C44"/>
    <mergeCell ref="D43:D44"/>
    <mergeCell ref="E43:F43"/>
    <mergeCell ref="G43:H43"/>
    <mergeCell ref="J43:J44"/>
    <mergeCell ref="A65:J65"/>
    <mergeCell ref="I70:J70"/>
    <mergeCell ref="A72:A73"/>
    <mergeCell ref="B72:B73"/>
    <mergeCell ref="C72:C73"/>
    <mergeCell ref="D72:D73"/>
  </mergeCells>
  <printOptions horizontalCentered="1"/>
  <pageMargins left="0.47244094488188981" right="0.47244094488188981" top="0.11811023622047245" bottom="0.19685039370078741" header="0.11811023622047245" footer="0.11811023622047245"/>
  <pageSetup paperSize="9" scale="90" orientation="landscape" r:id="rId1"/>
  <headerFooter alignWithMargins="0"/>
  <rowBreaks count="1" manualBreakCount="1">
    <brk id="99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J71"/>
  <sheetViews>
    <sheetView showGridLines="0" view="pageBreakPreview" topLeftCell="A11" zoomScaleNormal="100" workbookViewId="0">
      <selection activeCell="E16" sqref="E16"/>
    </sheetView>
  </sheetViews>
  <sheetFormatPr defaultColWidth="0" defaultRowHeight="24" zeroHeight="1" x14ac:dyDescent="0.55000000000000004"/>
  <cols>
    <col min="1" max="1" width="7.125" style="2" customWidth="1"/>
    <col min="2" max="2" width="25.625" style="2" customWidth="1"/>
    <col min="3" max="3" width="17.75" style="2" customWidth="1"/>
    <col min="4" max="4" width="8.875" style="2" customWidth="1"/>
    <col min="5" max="5" width="13.625" style="2" customWidth="1"/>
    <col min="6" max="6" width="12" style="2" customWidth="1"/>
    <col min="7" max="7" width="1.625" style="2" customWidth="1"/>
    <col min="8" max="16384" width="0" style="2" hidden="1"/>
  </cols>
  <sheetData>
    <row r="1" spans="1:10" s="1" customFormat="1" ht="9.75" customHeight="1" x14ac:dyDescent="0.55000000000000004">
      <c r="A1" s="7"/>
      <c r="B1" s="7"/>
      <c r="C1" s="7"/>
      <c r="D1" s="7"/>
      <c r="E1" s="7"/>
      <c r="F1" s="7"/>
    </row>
    <row r="2" spans="1:10" s="1" customFormat="1" ht="21.75" customHeight="1" x14ac:dyDescent="0.55000000000000004">
      <c r="F2" s="3" t="s">
        <v>22</v>
      </c>
    </row>
    <row r="3" spans="1:10" x14ac:dyDescent="0.55000000000000004">
      <c r="A3" s="196" t="s">
        <v>23</v>
      </c>
      <c r="B3" s="196"/>
      <c r="C3" s="196"/>
      <c r="D3" s="196"/>
      <c r="E3" s="196"/>
      <c r="F3" s="196"/>
      <c r="G3" s="8"/>
    </row>
    <row r="4" spans="1:10" ht="17.25" customHeight="1" x14ac:dyDescent="0.55000000000000004">
      <c r="A4" s="51"/>
      <c r="B4" s="9"/>
      <c r="C4" s="9"/>
      <c r="D4" s="9"/>
      <c r="E4" s="9"/>
      <c r="F4" s="9"/>
      <c r="G4" s="8"/>
    </row>
    <row r="5" spans="1:10" ht="21.75" customHeight="1" x14ac:dyDescent="0.55000000000000004">
      <c r="A5" s="81" t="s">
        <v>117</v>
      </c>
      <c r="B5" s="4"/>
      <c r="C5" s="5"/>
      <c r="D5" s="82"/>
      <c r="E5" s="83"/>
      <c r="F5" s="83"/>
      <c r="G5" s="83"/>
      <c r="H5" s="83"/>
      <c r="I5" s="83"/>
      <c r="J5" s="82"/>
    </row>
    <row r="6" spans="1:10" ht="21.75" customHeight="1" x14ac:dyDescent="0.55000000000000004">
      <c r="A6" s="81" t="s">
        <v>118</v>
      </c>
      <c r="B6" s="4"/>
      <c r="C6" s="5"/>
      <c r="D6" s="82"/>
      <c r="E6" s="83"/>
      <c r="F6" s="83"/>
      <c r="G6" s="83"/>
      <c r="H6" s="83"/>
      <c r="I6" s="83"/>
      <c r="J6" s="82"/>
    </row>
    <row r="7" spans="1:10" x14ac:dyDescent="0.55000000000000004">
      <c r="A7" s="10" t="s">
        <v>139</v>
      </c>
      <c r="B7" s="11"/>
      <c r="C7" s="11"/>
      <c r="D7" s="11"/>
      <c r="E7" s="11"/>
      <c r="F7" s="11"/>
    </row>
    <row r="8" spans="1:10" x14ac:dyDescent="0.55000000000000004">
      <c r="A8" s="18" t="s">
        <v>30</v>
      </c>
      <c r="B8" s="18"/>
      <c r="C8" s="18"/>
      <c r="D8" s="18"/>
      <c r="E8" s="172"/>
      <c r="F8" s="172"/>
    </row>
    <row r="9" spans="1:10" x14ac:dyDescent="0.55000000000000004">
      <c r="A9" s="10" t="s">
        <v>140</v>
      </c>
      <c r="B9" s="18"/>
      <c r="C9" s="18"/>
      <c r="D9" s="18"/>
    </row>
    <row r="10" spans="1:10" x14ac:dyDescent="0.55000000000000004">
      <c r="A10" s="10" t="s">
        <v>120</v>
      </c>
      <c r="B10" s="11"/>
      <c r="C10" s="11"/>
      <c r="D10" s="11"/>
      <c r="E10" s="11"/>
      <c r="F10" s="11"/>
    </row>
    <row r="11" spans="1:10" x14ac:dyDescent="0.55000000000000004">
      <c r="A11" s="10" t="s">
        <v>119</v>
      </c>
      <c r="B11" s="11"/>
      <c r="C11" s="11"/>
      <c r="D11" s="11"/>
      <c r="E11" s="11"/>
      <c r="F11" s="11"/>
    </row>
    <row r="12" spans="1:10" ht="21" customHeight="1" thickBot="1" x14ac:dyDescent="0.6">
      <c r="A12" s="12" t="s">
        <v>11</v>
      </c>
      <c r="B12" s="12" t="s">
        <v>11</v>
      </c>
      <c r="C12" s="13" t="s">
        <v>11</v>
      </c>
      <c r="D12" s="12" t="s">
        <v>11</v>
      </c>
      <c r="E12" s="13" t="s">
        <v>11</v>
      </c>
      <c r="F12" s="12" t="s">
        <v>19</v>
      </c>
    </row>
    <row r="13" spans="1:10" ht="24.75" thickTop="1" x14ac:dyDescent="0.55000000000000004">
      <c r="A13" s="197" t="s">
        <v>0</v>
      </c>
      <c r="B13" s="197" t="s">
        <v>1</v>
      </c>
      <c r="C13" s="197" t="s">
        <v>24</v>
      </c>
      <c r="D13" s="197" t="s">
        <v>14</v>
      </c>
      <c r="E13" s="197" t="s">
        <v>25</v>
      </c>
      <c r="F13" s="197" t="s">
        <v>7</v>
      </c>
    </row>
    <row r="14" spans="1:10" ht="24.75" thickBot="1" x14ac:dyDescent="0.6">
      <c r="A14" s="198"/>
      <c r="B14" s="198"/>
      <c r="C14" s="199"/>
      <c r="D14" s="198"/>
      <c r="E14" s="199"/>
      <c r="F14" s="198"/>
    </row>
    <row r="15" spans="1:10" ht="24.75" thickTop="1" x14ac:dyDescent="0.55000000000000004">
      <c r="A15" s="28">
        <v>1</v>
      </c>
      <c r="B15" s="29" t="s">
        <v>121</v>
      </c>
      <c r="C15" s="6">
        <f>ปร.4ล่าสุด!I90</f>
        <v>2367298.0944000003</v>
      </c>
      <c r="D15" s="30">
        <v>1.3030999999999999</v>
      </c>
      <c r="E15" s="6">
        <v>3084826.14</v>
      </c>
      <c r="F15" s="31" t="s">
        <v>11</v>
      </c>
    </row>
    <row r="16" spans="1:10" x14ac:dyDescent="0.55000000000000004">
      <c r="A16" s="28"/>
      <c r="B16" s="29" t="s">
        <v>122</v>
      </c>
      <c r="C16" s="39"/>
      <c r="D16" s="30"/>
      <c r="E16" s="39"/>
      <c r="F16" s="31"/>
    </row>
    <row r="17" spans="1:7" x14ac:dyDescent="0.55000000000000004">
      <c r="A17" s="32"/>
      <c r="B17" s="29"/>
      <c r="C17" s="31"/>
      <c r="D17" s="31"/>
      <c r="E17" s="31"/>
      <c r="F17" s="31"/>
    </row>
    <row r="18" spans="1:7" x14ac:dyDescent="0.55000000000000004">
      <c r="A18" s="32"/>
      <c r="B18" s="29"/>
      <c r="C18" s="31"/>
      <c r="D18" s="31"/>
      <c r="E18" s="31"/>
      <c r="F18" s="31"/>
    </row>
    <row r="19" spans="1:7" x14ac:dyDescent="0.55000000000000004">
      <c r="A19" s="32"/>
      <c r="B19" s="31"/>
      <c r="C19" s="31"/>
      <c r="D19" s="31"/>
      <c r="E19" s="31"/>
      <c r="F19" s="31"/>
    </row>
    <row r="20" spans="1:7" x14ac:dyDescent="0.55000000000000004">
      <c r="A20" s="32"/>
      <c r="B20" s="31"/>
      <c r="C20" s="31"/>
      <c r="D20" s="31"/>
      <c r="E20" s="31"/>
      <c r="F20" s="31"/>
    </row>
    <row r="21" spans="1:7" x14ac:dyDescent="0.55000000000000004">
      <c r="A21" s="31"/>
      <c r="B21" s="31"/>
      <c r="C21" s="31"/>
      <c r="D21" s="31"/>
      <c r="E21" s="31"/>
      <c r="F21" s="31"/>
    </row>
    <row r="22" spans="1:7" x14ac:dyDescent="0.55000000000000004">
      <c r="A22" s="31"/>
      <c r="B22" s="31"/>
      <c r="C22" s="31"/>
      <c r="D22" s="31"/>
      <c r="E22" s="31"/>
      <c r="F22" s="31"/>
    </row>
    <row r="23" spans="1:7" x14ac:dyDescent="0.55000000000000004">
      <c r="A23" s="31"/>
      <c r="B23" s="31"/>
      <c r="C23" s="31"/>
      <c r="D23" s="31"/>
      <c r="E23" s="31"/>
      <c r="F23" s="31"/>
    </row>
    <row r="24" spans="1:7" x14ac:dyDescent="0.55000000000000004">
      <c r="A24" s="31"/>
      <c r="B24" s="32"/>
      <c r="C24" s="33"/>
      <c r="D24" s="31"/>
      <c r="E24" s="31"/>
      <c r="F24" s="31"/>
    </row>
    <row r="25" spans="1:7" ht="24.75" thickBot="1" x14ac:dyDescent="0.6">
      <c r="A25" s="34"/>
      <c r="B25" s="35"/>
      <c r="C25" s="36"/>
      <c r="D25" s="34"/>
      <c r="E25" s="34"/>
      <c r="F25" s="34"/>
    </row>
    <row r="26" spans="1:7" ht="24.75" customHeight="1" thickTop="1" thickBot="1" x14ac:dyDescent="0.6">
      <c r="A26" s="37"/>
      <c r="B26" s="37"/>
      <c r="C26" s="202" t="s">
        <v>26</v>
      </c>
      <c r="D26" s="203"/>
      <c r="E26" s="38">
        <f>SUM(E15:E21)</f>
        <v>3084826.14</v>
      </c>
      <c r="F26" s="37"/>
    </row>
    <row r="27" spans="1:7" ht="21" customHeight="1" thickTop="1" x14ac:dyDescent="0.55000000000000004">
      <c r="A27" s="204"/>
      <c r="B27" s="204"/>
      <c r="C27" s="14"/>
      <c r="D27" s="14"/>
      <c r="E27" s="14"/>
      <c r="F27" s="14"/>
    </row>
    <row r="28" spans="1:7" s="86" customFormat="1" ht="15.75" customHeight="1" x14ac:dyDescent="0.55000000000000004">
      <c r="A28" s="205" t="s">
        <v>124</v>
      </c>
      <c r="B28" s="205"/>
      <c r="C28" s="205"/>
      <c r="D28" s="205"/>
      <c r="E28" s="205"/>
      <c r="F28" s="205"/>
      <c r="G28" s="85"/>
    </row>
    <row r="29" spans="1:7" s="85" customFormat="1" ht="26.25" customHeight="1" x14ac:dyDescent="0.55000000000000004">
      <c r="A29" s="87"/>
      <c r="B29" s="87"/>
      <c r="C29" s="87"/>
      <c r="D29" s="87"/>
      <c r="E29" s="87"/>
      <c r="F29" s="87"/>
    </row>
    <row r="30" spans="1:7" s="85" customFormat="1" ht="18.75" customHeight="1" x14ac:dyDescent="0.55000000000000004">
      <c r="A30" s="206" t="s">
        <v>125</v>
      </c>
      <c r="B30" s="206"/>
      <c r="C30" s="206"/>
      <c r="D30" s="206"/>
      <c r="E30" s="88"/>
      <c r="F30" s="88"/>
    </row>
    <row r="31" spans="1:7" s="85" customFormat="1" x14ac:dyDescent="0.55000000000000004">
      <c r="A31" s="206" t="s">
        <v>130</v>
      </c>
      <c r="B31" s="206"/>
      <c r="C31" s="206"/>
      <c r="D31" s="206"/>
      <c r="E31" s="88"/>
      <c r="F31" s="88"/>
    </row>
    <row r="32" spans="1:7" s="86" customFormat="1" x14ac:dyDescent="0.55000000000000004">
      <c r="A32" s="200" t="s">
        <v>126</v>
      </c>
      <c r="B32" s="200"/>
      <c r="C32" s="200"/>
      <c r="D32" s="200"/>
      <c r="E32" s="89"/>
      <c r="F32" s="89"/>
      <c r="G32" s="85"/>
    </row>
    <row r="33" spans="1:7" s="86" customFormat="1" x14ac:dyDescent="0.55000000000000004">
      <c r="A33" s="201"/>
      <c r="B33" s="201"/>
      <c r="C33" s="201"/>
      <c r="D33" s="201"/>
      <c r="E33" s="201"/>
      <c r="F33" s="201"/>
      <c r="G33" s="85"/>
    </row>
    <row r="34" spans="1:7" s="86" customFormat="1" x14ac:dyDescent="0.55000000000000004">
      <c r="A34" s="200" t="s">
        <v>127</v>
      </c>
      <c r="B34" s="200"/>
      <c r="C34" s="200"/>
      <c r="D34" s="200"/>
      <c r="E34" s="89"/>
      <c r="F34" s="89"/>
      <c r="G34" s="89"/>
    </row>
    <row r="35" spans="1:7" s="86" customFormat="1" x14ac:dyDescent="0.55000000000000004">
      <c r="A35" s="200" t="s">
        <v>128</v>
      </c>
      <c r="B35" s="200"/>
      <c r="C35" s="200"/>
      <c r="D35" s="200"/>
      <c r="E35" s="89"/>
      <c r="F35" s="89"/>
      <c r="G35" s="89"/>
    </row>
    <row r="36" spans="1:7" s="86" customFormat="1" ht="19.5" customHeight="1" x14ac:dyDescent="0.55000000000000004">
      <c r="A36" s="201" t="s">
        <v>129</v>
      </c>
      <c r="B36" s="201"/>
      <c r="C36" s="201"/>
      <c r="D36" s="201"/>
      <c r="E36" s="27"/>
      <c r="F36" s="27"/>
      <c r="G36" s="27"/>
    </row>
    <row r="37" spans="1:7" ht="13.5" customHeight="1" x14ac:dyDescent="0.55000000000000004"/>
    <row r="38" spans="1:7" x14ac:dyDescent="0.55000000000000004"/>
    <row r="39" spans="1:7" x14ac:dyDescent="0.55000000000000004"/>
    <row r="40" spans="1:7" x14ac:dyDescent="0.55000000000000004"/>
    <row r="41" spans="1:7" x14ac:dyDescent="0.55000000000000004"/>
    <row r="42" spans="1:7" x14ac:dyDescent="0.55000000000000004"/>
    <row r="43" spans="1:7" x14ac:dyDescent="0.55000000000000004"/>
    <row r="44" spans="1:7" x14ac:dyDescent="0.55000000000000004"/>
    <row r="45" spans="1:7" x14ac:dyDescent="0.55000000000000004"/>
    <row r="46" spans="1:7" x14ac:dyDescent="0.55000000000000004"/>
    <row r="47" spans="1:7" x14ac:dyDescent="0.55000000000000004"/>
    <row r="48" spans="1:7" x14ac:dyDescent="0.55000000000000004"/>
    <row r="49" x14ac:dyDescent="0.55000000000000004"/>
    <row r="50" x14ac:dyDescent="0.55000000000000004"/>
    <row r="51" x14ac:dyDescent="0.55000000000000004"/>
    <row r="52" x14ac:dyDescent="0.55000000000000004"/>
    <row r="53" x14ac:dyDescent="0.55000000000000004"/>
    <row r="54" x14ac:dyDescent="0.55000000000000004"/>
    <row r="55" x14ac:dyDescent="0.55000000000000004"/>
    <row r="56" x14ac:dyDescent="0.55000000000000004"/>
    <row r="57" x14ac:dyDescent="0.55000000000000004"/>
    <row r="58" x14ac:dyDescent="0.55000000000000004"/>
    <row r="59" x14ac:dyDescent="0.55000000000000004"/>
    <row r="60" x14ac:dyDescent="0.55000000000000004"/>
    <row r="61" x14ac:dyDescent="0.55000000000000004"/>
    <row r="62" x14ac:dyDescent="0.55000000000000004"/>
    <row r="63" x14ac:dyDescent="0.55000000000000004"/>
    <row r="64" x14ac:dyDescent="0.55000000000000004"/>
    <row r="65" x14ac:dyDescent="0.55000000000000004"/>
    <row r="66" x14ac:dyDescent="0.55000000000000004"/>
    <row r="67" x14ac:dyDescent="0.55000000000000004"/>
    <row r="68" x14ac:dyDescent="0.55000000000000004"/>
    <row r="69" x14ac:dyDescent="0.55000000000000004"/>
    <row r="70" x14ac:dyDescent="0.55000000000000004"/>
    <row r="71" x14ac:dyDescent="0.55000000000000004"/>
  </sheetData>
  <mergeCells count="17">
    <mergeCell ref="A34:D34"/>
    <mergeCell ref="A35:D35"/>
    <mergeCell ref="A36:D36"/>
    <mergeCell ref="C26:D26"/>
    <mergeCell ref="A27:B27"/>
    <mergeCell ref="A28:F28"/>
    <mergeCell ref="A30:D30"/>
    <mergeCell ref="A31:D31"/>
    <mergeCell ref="A32:D32"/>
    <mergeCell ref="A33:F33"/>
    <mergeCell ref="A3:F3"/>
    <mergeCell ref="A13:A14"/>
    <mergeCell ref="B13:B14"/>
    <mergeCell ref="C13:C14"/>
    <mergeCell ref="D13:D14"/>
    <mergeCell ref="E13:E14"/>
    <mergeCell ref="F13:F14"/>
  </mergeCells>
  <printOptions horizontalCentered="1"/>
  <pageMargins left="0.51181102362204722" right="0.47244094488188981" top="0.31496062992125984" bottom="0.27559055118110237" header="0.19685039370078741" footer="0.15748031496062992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J73"/>
  <sheetViews>
    <sheetView showGridLines="0" view="pageBreakPreview" topLeftCell="A16" zoomScaleNormal="100" workbookViewId="0">
      <selection activeCell="C22" sqref="C22"/>
    </sheetView>
  </sheetViews>
  <sheetFormatPr defaultColWidth="0" defaultRowHeight="24" zeroHeight="1" x14ac:dyDescent="0.55000000000000004"/>
  <cols>
    <col min="1" max="1" width="7.625" style="2" customWidth="1"/>
    <col min="2" max="2" width="25.625" style="2" customWidth="1"/>
    <col min="3" max="3" width="36.375" style="2" customWidth="1"/>
    <col min="4" max="4" width="17.375" style="2" customWidth="1"/>
    <col min="5" max="5" width="0.875" style="2" customWidth="1"/>
    <col min="6" max="16384" width="0" style="2" hidden="1"/>
  </cols>
  <sheetData>
    <row r="1" spans="1:10" s="1" customFormat="1" ht="21" customHeight="1" x14ac:dyDescent="0.55000000000000004">
      <c r="A1" s="56"/>
      <c r="B1" s="56"/>
      <c r="C1" s="56"/>
      <c r="D1" s="56"/>
    </row>
    <row r="2" spans="1:10" ht="21.75" customHeight="1" x14ac:dyDescent="0.55000000000000004">
      <c r="A2" s="14"/>
      <c r="B2" s="16" t="s">
        <v>27</v>
      </c>
      <c r="C2" s="80"/>
      <c r="D2" s="171" t="s">
        <v>28</v>
      </c>
    </row>
    <row r="3" spans="1:10" ht="27.75" customHeight="1" x14ac:dyDescent="0.55000000000000004">
      <c r="A3" s="207" t="s">
        <v>29</v>
      </c>
      <c r="B3" s="207"/>
      <c r="C3" s="207"/>
      <c r="D3" s="207"/>
    </row>
    <row r="4" spans="1:10" ht="20.25" customHeight="1" x14ac:dyDescent="0.55000000000000004">
      <c r="A4" s="17"/>
      <c r="B4" s="17"/>
      <c r="C4" s="17"/>
      <c r="D4" s="17"/>
    </row>
    <row r="5" spans="1:10" ht="21.75" customHeight="1" x14ac:dyDescent="0.55000000000000004">
      <c r="A5" s="81" t="s">
        <v>117</v>
      </c>
      <c r="B5" s="4"/>
      <c r="C5" s="5"/>
      <c r="D5" s="82"/>
      <c r="E5" s="83"/>
      <c r="F5" s="83"/>
      <c r="G5" s="83"/>
      <c r="H5" s="83"/>
      <c r="I5" s="83"/>
      <c r="J5" s="82"/>
    </row>
    <row r="6" spans="1:10" ht="21.75" customHeight="1" x14ac:dyDescent="0.55000000000000004">
      <c r="A6" s="81" t="s">
        <v>118</v>
      </c>
      <c r="B6" s="4"/>
      <c r="C6" s="5"/>
      <c r="D6" s="82"/>
      <c r="E6" s="83"/>
      <c r="F6" s="83"/>
      <c r="G6" s="83"/>
      <c r="H6" s="83"/>
      <c r="I6" s="83"/>
      <c r="J6" s="82"/>
    </row>
    <row r="7" spans="1:10" x14ac:dyDescent="0.55000000000000004">
      <c r="A7" s="10" t="s">
        <v>139</v>
      </c>
      <c r="B7" s="11"/>
      <c r="C7" s="11"/>
      <c r="D7" s="11"/>
      <c r="E7" s="11"/>
      <c r="F7" s="11"/>
    </row>
    <row r="8" spans="1:10" x14ac:dyDescent="0.55000000000000004">
      <c r="A8" s="18" t="s">
        <v>30</v>
      </c>
      <c r="B8" s="18"/>
      <c r="C8" s="18"/>
      <c r="D8" s="18"/>
    </row>
    <row r="9" spans="1:10" x14ac:dyDescent="0.55000000000000004">
      <c r="A9" s="10" t="s">
        <v>140</v>
      </c>
      <c r="B9" s="18"/>
      <c r="C9" s="18"/>
      <c r="D9" s="18"/>
    </row>
    <row r="10" spans="1:10" x14ac:dyDescent="0.55000000000000004">
      <c r="A10" s="18" t="s">
        <v>31</v>
      </c>
      <c r="B10" s="18"/>
      <c r="C10" s="18"/>
      <c r="D10" s="18"/>
    </row>
    <row r="11" spans="1:10" x14ac:dyDescent="0.55000000000000004">
      <c r="A11" s="10" t="s">
        <v>123</v>
      </c>
      <c r="B11" s="18"/>
      <c r="C11" s="18"/>
      <c r="D11" s="18"/>
    </row>
    <row r="12" spans="1:10" ht="26.25" customHeight="1" thickBot="1" x14ac:dyDescent="0.6">
      <c r="A12" s="19"/>
      <c r="B12" s="19"/>
      <c r="C12" s="19"/>
      <c r="D12" s="20" t="s">
        <v>19</v>
      </c>
    </row>
    <row r="13" spans="1:10" ht="24.75" thickTop="1" x14ac:dyDescent="0.55000000000000004">
      <c r="A13" s="197" t="s">
        <v>0</v>
      </c>
      <c r="B13" s="197" t="s">
        <v>1</v>
      </c>
      <c r="C13" s="197" t="s">
        <v>25</v>
      </c>
      <c r="D13" s="197" t="s">
        <v>7</v>
      </c>
    </row>
    <row r="14" spans="1:10" ht="24.75" thickBot="1" x14ac:dyDescent="0.6">
      <c r="A14" s="208"/>
      <c r="B14" s="208"/>
      <c r="C14" s="199"/>
      <c r="D14" s="208"/>
    </row>
    <row r="15" spans="1:10" ht="24.75" thickTop="1" x14ac:dyDescent="0.55000000000000004">
      <c r="A15" s="28">
        <v>1</v>
      </c>
      <c r="B15" s="32" t="s">
        <v>36</v>
      </c>
      <c r="C15" s="6">
        <f>'ปร.5(ก)'!E26</f>
        <v>3084826.14</v>
      </c>
      <c r="D15" s="31"/>
    </row>
    <row r="16" spans="1:10" x14ac:dyDescent="0.55000000000000004">
      <c r="A16" s="28"/>
      <c r="B16" s="31"/>
      <c r="C16" s="39"/>
      <c r="D16" s="31"/>
    </row>
    <row r="17" spans="1:7" x14ac:dyDescent="0.55000000000000004">
      <c r="A17" s="31"/>
      <c r="B17" s="28" t="s">
        <v>11</v>
      </c>
      <c r="C17" s="31" t="s">
        <v>11</v>
      </c>
      <c r="D17" s="31"/>
    </row>
    <row r="18" spans="1:7" ht="24.75" thickBot="1" x14ac:dyDescent="0.6">
      <c r="A18" s="34"/>
      <c r="B18" s="40" t="s">
        <v>11</v>
      </c>
      <c r="C18" s="34" t="s">
        <v>11</v>
      </c>
      <c r="D18" s="34"/>
    </row>
    <row r="19" spans="1:7" s="23" customFormat="1" ht="27.75" customHeight="1" thickTop="1" x14ac:dyDescent="0.55000000000000004">
      <c r="A19" s="197" t="s">
        <v>15</v>
      </c>
      <c r="B19" s="41" t="s">
        <v>32</v>
      </c>
      <c r="C19" s="42">
        <f>C15+C16</f>
        <v>3084826.14</v>
      </c>
      <c r="D19" s="43"/>
      <c r="E19" s="21" t="s">
        <v>11</v>
      </c>
      <c r="F19" s="22"/>
    </row>
    <row r="20" spans="1:7" s="23" customFormat="1" ht="26.25" customHeight="1" thickBot="1" x14ac:dyDescent="0.6">
      <c r="A20" s="210"/>
      <c r="B20" s="44" t="s">
        <v>33</v>
      </c>
      <c r="C20" s="45">
        <f>C19</f>
        <v>3084826.14</v>
      </c>
      <c r="D20" s="46"/>
      <c r="E20" s="22" t="s">
        <v>11</v>
      </c>
      <c r="F20" s="22"/>
    </row>
    <row r="21" spans="1:7" s="23" customFormat="1" ht="17.25" customHeight="1" thickTop="1" x14ac:dyDescent="0.55000000000000004">
      <c r="A21" s="210"/>
      <c r="B21" s="47"/>
      <c r="C21" s="47"/>
      <c r="D21" s="48"/>
      <c r="E21" s="22"/>
      <c r="F21" s="22"/>
    </row>
    <row r="22" spans="1:7" s="23" customFormat="1" ht="33" customHeight="1" thickBot="1" x14ac:dyDescent="0.6">
      <c r="A22" s="199"/>
      <c r="B22" s="49" t="s">
        <v>137</v>
      </c>
      <c r="C22" s="170" t="str">
        <f>BAHTTEXT(C20)</f>
        <v>สามล้านแปดหมื่นสี่พันแปดร้อยยี่สิบหกบาทสิบสี่สตางค์</v>
      </c>
      <c r="D22" s="50"/>
      <c r="E22" s="24"/>
      <c r="F22" s="15"/>
    </row>
    <row r="23" spans="1:7" s="23" customFormat="1" ht="15.75" customHeight="1" thickTop="1" x14ac:dyDescent="0.55000000000000004">
      <c r="A23" s="22"/>
      <c r="B23" s="25"/>
      <c r="C23" s="15"/>
      <c r="D23" s="15"/>
      <c r="E23" s="15"/>
      <c r="F23" s="15"/>
    </row>
    <row r="24" spans="1:7" s="86" customFormat="1" ht="15.75" customHeight="1" x14ac:dyDescent="0.55000000000000004">
      <c r="A24" s="205" t="s">
        <v>124</v>
      </c>
      <c r="B24" s="205"/>
      <c r="C24" s="205"/>
      <c r="D24" s="205"/>
      <c r="E24" s="205"/>
      <c r="F24" s="205"/>
      <c r="G24" s="85"/>
    </row>
    <row r="25" spans="1:7" s="85" customFormat="1" ht="26.25" customHeight="1" x14ac:dyDescent="0.55000000000000004">
      <c r="A25" s="87"/>
      <c r="B25" s="87"/>
      <c r="C25" s="87"/>
      <c r="D25" s="87"/>
      <c r="E25" s="87"/>
      <c r="F25" s="87"/>
    </row>
    <row r="26" spans="1:7" s="85" customFormat="1" ht="18.75" customHeight="1" x14ac:dyDescent="0.55000000000000004">
      <c r="A26" s="206" t="s">
        <v>125</v>
      </c>
      <c r="B26" s="206"/>
      <c r="C26" s="206"/>
      <c r="D26" s="206"/>
      <c r="E26" s="88"/>
      <c r="F26" s="88"/>
    </row>
    <row r="27" spans="1:7" s="85" customFormat="1" x14ac:dyDescent="0.55000000000000004">
      <c r="A27" s="206" t="s">
        <v>130</v>
      </c>
      <c r="B27" s="206"/>
      <c r="C27" s="206"/>
      <c r="D27" s="206"/>
      <c r="E27" s="88"/>
      <c r="F27" s="88"/>
    </row>
    <row r="28" spans="1:7" s="86" customFormat="1" x14ac:dyDescent="0.55000000000000004">
      <c r="A28" s="200" t="s">
        <v>126</v>
      </c>
      <c r="B28" s="200"/>
      <c r="C28" s="200"/>
      <c r="D28" s="200"/>
      <c r="E28" s="89"/>
      <c r="F28" s="89"/>
      <c r="G28" s="85"/>
    </row>
    <row r="29" spans="1:7" s="86" customFormat="1" x14ac:dyDescent="0.55000000000000004">
      <c r="A29" s="201"/>
      <c r="B29" s="201"/>
      <c r="C29" s="201"/>
      <c r="D29" s="201"/>
      <c r="E29" s="201"/>
      <c r="F29" s="201"/>
      <c r="G29" s="85"/>
    </row>
    <row r="30" spans="1:7" s="86" customFormat="1" x14ac:dyDescent="0.55000000000000004">
      <c r="A30" s="200" t="s">
        <v>127</v>
      </c>
      <c r="B30" s="200"/>
      <c r="C30" s="200"/>
      <c r="D30" s="200"/>
      <c r="E30" s="89"/>
      <c r="F30" s="89"/>
      <c r="G30" s="89"/>
    </row>
    <row r="31" spans="1:7" s="86" customFormat="1" x14ac:dyDescent="0.55000000000000004">
      <c r="A31" s="200" t="s">
        <v>128</v>
      </c>
      <c r="B31" s="200"/>
      <c r="C31" s="200"/>
      <c r="D31" s="200"/>
      <c r="E31" s="89"/>
      <c r="F31" s="89"/>
      <c r="G31" s="89"/>
    </row>
    <row r="32" spans="1:7" s="86" customFormat="1" ht="19.5" customHeight="1" x14ac:dyDescent="0.55000000000000004">
      <c r="A32" s="201" t="s">
        <v>129</v>
      </c>
      <c r="B32" s="201"/>
      <c r="C32" s="201"/>
      <c r="D32" s="201"/>
      <c r="E32" s="27"/>
      <c r="F32" s="27"/>
      <c r="G32" s="27"/>
    </row>
    <row r="33" spans="1:6" s="23" customFormat="1" ht="15.75" customHeight="1" x14ac:dyDescent="0.55000000000000004">
      <c r="A33" s="52"/>
      <c r="B33" s="53"/>
      <c r="C33" s="54"/>
      <c r="D33" s="54"/>
      <c r="E33" s="209"/>
      <c r="F33" s="209"/>
    </row>
    <row r="34" spans="1:6" s="23" customFormat="1" x14ac:dyDescent="0.55000000000000004">
      <c r="A34" s="55"/>
      <c r="B34" s="57"/>
      <c r="C34" s="211"/>
      <c r="D34" s="211"/>
      <c r="E34" s="7"/>
      <c r="F34" s="7"/>
    </row>
    <row r="35" spans="1:6" x14ac:dyDescent="0.55000000000000004"/>
    <row r="36" spans="1:6" x14ac:dyDescent="0.55000000000000004"/>
    <row r="37" spans="1:6" x14ac:dyDescent="0.55000000000000004"/>
    <row r="38" spans="1:6" x14ac:dyDescent="0.55000000000000004"/>
    <row r="39" spans="1:6" x14ac:dyDescent="0.55000000000000004"/>
    <row r="40" spans="1:6" x14ac:dyDescent="0.55000000000000004"/>
    <row r="41" spans="1:6" x14ac:dyDescent="0.55000000000000004"/>
    <row r="42" spans="1:6" x14ac:dyDescent="0.55000000000000004"/>
    <row r="43" spans="1:6" x14ac:dyDescent="0.55000000000000004"/>
    <row r="44" spans="1:6" x14ac:dyDescent="0.55000000000000004"/>
    <row r="45" spans="1:6" x14ac:dyDescent="0.55000000000000004"/>
    <row r="46" spans="1:6" x14ac:dyDescent="0.55000000000000004"/>
    <row r="47" spans="1:6" x14ac:dyDescent="0.55000000000000004"/>
    <row r="48" spans="1:6" x14ac:dyDescent="0.55000000000000004"/>
    <row r="49" x14ac:dyDescent="0.55000000000000004"/>
    <row r="50" x14ac:dyDescent="0.55000000000000004"/>
    <row r="51" x14ac:dyDescent="0.55000000000000004"/>
    <row r="52" x14ac:dyDescent="0.55000000000000004"/>
    <row r="53" x14ac:dyDescent="0.55000000000000004"/>
    <row r="54" x14ac:dyDescent="0.55000000000000004"/>
    <row r="55" x14ac:dyDescent="0.55000000000000004"/>
    <row r="56" x14ac:dyDescent="0.55000000000000004"/>
    <row r="57" x14ac:dyDescent="0.55000000000000004"/>
    <row r="58" x14ac:dyDescent="0.55000000000000004"/>
    <row r="59" x14ac:dyDescent="0.55000000000000004"/>
    <row r="60" x14ac:dyDescent="0.55000000000000004"/>
    <row r="61" x14ac:dyDescent="0.55000000000000004"/>
    <row r="62" x14ac:dyDescent="0.55000000000000004"/>
    <row r="63" x14ac:dyDescent="0.55000000000000004"/>
    <row r="64" x14ac:dyDescent="0.55000000000000004"/>
    <row r="65" x14ac:dyDescent="0.55000000000000004"/>
    <row r="66" x14ac:dyDescent="0.55000000000000004"/>
    <row r="67" x14ac:dyDescent="0.55000000000000004"/>
    <row r="68" x14ac:dyDescent="0.55000000000000004"/>
    <row r="69" x14ac:dyDescent="0.55000000000000004"/>
    <row r="70" x14ac:dyDescent="0.55000000000000004"/>
    <row r="71" x14ac:dyDescent="0.55000000000000004"/>
    <row r="72" x14ac:dyDescent="0.55000000000000004"/>
    <row r="73" x14ac:dyDescent="0.55000000000000004"/>
  </sheetData>
  <mergeCells count="16">
    <mergeCell ref="E33:F33"/>
    <mergeCell ref="A19:A22"/>
    <mergeCell ref="C34:D34"/>
    <mergeCell ref="A24:F24"/>
    <mergeCell ref="A26:D26"/>
    <mergeCell ref="A27:D27"/>
    <mergeCell ref="A28:D28"/>
    <mergeCell ref="A29:F29"/>
    <mergeCell ref="A30:D30"/>
    <mergeCell ref="A31:D31"/>
    <mergeCell ref="A32:D32"/>
    <mergeCell ref="A3:D3"/>
    <mergeCell ref="A13:A14"/>
    <mergeCell ref="B13:B14"/>
    <mergeCell ref="C13:C14"/>
    <mergeCell ref="D13:D14"/>
  </mergeCells>
  <printOptions horizontalCentered="1"/>
  <pageMargins left="0.51181102362204722" right="0.51181102362204722" top="0.47244094488188981" bottom="0.39370078740157483" header="0.31496062992125984" footer="0.31496062992125984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2</vt:i4>
      </vt:variant>
    </vt:vector>
  </HeadingPairs>
  <TitlesOfParts>
    <vt:vector size="6" baseType="lpstr">
      <vt:lpstr>Sheet1</vt:lpstr>
      <vt:lpstr>ปร.4ล่าสุด</vt:lpstr>
      <vt:lpstr>ปร.5(ก)</vt:lpstr>
      <vt:lpstr>ปร.6</vt:lpstr>
      <vt:lpstr>'ปร.5(ก)'!Print_Area</vt:lpstr>
      <vt:lpstr>ปร.6!Print_Area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wuttichai</dc:creator>
  <cp:lastModifiedBy>Admin</cp:lastModifiedBy>
  <cp:lastPrinted>2020-04-03T13:53:11Z</cp:lastPrinted>
  <dcterms:created xsi:type="dcterms:W3CDTF">2013-10-24T02:21:17Z</dcterms:created>
  <dcterms:modified xsi:type="dcterms:W3CDTF">2020-04-03T13:54:37Z</dcterms:modified>
</cp:coreProperties>
</file>